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oda001\SDAD\Joann\FEES AND CHARGES\Monthly\"/>
    </mc:Choice>
  </mc:AlternateContent>
  <xr:revisionPtr revIDLastSave="0" documentId="13_ncr:1_{015AD1B8-EFC8-41C2-803C-6A9871222516}" xr6:coauthVersionLast="47" xr6:coauthVersionMax="47" xr10:uidLastSave="{00000000-0000-0000-0000-000000000000}"/>
  <bookViews>
    <workbookView xWindow="-120" yWindow="-120" windowWidth="29040" windowHeight="15720" xr2:uid="{00000000-000D-0000-FFFF-FFFF00000000}"/>
  </bookViews>
  <sheets>
    <sheet name="2024" sheetId="32" r:id="rId1"/>
    <sheet name="2023" sheetId="29" r:id="rId2"/>
    <sheet name="2022" sheetId="30" r:id="rId3"/>
    <sheet name="2021" sheetId="22" r:id="rId4"/>
    <sheet name="2020" sheetId="20" r:id="rId5"/>
    <sheet name="2019" sheetId="19" r:id="rId6"/>
    <sheet name="2018" sheetId="14" r:id="rId7"/>
    <sheet name="2017" sheetId="1" r:id="rId8"/>
    <sheet name="2016" sheetId="2" r:id="rId9"/>
    <sheet name="2015" sheetId="3" r:id="rId10"/>
    <sheet name="2014" sheetId="4" r:id="rId11"/>
    <sheet name="2013" sheetId="5" r:id="rId12"/>
    <sheet name="2012" sheetId="6" r:id="rId13"/>
    <sheet name="2011" sheetId="7" r:id="rId14"/>
    <sheet name="2010" sheetId="8" r:id="rId15"/>
    <sheet name="2009" sheetId="9" r:id="rId16"/>
    <sheet name="2008" sheetId="10" r:id="rId17"/>
    <sheet name="2007" sheetId="11" r:id="rId18"/>
    <sheet name="2006" sheetId="12" r:id="rId19"/>
    <sheet name="2005" sheetId="13" r:id="rId20"/>
  </sheets>
  <externalReferences>
    <externalReference r:id="rId21"/>
  </externalReferences>
  <definedNames>
    <definedName name="_xlnm.Print_Area" localSheetId="19">'2005'!$A$1:$P$284</definedName>
    <definedName name="_xlnm.Print_Area" localSheetId="18">'2006'!$A$1:$O$215</definedName>
    <definedName name="_xlnm.Print_Area" localSheetId="17">'2007'!$A$1:$P$214</definedName>
    <definedName name="_xlnm.Print_Area" localSheetId="14">'2010'!$A$1:$P$247</definedName>
    <definedName name="_xlnm.Print_Area" localSheetId="13">'2011'!$A$1:$O$207</definedName>
    <definedName name="_xlnm.Print_Area" localSheetId="12">'2012'!$A$1:$O$200</definedName>
    <definedName name="_xlnm.Print_Area" localSheetId="11">'2013'!$A$1:$O$221</definedName>
    <definedName name="_xlnm.Print_Area" localSheetId="10">'2014'!$A$1:$O$236</definedName>
    <definedName name="_xlnm.Print_Area" localSheetId="9">'2015'!$A$1:$O$230</definedName>
    <definedName name="_xlnm.Print_Area" localSheetId="8">'2016'!$A$1:$O$240</definedName>
    <definedName name="_xlnm.Print_Area" localSheetId="7">'2017'!$A$1:$O$241</definedName>
    <definedName name="_xlnm.Print_Area" localSheetId="6">'2018'!$A$1:$O$253</definedName>
    <definedName name="_xlnm.Print_Area" localSheetId="5">'2019'!$A$1:$O$267</definedName>
    <definedName name="_xlnm.Print_Area" localSheetId="4">'2020'!$A$1:$P$281</definedName>
    <definedName name="_xlnm.Print_Area" localSheetId="3">'2021'!$A$1:$O$253</definedName>
    <definedName name="_xlnm.Print_Area" localSheetId="2">'2022'!$A$1:$O$477</definedName>
    <definedName name="_xlnm.Print_Area" localSheetId="1">'2023'!$A$1:$O$447</definedName>
    <definedName name="_xlnm.Print_Area" localSheetId="0">'2024'!$A$1:$O$167</definedName>
    <definedName name="_xlnm.Print_Titles" localSheetId="19">'2005'!$1:$8</definedName>
    <definedName name="_xlnm.Print_Titles" localSheetId="18">'2006'!$1:$6</definedName>
    <definedName name="_xlnm.Print_Titles" localSheetId="17">'2007'!$A:$B,'2007'!$1:$8</definedName>
    <definedName name="_xlnm.Print_Titles" localSheetId="16">'2008'!$1:$8</definedName>
    <definedName name="_xlnm.Print_Titles" localSheetId="15">'2009'!$A:$C,'2009'!$1:$8</definedName>
    <definedName name="_xlnm.Print_Titles" localSheetId="14">'2010'!$A:$B,'2010'!$1:$8</definedName>
    <definedName name="_xlnm.Print_Titles" localSheetId="13">'2011'!$1:$6</definedName>
    <definedName name="_xlnm.Print_Titles" localSheetId="12">'2012'!$A:$B,'2012'!$1:$6</definedName>
    <definedName name="_xlnm.Print_Titles" localSheetId="11">'2013'!$1:$7</definedName>
    <definedName name="_xlnm.Print_Titles" localSheetId="10">'2014'!$1:$7</definedName>
    <definedName name="_xlnm.Print_Titles" localSheetId="9">'2015'!$1:$7</definedName>
    <definedName name="_xlnm.Print_Titles" localSheetId="8">'2016'!$1:$7</definedName>
    <definedName name="_xlnm.Print_Titles" localSheetId="7">'2017'!$A:$B,'2017'!$1:$7</definedName>
    <definedName name="_xlnm.Print_Titles" localSheetId="6">'2018'!$A:$B,'2018'!$1:$7</definedName>
    <definedName name="_xlnm.Print_Titles" localSheetId="5">'2019'!$A:$B,'2019'!$1:$7</definedName>
    <definedName name="_xlnm.Print_Titles" localSheetId="4">'2020'!$A:$B,'2020'!$1:$7</definedName>
    <definedName name="_xlnm.Print_Titles" localSheetId="3">'2021'!$A:$B,'2021'!$1:$7</definedName>
    <definedName name="_xlnm.Print_Titles" localSheetId="2">'2022'!$1:$8</definedName>
    <definedName name="_xlnm.Print_Titles" localSheetId="1">'2023'!$1:$8</definedName>
    <definedName name="_xlnm.Print_Titles" localSheetId="0">'2024'!$1:$7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26" i="29" l="1"/>
  <c r="N451" i="30"/>
  <c r="M451" i="30"/>
  <c r="L451" i="30"/>
  <c r="K451" i="30"/>
  <c r="J451" i="30"/>
  <c r="I451" i="30"/>
  <c r="H451" i="30"/>
  <c r="G451" i="30"/>
  <c r="F451" i="30"/>
  <c r="E451" i="30"/>
  <c r="D451" i="30"/>
  <c r="C451" i="30"/>
  <c r="O450" i="30"/>
  <c r="O449" i="30"/>
  <c r="N444" i="30"/>
  <c r="M444" i="30"/>
  <c r="L444" i="30"/>
  <c r="K444" i="30"/>
  <c r="J444" i="30"/>
  <c r="I444" i="30"/>
  <c r="H444" i="30"/>
  <c r="G444" i="30"/>
  <c r="F444" i="30"/>
  <c r="E444" i="30"/>
  <c r="D444" i="30"/>
  <c r="C444" i="30"/>
  <c r="O443" i="30"/>
  <c r="O442" i="30"/>
  <c r="O441" i="30"/>
  <c r="O434" i="30"/>
  <c r="O427" i="30"/>
  <c r="O426" i="30"/>
  <c r="O425" i="30"/>
  <c r="O424" i="30"/>
  <c r="O423" i="30"/>
  <c r="O422" i="30"/>
  <c r="A424" i="30"/>
  <c r="A425" i="30" s="1"/>
  <c r="O421" i="30"/>
  <c r="N420" i="30"/>
  <c r="M420" i="30"/>
  <c r="L420" i="30"/>
  <c r="K420" i="30"/>
  <c r="J420" i="30"/>
  <c r="I420" i="30"/>
  <c r="H420" i="30"/>
  <c r="G420" i="30"/>
  <c r="F420" i="30"/>
  <c r="E420" i="30"/>
  <c r="D420" i="30"/>
  <c r="C420" i="30"/>
  <c r="O418" i="30"/>
  <c r="O417" i="30"/>
  <c r="O416" i="30"/>
  <c r="O415" i="30"/>
  <c r="O414" i="30"/>
  <c r="O413" i="30"/>
  <c r="O412" i="30"/>
  <c r="O411" i="30"/>
  <c r="O410" i="30"/>
  <c r="O409" i="30"/>
  <c r="O408" i="30"/>
  <c r="O407" i="30"/>
  <c r="O406" i="30"/>
  <c r="O405" i="30"/>
  <c r="N404" i="30"/>
  <c r="M404" i="30"/>
  <c r="L404" i="30"/>
  <c r="K404" i="30"/>
  <c r="J404" i="30"/>
  <c r="I404" i="30"/>
  <c r="H404" i="30"/>
  <c r="G404" i="30"/>
  <c r="F404" i="30"/>
  <c r="E404" i="30"/>
  <c r="D404" i="30"/>
  <c r="C404" i="30"/>
  <c r="O402" i="30"/>
  <c r="O401" i="30"/>
  <c r="O400" i="30"/>
  <c r="O399" i="30"/>
  <c r="N398" i="30"/>
  <c r="M398" i="30"/>
  <c r="L398" i="30"/>
  <c r="K398" i="30"/>
  <c r="J398" i="30"/>
  <c r="I398" i="30"/>
  <c r="H398" i="30"/>
  <c r="G398" i="30"/>
  <c r="F398" i="30"/>
  <c r="E398" i="30"/>
  <c r="D398" i="30"/>
  <c r="C398" i="30"/>
  <c r="O396" i="30"/>
  <c r="O395" i="30"/>
  <c r="O394" i="30"/>
  <c r="O393" i="30"/>
  <c r="O392" i="30"/>
  <c r="O391" i="30"/>
  <c r="O390" i="30"/>
  <c r="O389" i="30"/>
  <c r="O388" i="30"/>
  <c r="O387" i="30"/>
  <c r="N386" i="30"/>
  <c r="N385" i="30" s="1"/>
  <c r="M386" i="30"/>
  <c r="M385" i="30" s="1"/>
  <c r="L386" i="30"/>
  <c r="K386" i="30"/>
  <c r="J386" i="30"/>
  <c r="J385" i="30" s="1"/>
  <c r="I386" i="30"/>
  <c r="I385" i="30" s="1"/>
  <c r="H386" i="30"/>
  <c r="H385" i="30" s="1"/>
  <c r="G386" i="30"/>
  <c r="G385" i="30" s="1"/>
  <c r="F386" i="30"/>
  <c r="E386" i="30"/>
  <c r="D386" i="30"/>
  <c r="D385" i="30" s="1"/>
  <c r="C386" i="30"/>
  <c r="C385" i="30" s="1"/>
  <c r="L385" i="30"/>
  <c r="K385" i="30"/>
  <c r="E385" i="30"/>
  <c r="I383" i="30"/>
  <c r="I376" i="30" s="1"/>
  <c r="H383" i="30"/>
  <c r="H376" i="30" s="1"/>
  <c r="G383" i="30"/>
  <c r="G376" i="30" s="1"/>
  <c r="E383" i="30"/>
  <c r="O382" i="30"/>
  <c r="O381" i="30"/>
  <c r="O380" i="30"/>
  <c r="O379" i="30"/>
  <c r="O378" i="30"/>
  <c r="O377" i="30"/>
  <c r="N376" i="30"/>
  <c r="M376" i="30"/>
  <c r="L376" i="30"/>
  <c r="K376" i="30"/>
  <c r="J376" i="30"/>
  <c r="F376" i="30"/>
  <c r="E376" i="30"/>
  <c r="D376" i="30"/>
  <c r="C376" i="30"/>
  <c r="O374" i="30"/>
  <c r="K373" i="30"/>
  <c r="K370" i="30" s="1"/>
  <c r="I373" i="30"/>
  <c r="F373" i="30"/>
  <c r="F370" i="30" s="1"/>
  <c r="O372" i="30"/>
  <c r="O371" i="30"/>
  <c r="N370" i="30"/>
  <c r="M370" i="30"/>
  <c r="L370" i="30"/>
  <c r="J370" i="30"/>
  <c r="I370" i="30"/>
  <c r="H370" i="30"/>
  <c r="G370" i="30"/>
  <c r="E370" i="30"/>
  <c r="D370" i="30"/>
  <c r="C370" i="30"/>
  <c r="O368" i="30"/>
  <c r="O367" i="30"/>
  <c r="O366" i="30"/>
  <c r="N366" i="30"/>
  <c r="M366" i="30"/>
  <c r="L366" i="30"/>
  <c r="K366" i="30"/>
  <c r="J366" i="30"/>
  <c r="I366" i="30"/>
  <c r="H366" i="30"/>
  <c r="G366" i="30"/>
  <c r="F366" i="30"/>
  <c r="E366" i="30"/>
  <c r="D366" i="30"/>
  <c r="C366" i="30"/>
  <c r="O364" i="30"/>
  <c r="O363" i="30"/>
  <c r="O362" i="30"/>
  <c r="O361" i="30"/>
  <c r="O360" i="30"/>
  <c r="O359" i="30"/>
  <c r="O358" i="30"/>
  <c r="O357" i="30"/>
  <c r="D356" i="30"/>
  <c r="O355" i="30"/>
  <c r="O354" i="30"/>
  <c r="O353" i="30"/>
  <c r="O352" i="30"/>
  <c r="O351" i="30"/>
  <c r="M350" i="30"/>
  <c r="I350" i="30"/>
  <c r="H350" i="30"/>
  <c r="G350" i="30"/>
  <c r="F350" i="30"/>
  <c r="E350" i="30"/>
  <c r="D350" i="30"/>
  <c r="C350" i="30"/>
  <c r="O349" i="30"/>
  <c r="O348" i="30"/>
  <c r="O345" i="30"/>
  <c r="O344" i="30"/>
  <c r="O343" i="30"/>
  <c r="O342" i="30"/>
  <c r="O341" i="30"/>
  <c r="O340" i="30"/>
  <c r="O339" i="30"/>
  <c r="O338" i="30"/>
  <c r="O337" i="30"/>
  <c r="O336" i="30"/>
  <c r="O335" i="30"/>
  <c r="O334" i="30"/>
  <c r="O333" i="30"/>
  <c r="O332" i="30"/>
  <c r="O331" i="30"/>
  <c r="O330" i="30"/>
  <c r="O329" i="30"/>
  <c r="O328" i="30"/>
  <c r="O327" i="30"/>
  <c r="N326" i="30"/>
  <c r="F326" i="30"/>
  <c r="O325" i="30"/>
  <c r="O324" i="30"/>
  <c r="O323" i="30"/>
  <c r="O322" i="30"/>
  <c r="O321" i="30"/>
  <c r="O320" i="30"/>
  <c r="N319" i="30"/>
  <c r="M319" i="30"/>
  <c r="L319" i="30"/>
  <c r="K319" i="30"/>
  <c r="J319" i="30"/>
  <c r="I319" i="30"/>
  <c r="H319" i="30"/>
  <c r="G319" i="30"/>
  <c r="F319" i="30"/>
  <c r="E319" i="30"/>
  <c r="O318" i="30"/>
  <c r="O317" i="30"/>
  <c r="O316" i="30"/>
  <c r="O315" i="30"/>
  <c r="O314" i="30"/>
  <c r="O313" i="30"/>
  <c r="O312" i="30"/>
  <c r="O311" i="30"/>
  <c r="O310" i="30"/>
  <c r="O309" i="30"/>
  <c r="O308" i="30"/>
  <c r="O307" i="30"/>
  <c r="O306" i="30"/>
  <c r="H305" i="30"/>
  <c r="F305" i="30"/>
  <c r="E305" i="30"/>
  <c r="D305" i="30"/>
  <c r="C305" i="30"/>
  <c r="O304" i="30"/>
  <c r="O303" i="30"/>
  <c r="L302" i="30"/>
  <c r="K302" i="30"/>
  <c r="J302" i="30"/>
  <c r="I302" i="30"/>
  <c r="F302" i="30"/>
  <c r="C302" i="30"/>
  <c r="O301" i="30"/>
  <c r="O300" i="30"/>
  <c r="O299" i="30"/>
  <c r="N298" i="30"/>
  <c r="M298" i="30"/>
  <c r="L298" i="30"/>
  <c r="K298" i="30"/>
  <c r="J298" i="30"/>
  <c r="I298" i="30"/>
  <c r="H298" i="30"/>
  <c r="G298" i="30"/>
  <c r="F298" i="30"/>
  <c r="E298" i="30"/>
  <c r="D298" i="30"/>
  <c r="C298" i="30"/>
  <c r="O297" i="30"/>
  <c r="O296" i="30"/>
  <c r="O295" i="30"/>
  <c r="J294" i="30"/>
  <c r="H294" i="30"/>
  <c r="G294" i="30"/>
  <c r="F294" i="30"/>
  <c r="O293" i="30"/>
  <c r="O292" i="30"/>
  <c r="O291" i="30"/>
  <c r="O290" i="30"/>
  <c r="N289" i="30"/>
  <c r="M289" i="30"/>
  <c r="L289" i="30"/>
  <c r="K289" i="30"/>
  <c r="J289" i="30"/>
  <c r="G289" i="30"/>
  <c r="F289" i="30"/>
  <c r="E289" i="30"/>
  <c r="D289" i="30"/>
  <c r="C289" i="30"/>
  <c r="O288" i="30"/>
  <c r="O287" i="30"/>
  <c r="O286" i="30"/>
  <c r="O285" i="30"/>
  <c r="O284" i="30"/>
  <c r="O283" i="30"/>
  <c r="O282" i="30"/>
  <c r="O281" i="30"/>
  <c r="O280" i="30"/>
  <c r="O279" i="30"/>
  <c r="O278" i="30"/>
  <c r="O277" i="30"/>
  <c r="O276" i="30"/>
  <c r="O275" i="30"/>
  <c r="O274" i="30"/>
  <c r="O273" i="30"/>
  <c r="O272" i="30"/>
  <c r="O271" i="30"/>
  <c r="O270" i="30"/>
  <c r="O269" i="30"/>
  <c r="O268" i="30"/>
  <c r="O267" i="30"/>
  <c r="O266" i="30"/>
  <c r="O265" i="30"/>
  <c r="O264" i="30"/>
  <c r="O263" i="30"/>
  <c r="O262" i="30"/>
  <c r="O261" i="30"/>
  <c r="O260" i="30"/>
  <c r="O259" i="30"/>
  <c r="O258" i="30"/>
  <c r="O257" i="30"/>
  <c r="O256" i="30"/>
  <c r="O255" i="30"/>
  <c r="O254" i="30"/>
  <c r="O253" i="30"/>
  <c r="O252" i="30"/>
  <c r="N251" i="30"/>
  <c r="M251" i="30"/>
  <c r="L251" i="30"/>
  <c r="J251" i="30"/>
  <c r="I251" i="30"/>
  <c r="H251" i="30"/>
  <c r="G251" i="30"/>
  <c r="F251" i="30"/>
  <c r="E251" i="30"/>
  <c r="D251" i="30"/>
  <c r="C251" i="30"/>
  <c r="O250" i="30"/>
  <c r="O249" i="30"/>
  <c r="O248" i="30"/>
  <c r="O247" i="30"/>
  <c r="O246" i="30"/>
  <c r="O245" i="30"/>
  <c r="O244" i="30"/>
  <c r="O243" i="30"/>
  <c r="O242" i="30"/>
  <c r="O241" i="30"/>
  <c r="O240" i="30"/>
  <c r="O239" i="30"/>
  <c r="O238" i="30"/>
  <c r="O237" i="30"/>
  <c r="O236" i="30"/>
  <c r="O235" i="30"/>
  <c r="O234" i="30"/>
  <c r="O233" i="30"/>
  <c r="O232" i="30"/>
  <c r="O231" i="30"/>
  <c r="O230" i="30"/>
  <c r="O229" i="30"/>
  <c r="O228" i="30"/>
  <c r="O227" i="30"/>
  <c r="O226" i="30"/>
  <c r="O225" i="30"/>
  <c r="O224" i="30"/>
  <c r="O223" i="30"/>
  <c r="O222" i="30"/>
  <c r="O221" i="30"/>
  <c r="O220" i="30"/>
  <c r="O219" i="30"/>
  <c r="O218" i="30"/>
  <c r="O217" i="30"/>
  <c r="O216" i="30"/>
  <c r="O215" i="30"/>
  <c r="N214" i="30"/>
  <c r="O214" i="30" s="1"/>
  <c r="O213" i="30"/>
  <c r="N212" i="30"/>
  <c r="O212" i="30" s="1"/>
  <c r="O211" i="30"/>
  <c r="N210" i="30"/>
  <c r="O210" i="30" s="1"/>
  <c r="O209" i="30"/>
  <c r="O208" i="30"/>
  <c r="O207" i="30"/>
  <c r="O206" i="30"/>
  <c r="O205" i="30"/>
  <c r="H204" i="30"/>
  <c r="O204" i="30" s="1"/>
  <c r="O203" i="30"/>
  <c r="O202" i="30"/>
  <c r="O201" i="30"/>
  <c r="N200" i="30"/>
  <c r="O200" i="30" s="1"/>
  <c r="N199" i="30"/>
  <c r="O199" i="30" s="1"/>
  <c r="O198" i="30"/>
  <c r="O197" i="30"/>
  <c r="O196" i="30"/>
  <c r="N195" i="30"/>
  <c r="M195" i="30"/>
  <c r="L195" i="30"/>
  <c r="K195" i="30"/>
  <c r="J195" i="30"/>
  <c r="I195" i="30"/>
  <c r="H195" i="30"/>
  <c r="G195" i="30"/>
  <c r="F195" i="30"/>
  <c r="E195" i="30"/>
  <c r="D195" i="30"/>
  <c r="C195" i="30"/>
  <c r="O194" i="30"/>
  <c r="N193" i="30"/>
  <c r="M193" i="30"/>
  <c r="L193" i="30"/>
  <c r="K193" i="30"/>
  <c r="J193" i="30"/>
  <c r="I193" i="30"/>
  <c r="H193" i="30"/>
  <c r="G193" i="30"/>
  <c r="F193" i="30"/>
  <c r="E193" i="30"/>
  <c r="D193" i="30"/>
  <c r="C193" i="30"/>
  <c r="O192" i="30"/>
  <c r="O191" i="30"/>
  <c r="O190" i="30"/>
  <c r="O189" i="30"/>
  <c r="O188" i="30"/>
  <c r="O187" i="30"/>
  <c r="O186" i="30"/>
  <c r="O185" i="30"/>
  <c r="O184" i="30"/>
  <c r="O183" i="30"/>
  <c r="O182" i="30"/>
  <c r="O181" i="30"/>
  <c r="O180" i="30"/>
  <c r="O179" i="30"/>
  <c r="O178" i="30"/>
  <c r="O177" i="30"/>
  <c r="O176" i="30"/>
  <c r="O175" i="30"/>
  <c r="O174" i="30"/>
  <c r="O173" i="30"/>
  <c r="O172" i="30"/>
  <c r="O171" i="30"/>
  <c r="O170" i="30"/>
  <c r="O169" i="30"/>
  <c r="O168" i="30"/>
  <c r="O167" i="30"/>
  <c r="O166" i="30"/>
  <c r="O165" i="30"/>
  <c r="O164" i="30"/>
  <c r="O163" i="30"/>
  <c r="O162" i="30"/>
  <c r="O161" i="30"/>
  <c r="O160" i="30"/>
  <c r="N159" i="30"/>
  <c r="L159" i="30"/>
  <c r="K159" i="30"/>
  <c r="H159" i="30"/>
  <c r="E159" i="30"/>
  <c r="O158" i="30"/>
  <c r="O157" i="30"/>
  <c r="O156" i="30"/>
  <c r="O155" i="30"/>
  <c r="O154" i="30"/>
  <c r="O153" i="30"/>
  <c r="O152" i="30"/>
  <c r="O151" i="30"/>
  <c r="N150" i="30"/>
  <c r="M150" i="30"/>
  <c r="L150" i="30"/>
  <c r="K150" i="30"/>
  <c r="J150" i="30"/>
  <c r="I150" i="30"/>
  <c r="H150" i="30"/>
  <c r="G150" i="30"/>
  <c r="F150" i="30"/>
  <c r="E150" i="30"/>
  <c r="D150" i="30"/>
  <c r="O149" i="30"/>
  <c r="O148" i="30"/>
  <c r="O147" i="30"/>
  <c r="O146" i="30"/>
  <c r="O145" i="30"/>
  <c r="N144" i="30"/>
  <c r="M144" i="30"/>
  <c r="L144" i="30"/>
  <c r="K144" i="30"/>
  <c r="J144" i="30"/>
  <c r="I144" i="30"/>
  <c r="H144" i="30"/>
  <c r="G144" i="30"/>
  <c r="F144" i="30"/>
  <c r="E144" i="30"/>
  <c r="D144" i="30"/>
  <c r="C144" i="30"/>
  <c r="O143" i="30"/>
  <c r="O142" i="30"/>
  <c r="O141" i="30"/>
  <c r="O140" i="30"/>
  <c r="O139" i="30"/>
  <c r="O136" i="30"/>
  <c r="O135" i="30"/>
  <c r="O134" i="30"/>
  <c r="O133" i="30"/>
  <c r="O132" i="30"/>
  <c r="O131" i="30"/>
  <c r="O130" i="30"/>
  <c r="O129" i="30"/>
  <c r="N128" i="30"/>
  <c r="M128" i="30"/>
  <c r="L128" i="30"/>
  <c r="K128" i="30"/>
  <c r="J128" i="30"/>
  <c r="I128" i="30"/>
  <c r="H128" i="30"/>
  <c r="G128" i="30"/>
  <c r="F128" i="30"/>
  <c r="E128" i="30"/>
  <c r="D128" i="30"/>
  <c r="C128" i="30"/>
  <c r="O126" i="30"/>
  <c r="O125" i="30" s="1"/>
  <c r="N125" i="30"/>
  <c r="M125" i="30"/>
  <c r="L125" i="30"/>
  <c r="K125" i="30"/>
  <c r="J125" i="30"/>
  <c r="I125" i="30"/>
  <c r="H125" i="30"/>
  <c r="G125" i="30"/>
  <c r="F125" i="30"/>
  <c r="E125" i="30"/>
  <c r="D125" i="30"/>
  <c r="C125" i="30"/>
  <c r="O123" i="30"/>
  <c r="O122" i="30"/>
  <c r="O121" i="30"/>
  <c r="O120" i="30"/>
  <c r="O119" i="30"/>
  <c r="O118" i="30"/>
  <c r="N117" i="30"/>
  <c r="M117" i="30"/>
  <c r="L117" i="30"/>
  <c r="K117" i="30"/>
  <c r="J117" i="30"/>
  <c r="I117" i="30"/>
  <c r="H117" i="30"/>
  <c r="G117" i="30"/>
  <c r="F117" i="30"/>
  <c r="E117" i="30"/>
  <c r="D117" i="30"/>
  <c r="C117" i="30"/>
  <c r="O115" i="30"/>
  <c r="O114" i="30"/>
  <c r="O113" i="30"/>
  <c r="O112" i="30"/>
  <c r="O111" i="30"/>
  <c r="O110" i="30"/>
  <c r="O109" i="30"/>
  <c r="O108" i="30"/>
  <c r="N107" i="30"/>
  <c r="M107" i="30"/>
  <c r="L107" i="30"/>
  <c r="K107" i="30"/>
  <c r="J107" i="30"/>
  <c r="I107" i="30"/>
  <c r="H107" i="30"/>
  <c r="G107" i="30"/>
  <c r="F107" i="30"/>
  <c r="E107" i="30"/>
  <c r="D107" i="30"/>
  <c r="C107" i="30"/>
  <c r="O104" i="30"/>
  <c r="O103" i="30"/>
  <c r="O102" i="30"/>
  <c r="O101" i="30"/>
  <c r="O100" i="30"/>
  <c r="O99" i="30"/>
  <c r="N98" i="30"/>
  <c r="M98" i="30"/>
  <c r="L98" i="30"/>
  <c r="K98" i="30"/>
  <c r="J98" i="30"/>
  <c r="I98" i="30"/>
  <c r="H98" i="30"/>
  <c r="G98" i="30"/>
  <c r="F98" i="30"/>
  <c r="E98" i="30"/>
  <c r="D98" i="30"/>
  <c r="C98" i="30"/>
  <c r="O96" i="30"/>
  <c r="O95" i="30"/>
  <c r="N94" i="30"/>
  <c r="M94" i="30"/>
  <c r="L94" i="30"/>
  <c r="K94" i="30"/>
  <c r="J94" i="30"/>
  <c r="I94" i="30"/>
  <c r="H94" i="30"/>
  <c r="G94" i="30"/>
  <c r="F94" i="30"/>
  <c r="E94" i="30"/>
  <c r="D94" i="30"/>
  <c r="C94" i="30"/>
  <c r="O92" i="30"/>
  <c r="O91" i="30"/>
  <c r="O90" i="30" s="1"/>
  <c r="N90" i="30"/>
  <c r="M90" i="30"/>
  <c r="L90" i="30"/>
  <c r="K90" i="30"/>
  <c r="J90" i="30"/>
  <c r="I90" i="30"/>
  <c r="H90" i="30"/>
  <c r="G90" i="30"/>
  <c r="F90" i="30"/>
  <c r="E90" i="30"/>
  <c r="D90" i="30"/>
  <c r="C90" i="30"/>
  <c r="O88" i="30"/>
  <c r="O87" i="30"/>
  <c r="O86" i="30"/>
  <c r="O85" i="30" s="1"/>
  <c r="N85" i="30"/>
  <c r="M85" i="30"/>
  <c r="L85" i="30"/>
  <c r="K85" i="30"/>
  <c r="J85" i="30"/>
  <c r="I85" i="30"/>
  <c r="H85" i="30"/>
  <c r="G85" i="30"/>
  <c r="F85" i="30"/>
  <c r="E85" i="30"/>
  <c r="D85" i="30"/>
  <c r="C85" i="30"/>
  <c r="O83" i="30"/>
  <c r="O82" i="30"/>
  <c r="O81" i="30"/>
  <c r="N80" i="30"/>
  <c r="M80" i="30"/>
  <c r="L80" i="30"/>
  <c r="K80" i="30"/>
  <c r="J80" i="30"/>
  <c r="I80" i="30"/>
  <c r="H80" i="30"/>
  <c r="G80" i="30"/>
  <c r="F80" i="30"/>
  <c r="E80" i="30"/>
  <c r="D80" i="30"/>
  <c r="C80" i="30"/>
  <c r="K78" i="30"/>
  <c r="K71" i="30" s="1"/>
  <c r="J78" i="30"/>
  <c r="J71" i="30" s="1"/>
  <c r="I78" i="30"/>
  <c r="I71" i="30" s="1"/>
  <c r="H78" i="30"/>
  <c r="H71" i="30" s="1"/>
  <c r="G78" i="30"/>
  <c r="G71" i="30" s="1"/>
  <c r="F78" i="30"/>
  <c r="F71" i="30" s="1"/>
  <c r="E78" i="30"/>
  <c r="E71" i="30" s="1"/>
  <c r="D78" i="30"/>
  <c r="D71" i="30" s="1"/>
  <c r="C78" i="30"/>
  <c r="C71" i="30" s="1"/>
  <c r="O77" i="30"/>
  <c r="O76" i="30"/>
  <c r="O75" i="30"/>
  <c r="O74" i="30"/>
  <c r="O73" i="30"/>
  <c r="O72" i="30"/>
  <c r="N71" i="30"/>
  <c r="M71" i="30"/>
  <c r="L71" i="30"/>
  <c r="O69" i="30"/>
  <c r="O68" i="30"/>
  <c r="O67" i="30"/>
  <c r="O66" i="30"/>
  <c r="O65" i="30"/>
  <c r="O64" i="30"/>
  <c r="G63" i="30"/>
  <c r="G61" i="30" s="1"/>
  <c r="N62" i="30"/>
  <c r="M62" i="30"/>
  <c r="L62" i="30"/>
  <c r="K62" i="30"/>
  <c r="J62" i="30"/>
  <c r="I62" i="30"/>
  <c r="H62" i="30"/>
  <c r="G62" i="30"/>
  <c r="D62" i="30"/>
  <c r="D61" i="30" s="1"/>
  <c r="C62" i="30"/>
  <c r="F61" i="30"/>
  <c r="E61" i="30"/>
  <c r="O59" i="30"/>
  <c r="O58" i="30" s="1"/>
  <c r="N58" i="30"/>
  <c r="M58" i="30"/>
  <c r="L58" i="30"/>
  <c r="K58" i="30"/>
  <c r="J58" i="30"/>
  <c r="I58" i="30"/>
  <c r="H58" i="30"/>
  <c r="G58" i="30"/>
  <c r="F58" i="30"/>
  <c r="E58" i="30"/>
  <c r="D58" i="30"/>
  <c r="C58" i="30"/>
  <c r="O56" i="30"/>
  <c r="O55" i="30"/>
  <c r="O54" i="30"/>
  <c r="O53" i="30"/>
  <c r="O52" i="30"/>
  <c r="N51" i="30"/>
  <c r="M51" i="30"/>
  <c r="L51" i="30"/>
  <c r="K51" i="30"/>
  <c r="J51" i="30"/>
  <c r="I51" i="30"/>
  <c r="H51" i="30"/>
  <c r="G51" i="30"/>
  <c r="F51" i="30"/>
  <c r="E51" i="30"/>
  <c r="D51" i="30"/>
  <c r="C51" i="30"/>
  <c r="O49" i="30"/>
  <c r="O48" i="30"/>
  <c r="N47" i="30"/>
  <c r="M47" i="30"/>
  <c r="L47" i="30"/>
  <c r="K47" i="30"/>
  <c r="J47" i="30"/>
  <c r="I47" i="30"/>
  <c r="H47" i="30"/>
  <c r="G47" i="30"/>
  <c r="F47" i="30"/>
  <c r="E47" i="30"/>
  <c r="D47" i="30"/>
  <c r="C47" i="30"/>
  <c r="O45" i="30"/>
  <c r="O44" i="30"/>
  <c r="O43" i="30"/>
  <c r="O42" i="30"/>
  <c r="O41" i="30"/>
  <c r="O40" i="30"/>
  <c r="O39" i="30"/>
  <c r="O38" i="30"/>
  <c r="O37" i="30"/>
  <c r="O36" i="30"/>
  <c r="O35" i="30"/>
  <c r="O34" i="30"/>
  <c r="O33" i="30"/>
  <c r="O32" i="30"/>
  <c r="O31" i="30"/>
  <c r="O30" i="30"/>
  <c r="O29" i="30"/>
  <c r="O28" i="30"/>
  <c r="O27" i="30"/>
  <c r="O26" i="30"/>
  <c r="N25" i="30"/>
  <c r="M25" i="30"/>
  <c r="L25" i="30"/>
  <c r="K25" i="30"/>
  <c r="J25" i="30"/>
  <c r="I25" i="30"/>
  <c r="H25" i="30"/>
  <c r="G25" i="30"/>
  <c r="F25" i="30"/>
  <c r="E25" i="30"/>
  <c r="D25" i="30"/>
  <c r="C25" i="30"/>
  <c r="O23" i="30"/>
  <c r="N22" i="30"/>
  <c r="M22" i="30"/>
  <c r="L22" i="30"/>
  <c r="K22" i="30"/>
  <c r="J22" i="30"/>
  <c r="I22" i="30"/>
  <c r="H22" i="30"/>
  <c r="G22" i="30"/>
  <c r="F22" i="30"/>
  <c r="E22" i="30"/>
  <c r="D22" i="30"/>
  <c r="C22" i="30"/>
  <c r="O19" i="30"/>
  <c r="O18" i="30"/>
  <c r="O17" i="30"/>
  <c r="O16" i="30"/>
  <c r="O15" i="30"/>
  <c r="O14" i="30"/>
  <c r="O13" i="30"/>
  <c r="N12" i="30"/>
  <c r="M12" i="30"/>
  <c r="L12" i="30"/>
  <c r="K12" i="30"/>
  <c r="J12" i="30"/>
  <c r="I12" i="30"/>
  <c r="H12" i="30"/>
  <c r="G12" i="30"/>
  <c r="F12" i="30"/>
  <c r="E12" i="30"/>
  <c r="D12" i="30"/>
  <c r="C12" i="30"/>
  <c r="O9" i="30"/>
  <c r="N9" i="30"/>
  <c r="M9" i="30"/>
  <c r="L9" i="30"/>
  <c r="K9" i="30"/>
  <c r="J9" i="30"/>
  <c r="I9" i="30"/>
  <c r="H9" i="30"/>
  <c r="G9" i="30"/>
  <c r="F9" i="30"/>
  <c r="E9" i="30"/>
  <c r="D9" i="30"/>
  <c r="C9" i="30"/>
  <c r="I438" i="29"/>
  <c r="F438" i="29"/>
  <c r="E438" i="29"/>
  <c r="O437" i="29"/>
  <c r="N436" i="29"/>
  <c r="N438" i="29" s="1"/>
  <c r="M436" i="29"/>
  <c r="M438" i="29" s="1"/>
  <c r="L436" i="29"/>
  <c r="L438" i="29" s="1"/>
  <c r="K436" i="29"/>
  <c r="K438" i="29" s="1"/>
  <c r="J436" i="29"/>
  <c r="J438" i="29" s="1"/>
  <c r="I436" i="29"/>
  <c r="H436" i="29"/>
  <c r="H438" i="29" s="1"/>
  <c r="G436" i="29"/>
  <c r="G438" i="29" s="1"/>
  <c r="F436" i="29"/>
  <c r="E436" i="29"/>
  <c r="D436" i="29"/>
  <c r="D438" i="29" s="1"/>
  <c r="C436" i="29"/>
  <c r="C438" i="29" s="1"/>
  <c r="O423" i="29"/>
  <c r="O422" i="29"/>
  <c r="O421" i="29"/>
  <c r="O420" i="29"/>
  <c r="O419" i="29"/>
  <c r="A419" i="29"/>
  <c r="A420" i="29" s="1"/>
  <c r="A421" i="29" s="1"/>
  <c r="A422" i="29" s="1"/>
  <c r="O418" i="29"/>
  <c r="N417" i="29"/>
  <c r="M417" i="29"/>
  <c r="L417" i="29"/>
  <c r="K417" i="29"/>
  <c r="J417" i="29"/>
  <c r="I417" i="29"/>
  <c r="H417" i="29"/>
  <c r="G417" i="29"/>
  <c r="F417" i="29"/>
  <c r="E417" i="29"/>
  <c r="D417" i="29"/>
  <c r="C417" i="29"/>
  <c r="O415" i="29"/>
  <c r="O414" i="29"/>
  <c r="O413" i="29"/>
  <c r="O412" i="29"/>
  <c r="O411" i="29"/>
  <c r="O410" i="29"/>
  <c r="O409" i="29"/>
  <c r="O408" i="29"/>
  <c r="O407" i="29"/>
  <c r="O406" i="29"/>
  <c r="O405" i="29"/>
  <c r="O404" i="29"/>
  <c r="O403" i="29"/>
  <c r="A403" i="29"/>
  <c r="O402" i="29"/>
  <c r="N401" i="29"/>
  <c r="M401" i="29"/>
  <c r="L401" i="29"/>
  <c r="K401" i="29"/>
  <c r="J401" i="29"/>
  <c r="I401" i="29"/>
  <c r="H401" i="29"/>
  <c r="G401" i="29"/>
  <c r="F401" i="29"/>
  <c r="E401" i="29"/>
  <c r="D401" i="29"/>
  <c r="C401" i="29"/>
  <c r="O399" i="29"/>
  <c r="O398" i="29"/>
  <c r="O397" i="29"/>
  <c r="O396" i="29"/>
  <c r="N395" i="29"/>
  <c r="M395" i="29"/>
  <c r="L395" i="29"/>
  <c r="K395" i="29"/>
  <c r="J395" i="29"/>
  <c r="I395" i="29"/>
  <c r="H395" i="29"/>
  <c r="G395" i="29"/>
  <c r="F395" i="29"/>
  <c r="E395" i="29"/>
  <c r="D395" i="29"/>
  <c r="C395" i="29"/>
  <c r="O393" i="29"/>
  <c r="O392" i="29"/>
  <c r="O391" i="29"/>
  <c r="O390" i="29"/>
  <c r="O389" i="29"/>
  <c r="K389" i="29"/>
  <c r="O388" i="29"/>
  <c r="O387" i="29"/>
  <c r="O386" i="29"/>
  <c r="O385" i="29"/>
  <c r="O384" i="29"/>
  <c r="N383" i="29"/>
  <c r="N382" i="29" s="1"/>
  <c r="M383" i="29"/>
  <c r="M382" i="29" s="1"/>
  <c r="L383" i="29"/>
  <c r="L382" i="29" s="1"/>
  <c r="K383" i="29"/>
  <c r="J383" i="29"/>
  <c r="J382" i="29" s="1"/>
  <c r="I383" i="29"/>
  <c r="H383" i="29"/>
  <c r="G383" i="29"/>
  <c r="G382" i="29" s="1"/>
  <c r="F383" i="29"/>
  <c r="E383" i="29"/>
  <c r="E382" i="29" s="1"/>
  <c r="D383" i="29"/>
  <c r="D382" i="29" s="1"/>
  <c r="C383" i="29"/>
  <c r="C382" i="29" s="1"/>
  <c r="I382" i="29"/>
  <c r="H382" i="29"/>
  <c r="F382" i="29"/>
  <c r="F380" i="29"/>
  <c r="F373" i="29" s="1"/>
  <c r="E380" i="29"/>
  <c r="O379" i="29"/>
  <c r="O378" i="29"/>
  <c r="O377" i="29"/>
  <c r="O376" i="29"/>
  <c r="O375" i="29"/>
  <c r="O374" i="29"/>
  <c r="N373" i="29"/>
  <c r="M373" i="29"/>
  <c r="L373" i="29"/>
  <c r="K373" i="29"/>
  <c r="J373" i="29"/>
  <c r="I373" i="29"/>
  <c r="H373" i="29"/>
  <c r="G373" i="29"/>
  <c r="E373" i="29"/>
  <c r="D373" i="29"/>
  <c r="C373" i="29"/>
  <c r="O371" i="29"/>
  <c r="O370" i="29"/>
  <c r="O369" i="29"/>
  <c r="O368" i="29" s="1"/>
  <c r="N368" i="29"/>
  <c r="M368" i="29"/>
  <c r="L368" i="29"/>
  <c r="K368" i="29"/>
  <c r="J368" i="29"/>
  <c r="I368" i="29"/>
  <c r="H368" i="29"/>
  <c r="G368" i="29"/>
  <c r="F368" i="29"/>
  <c r="E368" i="29"/>
  <c r="D368" i="29"/>
  <c r="C368" i="29"/>
  <c r="O366" i="29"/>
  <c r="O365" i="29"/>
  <c r="O364" i="29" s="1"/>
  <c r="N364" i="29"/>
  <c r="M364" i="29"/>
  <c r="L364" i="29"/>
  <c r="K364" i="29"/>
  <c r="J364" i="29"/>
  <c r="I364" i="29"/>
  <c r="H364" i="29"/>
  <c r="G364" i="29"/>
  <c r="F364" i="29"/>
  <c r="E364" i="29"/>
  <c r="D364" i="29"/>
  <c r="C364" i="29"/>
  <c r="O362" i="29"/>
  <c r="O361" i="29"/>
  <c r="O360" i="29"/>
  <c r="O359" i="29"/>
  <c r="O358" i="29"/>
  <c r="O357" i="29"/>
  <c r="O356" i="29"/>
  <c r="O355" i="29"/>
  <c r="O354" i="29"/>
  <c r="N354" i="29"/>
  <c r="O353" i="29"/>
  <c r="O352" i="29"/>
  <c r="O351" i="29"/>
  <c r="O350" i="29"/>
  <c r="O349" i="29"/>
  <c r="O348" i="29"/>
  <c r="O347" i="29"/>
  <c r="N346" i="29"/>
  <c r="M346" i="29"/>
  <c r="M345" i="29" s="1"/>
  <c r="L346" i="29"/>
  <c r="L345" i="29" s="1"/>
  <c r="F346" i="29"/>
  <c r="E346" i="29"/>
  <c r="O346" i="29" s="1"/>
  <c r="N345" i="29"/>
  <c r="K345" i="29"/>
  <c r="J345" i="29"/>
  <c r="I345" i="29"/>
  <c r="H345" i="29"/>
  <c r="G345" i="29"/>
  <c r="F345" i="29"/>
  <c r="D345" i="29"/>
  <c r="C345" i="29"/>
  <c r="O343" i="29"/>
  <c r="O342" i="29"/>
  <c r="O341" i="29"/>
  <c r="O340" i="29"/>
  <c r="O339" i="29"/>
  <c r="O338" i="29"/>
  <c r="O337" i="29"/>
  <c r="O336" i="29"/>
  <c r="O335" i="29"/>
  <c r="O334" i="29"/>
  <c r="O333" i="29"/>
  <c r="O332" i="29"/>
  <c r="O331" i="29"/>
  <c r="O330" i="29"/>
  <c r="O329" i="29"/>
  <c r="O328" i="29"/>
  <c r="O327" i="29"/>
  <c r="O326" i="29"/>
  <c r="O325" i="29"/>
  <c r="O324" i="29"/>
  <c r="O323" i="29"/>
  <c r="O322" i="29"/>
  <c r="O321" i="29"/>
  <c r="O320" i="29"/>
  <c r="O319" i="29"/>
  <c r="O318" i="29"/>
  <c r="D317" i="29"/>
  <c r="O317" i="29" s="1"/>
  <c r="O316" i="29"/>
  <c r="O315" i="29"/>
  <c r="O314" i="29"/>
  <c r="O313" i="29"/>
  <c r="O312" i="29"/>
  <c r="O311" i="29"/>
  <c r="O310" i="29"/>
  <c r="O309" i="29"/>
  <c r="O308" i="29"/>
  <c r="O307" i="29"/>
  <c r="O306" i="29"/>
  <c r="O305" i="29"/>
  <c r="O304" i="29"/>
  <c r="D303" i="29"/>
  <c r="C303" i="29"/>
  <c r="O302" i="29"/>
  <c r="O301" i="29"/>
  <c r="O300" i="29"/>
  <c r="O299" i="29"/>
  <c r="D296" i="29"/>
  <c r="C296" i="29"/>
  <c r="O296" i="29" s="1"/>
  <c r="O295" i="29"/>
  <c r="O294" i="29"/>
  <c r="O293" i="29"/>
  <c r="O292" i="29"/>
  <c r="O291" i="29"/>
  <c r="O290" i="29"/>
  <c r="O289" i="29"/>
  <c r="O288" i="29"/>
  <c r="N287" i="29"/>
  <c r="M287" i="29"/>
  <c r="L287" i="29"/>
  <c r="K287" i="29"/>
  <c r="J287" i="29"/>
  <c r="I287" i="29"/>
  <c r="H287" i="29"/>
  <c r="G287" i="29"/>
  <c r="F287" i="29"/>
  <c r="E287" i="29"/>
  <c r="D287" i="29"/>
  <c r="C287" i="29"/>
  <c r="O286" i="29"/>
  <c r="O285" i="29"/>
  <c r="O284" i="29"/>
  <c r="O283" i="29"/>
  <c r="O282" i="29"/>
  <c r="E282" i="29"/>
  <c r="O281" i="29"/>
  <c r="L280" i="29"/>
  <c r="O280" i="29" s="1"/>
  <c r="O279" i="29"/>
  <c r="O278" i="29"/>
  <c r="O277" i="29"/>
  <c r="O276" i="29"/>
  <c r="N275" i="29"/>
  <c r="O275" i="29" s="1"/>
  <c r="O274" i="29"/>
  <c r="O273" i="29"/>
  <c r="O272" i="29"/>
  <c r="O271" i="29"/>
  <c r="O270" i="29"/>
  <c r="O269" i="29"/>
  <c r="O268" i="29"/>
  <c r="O267" i="29"/>
  <c r="L266" i="29"/>
  <c r="K266" i="29"/>
  <c r="J266" i="29"/>
  <c r="H266" i="29"/>
  <c r="G266" i="29"/>
  <c r="F266" i="29"/>
  <c r="E266" i="29"/>
  <c r="D266" i="29"/>
  <c r="O265" i="29"/>
  <c r="N264" i="29"/>
  <c r="L264" i="29"/>
  <c r="K264" i="29"/>
  <c r="O264" i="29" s="1"/>
  <c r="O263" i="29"/>
  <c r="O262" i="29"/>
  <c r="O261" i="29"/>
  <c r="O260" i="29"/>
  <c r="O259" i="29"/>
  <c r="O258" i="29"/>
  <c r="O257" i="29"/>
  <c r="O256" i="29"/>
  <c r="O255" i="29"/>
  <c r="O254" i="29"/>
  <c r="O253" i="29"/>
  <c r="O252" i="29"/>
  <c r="O251" i="29"/>
  <c r="G250" i="29"/>
  <c r="O250" i="29" s="1"/>
  <c r="L249" i="29"/>
  <c r="D249" i="29"/>
  <c r="C249" i="29"/>
  <c r="O249" i="29" s="1"/>
  <c r="O248" i="29"/>
  <c r="O247" i="29"/>
  <c r="O246" i="29"/>
  <c r="O245" i="29"/>
  <c r="O244" i="29"/>
  <c r="O243" i="29"/>
  <c r="O242" i="29"/>
  <c r="O241" i="29"/>
  <c r="O240" i="29"/>
  <c r="O239" i="29"/>
  <c r="O238" i="29"/>
  <c r="O237" i="29"/>
  <c r="O236" i="29"/>
  <c r="O235" i="29"/>
  <c r="O234" i="29"/>
  <c r="O233" i="29"/>
  <c r="O232" i="29"/>
  <c r="M232" i="29"/>
  <c r="L232" i="29"/>
  <c r="J232" i="29"/>
  <c r="G232" i="29"/>
  <c r="F232" i="29"/>
  <c r="E232" i="29"/>
  <c r="O231" i="29"/>
  <c r="O230" i="29"/>
  <c r="O229" i="29"/>
  <c r="O228" i="29"/>
  <c r="O227" i="29"/>
  <c r="O226" i="29"/>
  <c r="O225" i="29"/>
  <c r="O224" i="29"/>
  <c r="O223" i="29"/>
  <c r="O222" i="29"/>
  <c r="O221" i="29"/>
  <c r="O220" i="29"/>
  <c r="O219" i="29"/>
  <c r="O218" i="29"/>
  <c r="O217" i="29"/>
  <c r="O216" i="29"/>
  <c r="O215" i="29"/>
  <c r="N215" i="29"/>
  <c r="M215" i="29"/>
  <c r="L215" i="29"/>
  <c r="K215" i="29"/>
  <c r="O214" i="29"/>
  <c r="O213" i="29"/>
  <c r="O212" i="29"/>
  <c r="O211" i="29"/>
  <c r="O210" i="29"/>
  <c r="J209" i="29"/>
  <c r="O209" i="29" s="1"/>
  <c r="N208" i="29"/>
  <c r="E208" i="29"/>
  <c r="O208" i="29" s="1"/>
  <c r="N207" i="29"/>
  <c r="M207" i="29"/>
  <c r="L207" i="29"/>
  <c r="K207" i="29"/>
  <c r="K137" i="29" s="1"/>
  <c r="J207" i="29"/>
  <c r="I207" i="29"/>
  <c r="H207" i="29"/>
  <c r="G207" i="29"/>
  <c r="F207" i="29"/>
  <c r="O206" i="29"/>
  <c r="O205" i="29"/>
  <c r="O204" i="29"/>
  <c r="O203" i="29"/>
  <c r="N202" i="29"/>
  <c r="M202" i="29"/>
  <c r="O201" i="29"/>
  <c r="O200" i="29"/>
  <c r="O199" i="29"/>
  <c r="N198" i="29"/>
  <c r="O198" i="29" s="1"/>
  <c r="N197" i="29"/>
  <c r="M197" i="29"/>
  <c r="L197" i="29"/>
  <c r="L137" i="29" s="1"/>
  <c r="K197" i="29"/>
  <c r="J197" i="29"/>
  <c r="I197" i="29"/>
  <c r="H197" i="29"/>
  <c r="G197" i="29"/>
  <c r="F197" i="29"/>
  <c r="E197" i="29"/>
  <c r="D197" i="29"/>
  <c r="C197" i="29"/>
  <c r="O196" i="29"/>
  <c r="O195" i="29"/>
  <c r="O194" i="29"/>
  <c r="O193" i="29"/>
  <c r="O192" i="29"/>
  <c r="N191" i="29"/>
  <c r="M191" i="29"/>
  <c r="L191" i="29"/>
  <c r="K191" i="29"/>
  <c r="J191" i="29"/>
  <c r="I191" i="29"/>
  <c r="I137" i="29" s="1"/>
  <c r="H191" i="29"/>
  <c r="H137" i="29" s="1"/>
  <c r="F191" i="29"/>
  <c r="E191" i="29"/>
  <c r="D191" i="29"/>
  <c r="O190" i="29"/>
  <c r="O189" i="29"/>
  <c r="O188" i="29"/>
  <c r="O187" i="29"/>
  <c r="O186" i="29"/>
  <c r="O185" i="29"/>
  <c r="O184" i="29"/>
  <c r="O183" i="29"/>
  <c r="O182" i="29"/>
  <c r="O181" i="29"/>
  <c r="O180" i="29"/>
  <c r="O179" i="29"/>
  <c r="O178" i="29"/>
  <c r="O177" i="29"/>
  <c r="O176" i="29"/>
  <c r="O175" i="29"/>
  <c r="O174" i="29"/>
  <c r="O173" i="29"/>
  <c r="O172" i="29"/>
  <c r="O171" i="29"/>
  <c r="O170" i="29"/>
  <c r="O169" i="29"/>
  <c r="O168" i="29"/>
  <c r="O167" i="29"/>
  <c r="O166" i="29"/>
  <c r="O165" i="29"/>
  <c r="O164" i="29"/>
  <c r="O163" i="29"/>
  <c r="O162" i="29"/>
  <c r="O161" i="29"/>
  <c r="O160" i="29"/>
  <c r="O159" i="29"/>
  <c r="N158" i="29"/>
  <c r="H158" i="29"/>
  <c r="E158" i="29"/>
  <c r="O157" i="29"/>
  <c r="O156" i="29"/>
  <c r="O155" i="29"/>
  <c r="O154" i="29"/>
  <c r="F153" i="29"/>
  <c r="O152" i="29"/>
  <c r="O151" i="29"/>
  <c r="O150" i="29"/>
  <c r="E149" i="29"/>
  <c r="D149" i="29"/>
  <c r="O149" i="29" s="1"/>
  <c r="O148" i="29"/>
  <c r="O147" i="29"/>
  <c r="O146" i="29"/>
  <c r="O145" i="29"/>
  <c r="O144" i="29"/>
  <c r="O143" i="29"/>
  <c r="O142" i="29"/>
  <c r="O141" i="29"/>
  <c r="O140" i="29"/>
  <c r="O139" i="29"/>
  <c r="O138" i="29"/>
  <c r="D137" i="29"/>
  <c r="O135" i="29"/>
  <c r="O134" i="29"/>
  <c r="E133" i="29"/>
  <c r="O133" i="29" s="1"/>
  <c r="O132" i="29"/>
  <c r="O131" i="29"/>
  <c r="N130" i="29"/>
  <c r="N127" i="29" s="1"/>
  <c r="M130" i="29"/>
  <c r="M127" i="29" s="1"/>
  <c r="L130" i="29"/>
  <c r="L127" i="29" s="1"/>
  <c r="K130" i="29"/>
  <c r="K127" i="29" s="1"/>
  <c r="J130" i="29"/>
  <c r="I130" i="29"/>
  <c r="H130" i="29"/>
  <c r="H127" i="29" s="1"/>
  <c r="G130" i="29"/>
  <c r="G127" i="29" s="1"/>
  <c r="F130" i="29"/>
  <c r="F127" i="29" s="1"/>
  <c r="E130" i="29"/>
  <c r="D130" i="29"/>
  <c r="D127" i="29" s="1"/>
  <c r="C130" i="29"/>
  <c r="O129" i="29"/>
  <c r="O128" i="29"/>
  <c r="J127" i="29"/>
  <c r="I127" i="29"/>
  <c r="E127" i="29"/>
  <c r="O125" i="29"/>
  <c r="O124" i="29" s="1"/>
  <c r="N124" i="29"/>
  <c r="M124" i="29"/>
  <c r="L124" i="29"/>
  <c r="K124" i="29"/>
  <c r="J124" i="29"/>
  <c r="I124" i="29"/>
  <c r="H124" i="29"/>
  <c r="G124" i="29"/>
  <c r="F124" i="29"/>
  <c r="E124" i="29"/>
  <c r="D124" i="29"/>
  <c r="C124" i="29"/>
  <c r="O122" i="29"/>
  <c r="O121" i="29"/>
  <c r="O120" i="29"/>
  <c r="O119" i="29"/>
  <c r="O118" i="29"/>
  <c r="O117" i="29"/>
  <c r="N116" i="29"/>
  <c r="M116" i="29"/>
  <c r="L116" i="29"/>
  <c r="K116" i="29"/>
  <c r="J116" i="29"/>
  <c r="I116" i="29"/>
  <c r="H116" i="29"/>
  <c r="G116" i="29"/>
  <c r="F116" i="29"/>
  <c r="E116" i="29"/>
  <c r="D116" i="29"/>
  <c r="C116" i="29"/>
  <c r="O114" i="29"/>
  <c r="O113" i="29"/>
  <c r="O112" i="29"/>
  <c r="O111" i="29"/>
  <c r="O110" i="29"/>
  <c r="O109" i="29"/>
  <c r="O108" i="29"/>
  <c r="O107" i="29"/>
  <c r="N106" i="29"/>
  <c r="M106" i="29"/>
  <c r="L106" i="29"/>
  <c r="K106" i="29"/>
  <c r="J106" i="29"/>
  <c r="I106" i="29"/>
  <c r="H106" i="29"/>
  <c r="G106" i="29"/>
  <c r="F106" i="29"/>
  <c r="E106" i="29"/>
  <c r="D106" i="29"/>
  <c r="C106" i="29"/>
  <c r="O103" i="29"/>
  <c r="O102" i="29"/>
  <c r="O101" i="29"/>
  <c r="O100" i="29"/>
  <c r="O99" i="29"/>
  <c r="O98" i="29"/>
  <c r="N97" i="29"/>
  <c r="M97" i="29"/>
  <c r="L97" i="29"/>
  <c r="K97" i="29"/>
  <c r="J97" i="29"/>
  <c r="I97" i="29"/>
  <c r="H97" i="29"/>
  <c r="G97" i="29"/>
  <c r="F97" i="29"/>
  <c r="E97" i="29"/>
  <c r="D97" i="29"/>
  <c r="C97" i="29"/>
  <c r="O95" i="29"/>
  <c r="O94" i="29"/>
  <c r="O93" i="29" s="1"/>
  <c r="N93" i="29"/>
  <c r="M93" i="29"/>
  <c r="L93" i="29"/>
  <c r="K93" i="29"/>
  <c r="J93" i="29"/>
  <c r="I93" i="29"/>
  <c r="H93" i="29"/>
  <c r="G93" i="29"/>
  <c r="F93" i="29"/>
  <c r="E93" i="29"/>
  <c r="D93" i="29"/>
  <c r="C93" i="29"/>
  <c r="O91" i="29"/>
  <c r="O90" i="29"/>
  <c r="N89" i="29"/>
  <c r="M89" i="29"/>
  <c r="L89" i="29"/>
  <c r="K89" i="29"/>
  <c r="J89" i="29"/>
  <c r="I89" i="29"/>
  <c r="H89" i="29"/>
  <c r="G89" i="29"/>
  <c r="F89" i="29"/>
  <c r="E89" i="29"/>
  <c r="D89" i="29"/>
  <c r="C89" i="29"/>
  <c r="O87" i="29"/>
  <c r="O86" i="29" s="1"/>
  <c r="N86" i="29"/>
  <c r="M86" i="29"/>
  <c r="L86" i="29"/>
  <c r="K86" i="29"/>
  <c r="J86" i="29"/>
  <c r="I86" i="29"/>
  <c r="H86" i="29"/>
  <c r="G86" i="29"/>
  <c r="F86" i="29"/>
  <c r="E86" i="29"/>
  <c r="D86" i="29"/>
  <c r="C86" i="29"/>
  <c r="O84" i="29"/>
  <c r="O83" i="29"/>
  <c r="O81" i="29" s="1"/>
  <c r="O82" i="29"/>
  <c r="N81" i="29"/>
  <c r="M81" i="29"/>
  <c r="L81" i="29"/>
  <c r="K81" i="29"/>
  <c r="J81" i="29"/>
  <c r="I81" i="29"/>
  <c r="H81" i="29"/>
  <c r="G81" i="29"/>
  <c r="F81" i="29"/>
  <c r="E81" i="29"/>
  <c r="D81" i="29"/>
  <c r="C81" i="29"/>
  <c r="O79" i="29"/>
  <c r="O78" i="29"/>
  <c r="O77" i="29"/>
  <c r="O76" i="29"/>
  <c r="O75" i="29"/>
  <c r="O74" i="29"/>
  <c r="O73" i="29"/>
  <c r="N72" i="29"/>
  <c r="M72" i="29"/>
  <c r="L72" i="29"/>
  <c r="K72" i="29"/>
  <c r="J72" i="29"/>
  <c r="I72" i="29"/>
  <c r="H72" i="29"/>
  <c r="G72" i="29"/>
  <c r="F72" i="29"/>
  <c r="E72" i="29"/>
  <c r="D72" i="29"/>
  <c r="C72" i="29"/>
  <c r="O70" i="29"/>
  <c r="O69" i="29"/>
  <c r="O68" i="29"/>
  <c r="O67" i="29"/>
  <c r="M66" i="29"/>
  <c r="L66" i="29"/>
  <c r="K66" i="29"/>
  <c r="J66" i="29"/>
  <c r="H66" i="29"/>
  <c r="O65" i="29"/>
  <c r="O64" i="29"/>
  <c r="N63" i="29"/>
  <c r="N62" i="29" s="1"/>
  <c r="M63" i="29"/>
  <c r="M62" i="29" s="1"/>
  <c r="L63" i="29"/>
  <c r="K63" i="29"/>
  <c r="K62" i="29" s="1"/>
  <c r="J63" i="29"/>
  <c r="J62" i="29" s="1"/>
  <c r="I63" i="29"/>
  <c r="H63" i="29"/>
  <c r="G63" i="29"/>
  <c r="F63" i="29"/>
  <c r="F62" i="29" s="1"/>
  <c r="E63" i="29"/>
  <c r="E62" i="29" s="1"/>
  <c r="D63" i="29"/>
  <c r="D62" i="29" s="1"/>
  <c r="C63" i="29"/>
  <c r="I62" i="29"/>
  <c r="G62" i="29"/>
  <c r="O60" i="29"/>
  <c r="O59" i="29" s="1"/>
  <c r="N59" i="29"/>
  <c r="M59" i="29"/>
  <c r="L59" i="29"/>
  <c r="K59" i="29"/>
  <c r="J59" i="29"/>
  <c r="I59" i="29"/>
  <c r="H59" i="29"/>
  <c r="G59" i="29"/>
  <c r="F59" i="29"/>
  <c r="E59" i="29"/>
  <c r="D59" i="29"/>
  <c r="C59" i="29"/>
  <c r="O57" i="29"/>
  <c r="O56" i="29"/>
  <c r="A56" i="29"/>
  <c r="A57" i="29" s="1"/>
  <c r="O55" i="29"/>
  <c r="O54" i="29"/>
  <c r="N53" i="29"/>
  <c r="N52" i="29" s="1"/>
  <c r="M53" i="29"/>
  <c r="M52" i="29" s="1"/>
  <c r="L53" i="29"/>
  <c r="L52" i="29" s="1"/>
  <c r="K53" i="29"/>
  <c r="J52" i="29"/>
  <c r="I52" i="29"/>
  <c r="H52" i="29"/>
  <c r="G52" i="29"/>
  <c r="F52" i="29"/>
  <c r="E52" i="29"/>
  <c r="D52" i="29"/>
  <c r="C52" i="29"/>
  <c r="O50" i="29"/>
  <c r="O49" i="29"/>
  <c r="O48" i="29" s="1"/>
  <c r="N48" i="29"/>
  <c r="M48" i="29"/>
  <c r="L48" i="29"/>
  <c r="K48" i="29"/>
  <c r="J48" i="29"/>
  <c r="I48" i="29"/>
  <c r="H48" i="29"/>
  <c r="G48" i="29"/>
  <c r="F48" i="29"/>
  <c r="E48" i="29"/>
  <c r="D48" i="29"/>
  <c r="C48" i="29"/>
  <c r="O46" i="29"/>
  <c r="O45" i="29"/>
  <c r="O44" i="29"/>
  <c r="O43" i="29"/>
  <c r="O42" i="29"/>
  <c r="O41" i="29"/>
  <c r="O40" i="29"/>
  <c r="O39" i="29"/>
  <c r="G38" i="29"/>
  <c r="G26" i="29" s="1"/>
  <c r="F38" i="29"/>
  <c r="F26" i="29" s="1"/>
  <c r="D38" i="29"/>
  <c r="O37" i="29"/>
  <c r="O36" i="29"/>
  <c r="O35" i="29"/>
  <c r="O34" i="29"/>
  <c r="O33" i="29"/>
  <c r="O32" i="29"/>
  <c r="O31" i="29"/>
  <c r="O30" i="29"/>
  <c r="O29" i="29"/>
  <c r="O28" i="29"/>
  <c r="O27" i="29"/>
  <c r="N26" i="29"/>
  <c r="M26" i="29"/>
  <c r="L26" i="29"/>
  <c r="K26" i="29"/>
  <c r="J26" i="29"/>
  <c r="I26" i="29"/>
  <c r="H26" i="29"/>
  <c r="E26" i="29"/>
  <c r="D26" i="29"/>
  <c r="C26" i="29"/>
  <c r="O24" i="29"/>
  <c r="O23" i="29"/>
  <c r="N23" i="29"/>
  <c r="M23" i="29"/>
  <c r="L23" i="29"/>
  <c r="K23" i="29"/>
  <c r="J23" i="29"/>
  <c r="I23" i="29"/>
  <c r="H23" i="29"/>
  <c r="G23" i="29"/>
  <c r="F23" i="29"/>
  <c r="E23" i="29"/>
  <c r="D23" i="29"/>
  <c r="C23" i="29"/>
  <c r="O20" i="29"/>
  <c r="O19" i="29"/>
  <c r="O18" i="29"/>
  <c r="O17" i="29"/>
  <c r="O16" i="29"/>
  <c r="O15" i="29"/>
  <c r="O14" i="29"/>
  <c r="N13" i="29"/>
  <c r="M13" i="29"/>
  <c r="L13" i="29"/>
  <c r="K13" i="29"/>
  <c r="J13" i="29"/>
  <c r="I13" i="29"/>
  <c r="H13" i="29"/>
  <c r="G13" i="29"/>
  <c r="F13" i="29"/>
  <c r="E13" i="29"/>
  <c r="D13" i="29"/>
  <c r="C13" i="29"/>
  <c r="O11" i="29"/>
  <c r="O10" i="29" s="1"/>
  <c r="N10" i="29"/>
  <c r="M10" i="29"/>
  <c r="L10" i="29"/>
  <c r="K10" i="29"/>
  <c r="J10" i="29"/>
  <c r="I10" i="29"/>
  <c r="H10" i="29"/>
  <c r="G10" i="29"/>
  <c r="F10" i="29"/>
  <c r="E10" i="29"/>
  <c r="D10" i="29"/>
  <c r="C10" i="29"/>
  <c r="Q92" i="10"/>
  <c r="Q93" i="10"/>
  <c r="Q94" i="10"/>
  <c r="Q158" i="10"/>
  <c r="Q160" i="10"/>
  <c r="Q161" i="10"/>
  <c r="Q162" i="10"/>
  <c r="Q163" i="10"/>
  <c r="Q164" i="10"/>
  <c r="Q165" i="10"/>
  <c r="Q166" i="10"/>
  <c r="Q167" i="10"/>
  <c r="Q168" i="10"/>
  <c r="Q169" i="10"/>
  <c r="Q170" i="10"/>
  <c r="Q171" i="10"/>
  <c r="Q172" i="10"/>
  <c r="Q173" i="10"/>
  <c r="O326" i="30" l="1"/>
  <c r="I138" i="30"/>
  <c r="O80" i="30"/>
  <c r="G138" i="30"/>
  <c r="O159" i="30"/>
  <c r="O404" i="30"/>
  <c r="O117" i="30"/>
  <c r="O98" i="30"/>
  <c r="O94" i="30"/>
  <c r="O12" i="30"/>
  <c r="O22" i="30"/>
  <c r="H138" i="30"/>
  <c r="O251" i="30"/>
  <c r="O289" i="30"/>
  <c r="O350" i="30"/>
  <c r="O383" i="30"/>
  <c r="O376" i="30" s="1"/>
  <c r="O420" i="30"/>
  <c r="O51" i="30"/>
  <c r="O62" i="30"/>
  <c r="O107" i="30"/>
  <c r="O128" i="30"/>
  <c r="O195" i="30"/>
  <c r="O78" i="30"/>
  <c r="O71" i="30" s="1"/>
  <c r="D138" i="30"/>
  <c r="L138" i="30"/>
  <c r="J138" i="30"/>
  <c r="M138" i="30"/>
  <c r="O302" i="30"/>
  <c r="O305" i="30"/>
  <c r="C347" i="30"/>
  <c r="O25" i="30"/>
  <c r="O47" i="30"/>
  <c r="O193" i="30"/>
  <c r="K138" i="30"/>
  <c r="O298" i="30"/>
  <c r="O386" i="30"/>
  <c r="O385" i="30" s="1"/>
  <c r="O398" i="30"/>
  <c r="O451" i="30"/>
  <c r="F138" i="30"/>
  <c r="N138" i="30"/>
  <c r="O294" i="30"/>
  <c r="O319" i="30"/>
  <c r="O444" i="30"/>
  <c r="O144" i="30"/>
  <c r="O150" i="30"/>
  <c r="C138" i="30"/>
  <c r="E356" i="30"/>
  <c r="F385" i="30"/>
  <c r="C61" i="30"/>
  <c r="D347" i="30"/>
  <c r="E138" i="30"/>
  <c r="H63" i="30"/>
  <c r="I63" i="30" s="1"/>
  <c r="I61" i="30" s="1"/>
  <c r="O373" i="30"/>
  <c r="O370" i="30" s="1"/>
  <c r="O53" i="29"/>
  <c r="O130" i="29"/>
  <c r="F137" i="29"/>
  <c r="F426" i="29" s="1"/>
  <c r="O191" i="29"/>
  <c r="M137" i="29"/>
  <c r="M426" i="29" s="1"/>
  <c r="M433" i="29" s="1"/>
  <c r="O266" i="29"/>
  <c r="O63" i="29"/>
  <c r="O62" i="29" s="1"/>
  <c r="L62" i="29"/>
  <c r="C137" i="29"/>
  <c r="O380" i="29"/>
  <c r="O383" i="29"/>
  <c r="O382" i="29" s="1"/>
  <c r="O89" i="29"/>
  <c r="O158" i="29"/>
  <c r="J137" i="29"/>
  <c r="J426" i="29" s="1"/>
  <c r="J433" i="29" s="1"/>
  <c r="O207" i="29"/>
  <c r="O287" i="29"/>
  <c r="G137" i="29"/>
  <c r="E137" i="29"/>
  <c r="K52" i="29"/>
  <c r="O66" i="29"/>
  <c r="N137" i="29"/>
  <c r="N426" i="29" s="1"/>
  <c r="O197" i="29"/>
  <c r="O202" i="29"/>
  <c r="O303" i="29"/>
  <c r="K382" i="29"/>
  <c r="O417" i="29"/>
  <c r="O401" i="29"/>
  <c r="O395" i="29"/>
  <c r="O373" i="29"/>
  <c r="O345" i="29"/>
  <c r="O127" i="29"/>
  <c r="O116" i="29"/>
  <c r="O106" i="29"/>
  <c r="O97" i="29"/>
  <c r="D426" i="29"/>
  <c r="D433" i="29" s="1"/>
  <c r="O72" i="29"/>
  <c r="O52" i="29"/>
  <c r="O13" i="29"/>
  <c r="L426" i="29"/>
  <c r="L428" i="29" s="1"/>
  <c r="I426" i="29"/>
  <c r="I428" i="29" s="1"/>
  <c r="G426" i="29"/>
  <c r="O438" i="29"/>
  <c r="K426" i="29"/>
  <c r="H62" i="29"/>
  <c r="H426" i="29" s="1"/>
  <c r="C127" i="29"/>
  <c r="O153" i="29"/>
  <c r="C62" i="29"/>
  <c r="O436" i="29"/>
  <c r="O38" i="29"/>
  <c r="O26" i="29" s="1"/>
  <c r="E345" i="29"/>
  <c r="Q187" i="10"/>
  <c r="Q188" i="10"/>
  <c r="Q190" i="10"/>
  <c r="Q191" i="10"/>
  <c r="Q229" i="10"/>
  <c r="Q209" i="10"/>
  <c r="Q210" i="10"/>
  <c r="Q212" i="10"/>
  <c r="Q227" i="10"/>
  <c r="Q228" i="10"/>
  <c r="Q215" i="10"/>
  <c r="Q213" i="10"/>
  <c r="Q225" i="10"/>
  <c r="Q224" i="10"/>
  <c r="Q206" i="10"/>
  <c r="Q217" i="10"/>
  <c r="Q211" i="10"/>
  <c r="Q223" i="10"/>
  <c r="Q207" i="10"/>
  <c r="Q218" i="10"/>
  <c r="Q221" i="10"/>
  <c r="Q220" i="10"/>
  <c r="Q214" i="10"/>
  <c r="Q222" i="10"/>
  <c r="Q216" i="10"/>
  <c r="Q226" i="10"/>
  <c r="Q208" i="10"/>
  <c r="Q219" i="10"/>
  <c r="Q230" i="10"/>
  <c r="P181" i="11"/>
  <c r="P192" i="11"/>
  <c r="P205" i="11"/>
  <c r="P193" i="11"/>
  <c r="P194" i="11"/>
  <c r="P195" i="11"/>
  <c r="P203" i="11"/>
  <c r="P204" i="11"/>
  <c r="P199" i="11"/>
  <c r="P196" i="11"/>
  <c r="P201" i="11"/>
  <c r="P198" i="11"/>
  <c r="P197" i="11"/>
  <c r="P200" i="11"/>
  <c r="P202" i="11"/>
  <c r="P206" i="11"/>
  <c r="P207" i="11"/>
  <c r="E190" i="11"/>
  <c r="F190" i="11"/>
  <c r="G190" i="11"/>
  <c r="H190" i="11"/>
  <c r="I190" i="11"/>
  <c r="J190" i="11"/>
  <c r="K190" i="11"/>
  <c r="L190" i="11"/>
  <c r="M190" i="11"/>
  <c r="N190" i="11"/>
  <c r="O190" i="11"/>
  <c r="D190" i="11"/>
  <c r="O174" i="12"/>
  <c r="O88" i="12"/>
  <c r="O66" i="12"/>
  <c r="C64" i="12"/>
  <c r="C31" i="12"/>
  <c r="E426" i="29" l="1"/>
  <c r="E428" i="29" s="1"/>
  <c r="O138" i="30"/>
  <c r="D429" i="30"/>
  <c r="C429" i="30"/>
  <c r="J63" i="30"/>
  <c r="J61" i="30" s="1"/>
  <c r="H61" i="30"/>
  <c r="F356" i="30"/>
  <c r="E347" i="30"/>
  <c r="E429" i="30" s="1"/>
  <c r="O137" i="29"/>
  <c r="O433" i="29" s="1"/>
  <c r="C426" i="29"/>
  <c r="C428" i="29" s="1"/>
  <c r="D428" i="29"/>
  <c r="M428" i="29"/>
  <c r="L433" i="29"/>
  <c r="I433" i="29"/>
  <c r="J428" i="29"/>
  <c r="H428" i="29"/>
  <c r="H433" i="29"/>
  <c r="G433" i="29"/>
  <c r="G428" i="29"/>
  <c r="F433" i="29"/>
  <c r="F428" i="29"/>
  <c r="N433" i="29"/>
  <c r="N428" i="29"/>
  <c r="K428" i="29"/>
  <c r="K433" i="29"/>
  <c r="P190" i="11"/>
  <c r="D59" i="13"/>
  <c r="E433" i="29" l="1"/>
  <c r="D436" i="30"/>
  <c r="D433" i="30"/>
  <c r="C436" i="30"/>
  <c r="C433" i="30"/>
  <c r="G356" i="30"/>
  <c r="F347" i="30"/>
  <c r="F429" i="30" s="1"/>
  <c r="K63" i="30"/>
  <c r="K61" i="30" s="1"/>
  <c r="E433" i="30"/>
  <c r="E436" i="30"/>
  <c r="O429" i="29"/>
  <c r="C433" i="29"/>
  <c r="O428" i="29"/>
  <c r="O11" i="1"/>
  <c r="O12" i="1"/>
  <c r="O13" i="1"/>
  <c r="O14" i="1"/>
  <c r="O15" i="1"/>
  <c r="O16" i="1"/>
  <c r="O17" i="1"/>
  <c r="O18" i="1"/>
  <c r="O19" i="1"/>
  <c r="O20" i="1"/>
  <c r="O21" i="1"/>
  <c r="O22" i="1"/>
  <c r="O23" i="1"/>
  <c r="O24" i="1"/>
  <c r="O25" i="1"/>
  <c r="O26" i="1"/>
  <c r="O27" i="1"/>
  <c r="O28" i="1"/>
  <c r="O29" i="1"/>
  <c r="O30" i="1"/>
  <c r="O31" i="1"/>
  <c r="O32" i="1"/>
  <c r="O33" i="1"/>
  <c r="O34" i="1"/>
  <c r="O10" i="1"/>
  <c r="D9" i="1"/>
  <c r="E9" i="1"/>
  <c r="F9" i="1"/>
  <c r="G9" i="1"/>
  <c r="H9" i="1"/>
  <c r="I9" i="1"/>
  <c r="J9" i="1"/>
  <c r="K9" i="1"/>
  <c r="L9" i="1"/>
  <c r="M9" i="1"/>
  <c r="N9" i="1"/>
  <c r="C9" i="1"/>
  <c r="O38" i="1"/>
  <c r="O39" i="1"/>
  <c r="O40" i="1"/>
  <c r="O41" i="1"/>
  <c r="O42" i="1"/>
  <c r="O43" i="1"/>
  <c r="O37" i="1"/>
  <c r="D36" i="1"/>
  <c r="E36" i="1"/>
  <c r="F36" i="1"/>
  <c r="G36" i="1"/>
  <c r="H36" i="1"/>
  <c r="I36" i="1"/>
  <c r="J36" i="1"/>
  <c r="K36" i="1"/>
  <c r="L36" i="1"/>
  <c r="M36" i="1"/>
  <c r="N36" i="1"/>
  <c r="C36" i="1"/>
  <c r="O71" i="1"/>
  <c r="O70" i="1"/>
  <c r="O69" i="1" s="1"/>
  <c r="D69" i="1"/>
  <c r="E69" i="1"/>
  <c r="F69" i="1"/>
  <c r="G69" i="1"/>
  <c r="H69" i="1"/>
  <c r="I69" i="1"/>
  <c r="J69" i="1"/>
  <c r="K69" i="1"/>
  <c r="L69" i="1"/>
  <c r="M69" i="1"/>
  <c r="N69" i="1"/>
  <c r="C69" i="1"/>
  <c r="O66" i="1"/>
  <c r="O67" i="1"/>
  <c r="O65" i="1"/>
  <c r="D64" i="1"/>
  <c r="E64" i="1"/>
  <c r="F64" i="1"/>
  <c r="G64" i="1"/>
  <c r="H64" i="1"/>
  <c r="I64" i="1"/>
  <c r="J64" i="1"/>
  <c r="K64" i="1"/>
  <c r="L64" i="1"/>
  <c r="M64" i="1"/>
  <c r="N64" i="1"/>
  <c r="C64" i="1"/>
  <c r="O62" i="1"/>
  <c r="O61" i="1" s="1"/>
  <c r="D61" i="1"/>
  <c r="E61" i="1"/>
  <c r="F61" i="1"/>
  <c r="G61" i="1"/>
  <c r="H61" i="1"/>
  <c r="I61" i="1"/>
  <c r="J61" i="1"/>
  <c r="K61" i="1"/>
  <c r="L61" i="1"/>
  <c r="M61" i="1"/>
  <c r="N61" i="1"/>
  <c r="C61" i="1"/>
  <c r="O47" i="1"/>
  <c r="O48" i="1"/>
  <c r="O49" i="1"/>
  <c r="O50" i="1"/>
  <c r="O51" i="1"/>
  <c r="O52" i="1"/>
  <c r="O53" i="1"/>
  <c r="O54" i="1"/>
  <c r="O55" i="1"/>
  <c r="O56" i="1"/>
  <c r="O57" i="1"/>
  <c r="O58" i="1"/>
  <c r="O59" i="1"/>
  <c r="O46" i="1"/>
  <c r="D45" i="1"/>
  <c r="E45" i="1"/>
  <c r="F45" i="1"/>
  <c r="G45" i="1"/>
  <c r="H45" i="1"/>
  <c r="I45" i="1"/>
  <c r="J45" i="1"/>
  <c r="K45" i="1"/>
  <c r="L45" i="1"/>
  <c r="M45" i="1"/>
  <c r="N45" i="1"/>
  <c r="C45" i="1"/>
  <c r="O75" i="1"/>
  <c r="O76" i="1"/>
  <c r="O77" i="1"/>
  <c r="O78" i="1"/>
  <c r="O79" i="1"/>
  <c r="O80" i="1"/>
  <c r="O81" i="1"/>
  <c r="O82" i="1"/>
  <c r="O74" i="1"/>
  <c r="D73" i="1"/>
  <c r="E73" i="1"/>
  <c r="F73" i="1"/>
  <c r="G73" i="1"/>
  <c r="H73" i="1"/>
  <c r="I73" i="1"/>
  <c r="J73" i="1"/>
  <c r="K73" i="1"/>
  <c r="L73" i="1"/>
  <c r="M73" i="1"/>
  <c r="N73" i="1"/>
  <c r="C73" i="1"/>
  <c r="O86" i="1"/>
  <c r="O87" i="1"/>
  <c r="O85" i="1"/>
  <c r="D84" i="1"/>
  <c r="E84" i="1"/>
  <c r="F84" i="1"/>
  <c r="G84" i="1"/>
  <c r="H84" i="1"/>
  <c r="I84" i="1"/>
  <c r="J84" i="1"/>
  <c r="K84" i="1"/>
  <c r="L84" i="1"/>
  <c r="M84" i="1"/>
  <c r="N84" i="1"/>
  <c r="C84" i="1"/>
  <c r="O91" i="1"/>
  <c r="O92" i="1"/>
  <c r="O90" i="1"/>
  <c r="D89" i="1"/>
  <c r="E89" i="1"/>
  <c r="F89" i="1"/>
  <c r="G89" i="1"/>
  <c r="H89" i="1"/>
  <c r="I89" i="1"/>
  <c r="J89" i="1"/>
  <c r="K89" i="1"/>
  <c r="L89" i="1"/>
  <c r="M89" i="1"/>
  <c r="N89" i="1"/>
  <c r="C89" i="1"/>
  <c r="O96" i="1"/>
  <c r="O97" i="1"/>
  <c r="O98" i="1"/>
  <c r="O99" i="1"/>
  <c r="O95" i="1"/>
  <c r="D94" i="1"/>
  <c r="E94" i="1"/>
  <c r="F94" i="1"/>
  <c r="G94" i="1"/>
  <c r="H94" i="1"/>
  <c r="I94" i="1"/>
  <c r="J94" i="1"/>
  <c r="K94" i="1"/>
  <c r="L94" i="1"/>
  <c r="M94" i="1"/>
  <c r="N94" i="1"/>
  <c r="C94" i="1"/>
  <c r="O103" i="1"/>
  <c r="O104" i="1"/>
  <c r="O105" i="1"/>
  <c r="O102" i="1"/>
  <c r="D101" i="1"/>
  <c r="E101" i="1"/>
  <c r="F101" i="1"/>
  <c r="G101" i="1"/>
  <c r="H101" i="1"/>
  <c r="I101" i="1"/>
  <c r="J101" i="1"/>
  <c r="K101" i="1"/>
  <c r="L101" i="1"/>
  <c r="M101" i="1"/>
  <c r="N101" i="1"/>
  <c r="C101" i="1"/>
  <c r="O109" i="1"/>
  <c r="O110" i="1"/>
  <c r="O111" i="1"/>
  <c r="O112" i="1"/>
  <c r="O108" i="1"/>
  <c r="D107" i="1"/>
  <c r="E107" i="1"/>
  <c r="F107" i="1"/>
  <c r="G107" i="1"/>
  <c r="H107" i="1"/>
  <c r="I107" i="1"/>
  <c r="J107" i="1"/>
  <c r="K107" i="1"/>
  <c r="L107" i="1"/>
  <c r="M107" i="1"/>
  <c r="N107" i="1"/>
  <c r="C107" i="1"/>
  <c r="O116" i="1"/>
  <c r="O117" i="1"/>
  <c r="O118" i="1"/>
  <c r="O119" i="1"/>
  <c r="O120" i="1"/>
  <c r="O121" i="1"/>
  <c r="O122" i="1"/>
  <c r="O115" i="1"/>
  <c r="D114" i="1"/>
  <c r="E114" i="1"/>
  <c r="F114" i="1"/>
  <c r="G114" i="1"/>
  <c r="H114" i="1"/>
  <c r="I114" i="1"/>
  <c r="J114" i="1"/>
  <c r="K114" i="1"/>
  <c r="L114" i="1"/>
  <c r="M114" i="1"/>
  <c r="N114" i="1"/>
  <c r="C114" i="1"/>
  <c r="O125" i="1"/>
  <c r="O124" i="1" s="1"/>
  <c r="D124" i="1"/>
  <c r="E124" i="1"/>
  <c r="F124" i="1"/>
  <c r="G124" i="1"/>
  <c r="H124" i="1"/>
  <c r="I124" i="1"/>
  <c r="J124" i="1"/>
  <c r="K124" i="1"/>
  <c r="L124" i="1"/>
  <c r="M124" i="1"/>
  <c r="N124" i="1"/>
  <c r="C124" i="1"/>
  <c r="O129" i="1"/>
  <c r="O130" i="1"/>
  <c r="O131" i="1"/>
  <c r="O128" i="1"/>
  <c r="D127" i="1"/>
  <c r="E127" i="1"/>
  <c r="F127" i="1"/>
  <c r="G127" i="1"/>
  <c r="H127" i="1"/>
  <c r="I127" i="1"/>
  <c r="J127" i="1"/>
  <c r="K127" i="1"/>
  <c r="L127" i="1"/>
  <c r="M127" i="1"/>
  <c r="N127" i="1"/>
  <c r="C127" i="1"/>
  <c r="O135" i="1"/>
  <c r="O136" i="1"/>
  <c r="O137" i="1"/>
  <c r="O138" i="1"/>
  <c r="O139" i="1"/>
  <c r="O140" i="1"/>
  <c r="O141" i="1"/>
  <c r="O142" i="1"/>
  <c r="O143" i="1"/>
  <c r="O144" i="1"/>
  <c r="O134" i="1"/>
  <c r="D133" i="1"/>
  <c r="E133" i="1"/>
  <c r="F133" i="1"/>
  <c r="G133" i="1"/>
  <c r="H133" i="1"/>
  <c r="I133" i="1"/>
  <c r="J133" i="1"/>
  <c r="K133" i="1"/>
  <c r="L133" i="1"/>
  <c r="M133" i="1"/>
  <c r="N133" i="1"/>
  <c r="C133" i="1"/>
  <c r="O148" i="1"/>
  <c r="O149" i="1"/>
  <c r="O150" i="1"/>
  <c r="O151" i="1"/>
  <c r="O152" i="1"/>
  <c r="O153" i="1"/>
  <c r="O154" i="1"/>
  <c r="O155" i="1"/>
  <c r="O156" i="1"/>
  <c r="O157" i="1"/>
  <c r="O158" i="1"/>
  <c r="O159" i="1"/>
  <c r="O160" i="1"/>
  <c r="O161" i="1"/>
  <c r="O162" i="1"/>
  <c r="O163" i="1"/>
  <c r="O164" i="1"/>
  <c r="O147" i="1"/>
  <c r="D146" i="1"/>
  <c r="E146" i="1"/>
  <c r="F146" i="1"/>
  <c r="G146" i="1"/>
  <c r="H146" i="1"/>
  <c r="I146" i="1"/>
  <c r="J146" i="1"/>
  <c r="K146" i="1"/>
  <c r="L146" i="1"/>
  <c r="M146" i="1"/>
  <c r="N146" i="1"/>
  <c r="C146" i="1"/>
  <c r="O168" i="1"/>
  <c r="O167" i="1"/>
  <c r="D166" i="1"/>
  <c r="E166" i="1"/>
  <c r="F166" i="1"/>
  <c r="G166" i="1"/>
  <c r="H166" i="1"/>
  <c r="I166" i="1"/>
  <c r="J166" i="1"/>
  <c r="K166" i="1"/>
  <c r="L166" i="1"/>
  <c r="M166" i="1"/>
  <c r="N166" i="1"/>
  <c r="C166" i="1"/>
  <c r="O172" i="1"/>
  <c r="O173" i="1"/>
  <c r="O174" i="1"/>
  <c r="O171" i="1"/>
  <c r="D170" i="1"/>
  <c r="E170" i="1"/>
  <c r="F170" i="1"/>
  <c r="G170" i="1"/>
  <c r="H170" i="1"/>
  <c r="I170" i="1"/>
  <c r="J170" i="1"/>
  <c r="K170" i="1"/>
  <c r="L170" i="1"/>
  <c r="M170" i="1"/>
  <c r="N170" i="1"/>
  <c r="C170" i="1"/>
  <c r="O178" i="1"/>
  <c r="O179" i="1"/>
  <c r="O180" i="1"/>
  <c r="O181" i="1"/>
  <c r="O182" i="1"/>
  <c r="O183" i="1"/>
  <c r="O177" i="1"/>
  <c r="D176" i="1"/>
  <c r="E176" i="1"/>
  <c r="F176" i="1"/>
  <c r="G176" i="1"/>
  <c r="H176" i="1"/>
  <c r="I176" i="1"/>
  <c r="J176" i="1"/>
  <c r="K176" i="1"/>
  <c r="L176" i="1"/>
  <c r="M176" i="1"/>
  <c r="N176" i="1"/>
  <c r="C176" i="1"/>
  <c r="D185" i="1"/>
  <c r="E185" i="1"/>
  <c r="F185" i="1"/>
  <c r="G185" i="1"/>
  <c r="H185" i="1"/>
  <c r="I185" i="1"/>
  <c r="J185" i="1"/>
  <c r="K185" i="1"/>
  <c r="L185" i="1"/>
  <c r="M185" i="1"/>
  <c r="N185" i="1"/>
  <c r="C185" i="1"/>
  <c r="O187" i="1"/>
  <c r="O188" i="1"/>
  <c r="O189" i="1"/>
  <c r="O190" i="1"/>
  <c r="O191" i="1"/>
  <c r="O192" i="1"/>
  <c r="O186"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195" i="1"/>
  <c r="D194" i="1"/>
  <c r="E194" i="1"/>
  <c r="F194" i="1"/>
  <c r="G194" i="1"/>
  <c r="H194" i="1"/>
  <c r="I194" i="1"/>
  <c r="J194" i="1"/>
  <c r="K194" i="1"/>
  <c r="L194" i="1"/>
  <c r="M194" i="1"/>
  <c r="N194" i="1"/>
  <c r="C194" i="1"/>
  <c r="F235" i="1" l="1"/>
  <c r="L63" i="30"/>
  <c r="L61" i="30" s="1"/>
  <c r="M63" i="30"/>
  <c r="M61" i="30" s="1"/>
  <c r="F433" i="30"/>
  <c r="F436" i="30"/>
  <c r="H356" i="30"/>
  <c r="G347" i="30"/>
  <c r="G429" i="30" s="1"/>
  <c r="N63" i="30"/>
  <c r="N61" i="30" s="1"/>
  <c r="N235" i="1"/>
  <c r="O185" i="1"/>
  <c r="O107" i="1"/>
  <c r="O146" i="1"/>
  <c r="O133" i="1"/>
  <c r="O176" i="1"/>
  <c r="I235" i="1"/>
  <c r="O114" i="1"/>
  <c r="O45" i="1"/>
  <c r="O89" i="1"/>
  <c r="O84" i="1"/>
  <c r="O94" i="1"/>
  <c r="O9" i="1"/>
  <c r="O36" i="1"/>
  <c r="O64" i="1"/>
  <c r="O73" i="1"/>
  <c r="O101" i="1"/>
  <c r="O127" i="1"/>
  <c r="C235" i="1"/>
  <c r="L235" i="1"/>
  <c r="E235" i="1"/>
  <c r="D235" i="1"/>
  <c r="M235" i="1"/>
  <c r="O166" i="1"/>
  <c r="O170" i="1"/>
  <c r="J235" i="1"/>
  <c r="K235" i="1"/>
  <c r="H235" i="1"/>
  <c r="G235" i="1"/>
  <c r="O194" i="1"/>
  <c r="O63" i="30" l="1"/>
  <c r="O61" i="30" s="1"/>
  <c r="I356" i="30"/>
  <c r="I347" i="30" s="1"/>
  <c r="I429" i="30" s="1"/>
  <c r="H347" i="30"/>
  <c r="H429" i="30" s="1"/>
  <c r="G433" i="30"/>
  <c r="G436" i="30"/>
  <c r="O235" i="1"/>
  <c r="I436" i="30" l="1"/>
  <c r="I433" i="30"/>
  <c r="H433" i="30"/>
  <c r="H436" i="30"/>
  <c r="J356" i="30"/>
  <c r="O242" i="22"/>
  <c r="O241" i="22"/>
  <c r="O240" i="22"/>
  <c r="O239" i="22"/>
  <c r="O238" i="22"/>
  <c r="O237" i="22"/>
  <c r="O236" i="22"/>
  <c r="O235" i="22"/>
  <c r="O234" i="22"/>
  <c r="O233" i="22"/>
  <c r="O232" i="22"/>
  <c r="O231" i="22"/>
  <c r="O230" i="22"/>
  <c r="O229" i="22"/>
  <c r="O228" i="22"/>
  <c r="O227" i="22"/>
  <c r="O226" i="22"/>
  <c r="O225" i="22"/>
  <c r="O224" i="22"/>
  <c r="O223" i="22"/>
  <c r="O222" i="22"/>
  <c r="O221" i="22"/>
  <c r="O220" i="22"/>
  <c r="O219" i="22"/>
  <c r="O218" i="22"/>
  <c r="O217" i="22"/>
  <c r="O216" i="22"/>
  <c r="O215" i="22"/>
  <c r="O214" i="22"/>
  <c r="O213" i="22"/>
  <c r="O212" i="22"/>
  <c r="O211" i="22"/>
  <c r="O210" i="22" s="1"/>
  <c r="N210" i="22"/>
  <c r="M210" i="22"/>
  <c r="L210" i="22"/>
  <c r="K210" i="22"/>
  <c r="J210" i="22"/>
  <c r="I210" i="22"/>
  <c r="H210" i="22"/>
  <c r="G210" i="22"/>
  <c r="F210" i="22"/>
  <c r="E210" i="22"/>
  <c r="D210" i="22"/>
  <c r="C210" i="22"/>
  <c r="O208" i="22"/>
  <c r="O207" i="22"/>
  <c r="N206" i="22"/>
  <c r="M206" i="22"/>
  <c r="L206" i="22"/>
  <c r="K206" i="22"/>
  <c r="J206" i="22"/>
  <c r="I206" i="22"/>
  <c r="H206" i="22"/>
  <c r="G206" i="22"/>
  <c r="F206" i="22"/>
  <c r="E206" i="22"/>
  <c r="D206" i="22"/>
  <c r="C206" i="22"/>
  <c r="O204" i="22"/>
  <c r="O203" i="22"/>
  <c r="O202" i="22"/>
  <c r="O201" i="22"/>
  <c r="O200" i="22"/>
  <c r="O199" i="22"/>
  <c r="O198" i="22"/>
  <c r="N197" i="22"/>
  <c r="M197" i="22"/>
  <c r="L197" i="22"/>
  <c r="K197" i="22"/>
  <c r="J197" i="22"/>
  <c r="I197" i="22"/>
  <c r="H197" i="22"/>
  <c r="G197" i="22"/>
  <c r="F197" i="22"/>
  <c r="E197" i="22"/>
  <c r="D197" i="22"/>
  <c r="C197" i="22"/>
  <c r="O195" i="22"/>
  <c r="O194" i="22"/>
  <c r="O193" i="22"/>
  <c r="O192" i="22"/>
  <c r="N191" i="22"/>
  <c r="M191" i="22"/>
  <c r="L191" i="22"/>
  <c r="K191" i="22"/>
  <c r="J191" i="22"/>
  <c r="I191" i="22"/>
  <c r="H191" i="22"/>
  <c r="G191" i="22"/>
  <c r="F191" i="22"/>
  <c r="E191" i="22"/>
  <c r="D191" i="22"/>
  <c r="C191" i="22"/>
  <c r="O189" i="22"/>
  <c r="O188" i="22"/>
  <c r="O187" i="22"/>
  <c r="N186" i="22"/>
  <c r="M186" i="22"/>
  <c r="L186" i="22"/>
  <c r="K186" i="22"/>
  <c r="J186" i="22"/>
  <c r="I186" i="22"/>
  <c r="H186" i="22"/>
  <c r="G186" i="22"/>
  <c r="F186" i="22"/>
  <c r="E186" i="22"/>
  <c r="D186" i="22"/>
  <c r="C186" i="22"/>
  <c r="O184" i="22"/>
  <c r="O183" i="22" s="1"/>
  <c r="N183" i="22"/>
  <c r="M183" i="22"/>
  <c r="L183" i="22"/>
  <c r="K183" i="22"/>
  <c r="J183" i="22"/>
  <c r="I183" i="22"/>
  <c r="H183" i="22"/>
  <c r="G183" i="22"/>
  <c r="F183" i="22"/>
  <c r="E183" i="22"/>
  <c r="D183" i="22"/>
  <c r="C183" i="22"/>
  <c r="O181" i="22"/>
  <c r="O180" i="22"/>
  <c r="O179" i="22"/>
  <c r="O176" i="22"/>
  <c r="O178" i="22"/>
  <c r="O177" i="22"/>
  <c r="O175" i="22"/>
  <c r="O174" i="22"/>
  <c r="O173" i="22"/>
  <c r="O172" i="22"/>
  <c r="O171" i="22"/>
  <c r="O170" i="22"/>
  <c r="O169" i="22"/>
  <c r="O168" i="22"/>
  <c r="O167" i="22"/>
  <c r="N166" i="22"/>
  <c r="M166" i="22"/>
  <c r="L166" i="22"/>
  <c r="K166" i="22"/>
  <c r="J166" i="22"/>
  <c r="I166" i="22"/>
  <c r="H166" i="22"/>
  <c r="G166" i="22"/>
  <c r="F166" i="22"/>
  <c r="E166" i="22"/>
  <c r="D166" i="22"/>
  <c r="C166" i="22"/>
  <c r="O164" i="22"/>
  <c r="O163" i="22"/>
  <c r="O162" i="22"/>
  <c r="O161" i="22"/>
  <c r="O160" i="22"/>
  <c r="O159" i="22"/>
  <c r="O158" i="22"/>
  <c r="O157" i="22"/>
  <c r="O156" i="22"/>
  <c r="N155" i="22"/>
  <c r="M155" i="22"/>
  <c r="L155" i="22"/>
  <c r="K155" i="22"/>
  <c r="J155" i="22"/>
  <c r="I155" i="22"/>
  <c r="H155" i="22"/>
  <c r="G155" i="22"/>
  <c r="F155" i="22"/>
  <c r="E155" i="22"/>
  <c r="D155" i="22"/>
  <c r="C155" i="22"/>
  <c r="O153" i="22"/>
  <c r="O152" i="22"/>
  <c r="O151" i="22"/>
  <c r="N150" i="22"/>
  <c r="M150" i="22"/>
  <c r="L150" i="22"/>
  <c r="K150" i="22"/>
  <c r="J150" i="22"/>
  <c r="I150" i="22"/>
  <c r="H150" i="22"/>
  <c r="G150" i="22"/>
  <c r="F150" i="22"/>
  <c r="E150" i="22"/>
  <c r="D150" i="22"/>
  <c r="C150" i="22"/>
  <c r="O148" i="22"/>
  <c r="O147" i="22" s="1"/>
  <c r="N147" i="22"/>
  <c r="M147" i="22"/>
  <c r="L147" i="22"/>
  <c r="K147" i="22"/>
  <c r="J147" i="22"/>
  <c r="I147" i="22"/>
  <c r="H147" i="22"/>
  <c r="G147" i="22"/>
  <c r="F147" i="22"/>
  <c r="E147" i="22"/>
  <c r="D147" i="22"/>
  <c r="C147" i="22"/>
  <c r="O145" i="22"/>
  <c r="O144" i="22"/>
  <c r="O143" i="22"/>
  <c r="O142" i="22"/>
  <c r="O141" i="22"/>
  <c r="O140" i="22"/>
  <c r="O139" i="22"/>
  <c r="O138" i="22"/>
  <c r="N137" i="22"/>
  <c r="M137" i="22"/>
  <c r="L137" i="22"/>
  <c r="K137" i="22"/>
  <c r="J137" i="22"/>
  <c r="I137" i="22"/>
  <c r="H137" i="22"/>
  <c r="G137" i="22"/>
  <c r="F137" i="22"/>
  <c r="E137" i="22"/>
  <c r="D137" i="22"/>
  <c r="C137" i="22"/>
  <c r="O135" i="22"/>
  <c r="O134" i="22"/>
  <c r="O133" i="22"/>
  <c r="O132" i="22"/>
  <c r="O131" i="22"/>
  <c r="N130" i="22"/>
  <c r="M130" i="22"/>
  <c r="L130" i="22"/>
  <c r="K130" i="22"/>
  <c r="J130" i="22"/>
  <c r="I130" i="22"/>
  <c r="H130" i="22"/>
  <c r="G130" i="22"/>
  <c r="F130" i="22"/>
  <c r="E130" i="22"/>
  <c r="D130" i="22"/>
  <c r="C130" i="22"/>
  <c r="O128" i="22"/>
  <c r="O127" i="22"/>
  <c r="O126" i="22"/>
  <c r="O125" i="22"/>
  <c r="O124" i="22"/>
  <c r="N123" i="22"/>
  <c r="M123" i="22"/>
  <c r="L123" i="22"/>
  <c r="K123" i="22"/>
  <c r="J123" i="22"/>
  <c r="I123" i="22"/>
  <c r="H123" i="22"/>
  <c r="G123" i="22"/>
  <c r="F123" i="22"/>
  <c r="E123" i="22"/>
  <c r="D123" i="22"/>
  <c r="C123" i="22"/>
  <c r="O121" i="22"/>
  <c r="O120" i="22"/>
  <c r="O119" i="22"/>
  <c r="O118" i="22"/>
  <c r="N117" i="22"/>
  <c r="M117" i="22"/>
  <c r="L117" i="22"/>
  <c r="K117" i="22"/>
  <c r="J117" i="22"/>
  <c r="I117" i="22"/>
  <c r="H117" i="22"/>
  <c r="G117" i="22"/>
  <c r="F117" i="22"/>
  <c r="E117" i="22"/>
  <c r="D117" i="22"/>
  <c r="C117" i="22"/>
  <c r="O115" i="22"/>
  <c r="O114" i="22"/>
  <c r="O113" i="22"/>
  <c r="N112" i="22"/>
  <c r="M112" i="22"/>
  <c r="L112" i="22"/>
  <c r="K112" i="22"/>
  <c r="J112" i="22"/>
  <c r="I112" i="22"/>
  <c r="H112" i="22"/>
  <c r="G112" i="22"/>
  <c r="F112" i="22"/>
  <c r="E112" i="22"/>
  <c r="D112" i="22"/>
  <c r="C112" i="22"/>
  <c r="O110" i="22"/>
  <c r="O109" i="22"/>
  <c r="O108" i="22"/>
  <c r="O107" i="22"/>
  <c r="O106" i="22"/>
  <c r="O105" i="22"/>
  <c r="O104" i="22"/>
  <c r="O103" i="22"/>
  <c r="O102" i="22"/>
  <c r="O101" i="22"/>
  <c r="O100" i="22"/>
  <c r="O99" i="22"/>
  <c r="O98" i="22"/>
  <c r="O97" i="22"/>
  <c r="O96" i="22"/>
  <c r="O95" i="22"/>
  <c r="O94" i="22"/>
  <c r="O93" i="22"/>
  <c r="N92" i="22"/>
  <c r="M92" i="22"/>
  <c r="L92" i="22"/>
  <c r="K92" i="22"/>
  <c r="J92" i="22"/>
  <c r="I92" i="22"/>
  <c r="H92" i="22"/>
  <c r="G92" i="22"/>
  <c r="F92" i="22"/>
  <c r="E92" i="22"/>
  <c r="D92" i="22"/>
  <c r="C92" i="22"/>
  <c r="O90" i="22"/>
  <c r="O89" i="22"/>
  <c r="O88" i="22"/>
  <c r="O87" i="22"/>
  <c r="O86" i="22"/>
  <c r="O85" i="22"/>
  <c r="O84" i="22"/>
  <c r="N83" i="22"/>
  <c r="M83" i="22"/>
  <c r="L83" i="22"/>
  <c r="K83" i="22"/>
  <c r="J83" i="22"/>
  <c r="I83" i="22"/>
  <c r="H83" i="22"/>
  <c r="G83" i="22"/>
  <c r="F83" i="22"/>
  <c r="E83" i="22"/>
  <c r="D83" i="22"/>
  <c r="C83" i="22"/>
  <c r="O81" i="22"/>
  <c r="O80" i="22" s="1"/>
  <c r="N80" i="22"/>
  <c r="M80" i="22"/>
  <c r="L80" i="22"/>
  <c r="K80" i="22"/>
  <c r="J80" i="22"/>
  <c r="I80" i="22"/>
  <c r="H80" i="22"/>
  <c r="G80" i="22"/>
  <c r="F80" i="22"/>
  <c r="E80" i="22"/>
  <c r="D80" i="22"/>
  <c r="C80" i="22"/>
  <c r="O78" i="22"/>
  <c r="O77" i="22"/>
  <c r="O76" i="22"/>
  <c r="O75" i="22"/>
  <c r="O74" i="22"/>
  <c r="O73" i="22"/>
  <c r="O72" i="22"/>
  <c r="O71" i="22"/>
  <c r="O70" i="22"/>
  <c r="O69" i="22"/>
  <c r="O68" i="22"/>
  <c r="O67" i="22"/>
  <c r="O66" i="22"/>
  <c r="O65" i="22"/>
  <c r="O64" i="22"/>
  <c r="O63" i="22"/>
  <c r="O62" i="22"/>
  <c r="O61" i="22"/>
  <c r="O60" i="22"/>
  <c r="O59" i="22"/>
  <c r="N58" i="22"/>
  <c r="M58" i="22"/>
  <c r="L58" i="22"/>
  <c r="K58" i="22"/>
  <c r="J58" i="22"/>
  <c r="I58" i="22"/>
  <c r="H58" i="22"/>
  <c r="G58" i="22"/>
  <c r="F58" i="22"/>
  <c r="E58" i="22"/>
  <c r="D58" i="22"/>
  <c r="C58" i="22"/>
  <c r="O56" i="22"/>
  <c r="O53" i="22"/>
  <c r="O52" i="22"/>
  <c r="O51" i="22"/>
  <c r="O50" i="22"/>
  <c r="O49" i="22"/>
  <c r="O48" i="22"/>
  <c r="O47" i="22"/>
  <c r="O46" i="22"/>
  <c r="O45" i="22"/>
  <c r="O44" i="22"/>
  <c r="O43" i="22"/>
  <c r="O42" i="22"/>
  <c r="O41" i="22"/>
  <c r="N40" i="22"/>
  <c r="M40" i="22"/>
  <c r="L40" i="22"/>
  <c r="K40" i="22"/>
  <c r="J40" i="22"/>
  <c r="I40" i="22"/>
  <c r="H40" i="22"/>
  <c r="G40" i="22"/>
  <c r="F40" i="22"/>
  <c r="E40" i="22"/>
  <c r="D40" i="22"/>
  <c r="C40" i="22"/>
  <c r="O38" i="22"/>
  <c r="O37" i="22"/>
  <c r="O36" i="22"/>
  <c r="O35" i="22"/>
  <c r="O34" i="22"/>
  <c r="O33" i="22"/>
  <c r="N32" i="22"/>
  <c r="M32" i="22"/>
  <c r="L32" i="22"/>
  <c r="K32" i="22"/>
  <c r="J32" i="22"/>
  <c r="I32" i="22"/>
  <c r="H32" i="22"/>
  <c r="G32" i="22"/>
  <c r="F32" i="22"/>
  <c r="E32" i="22"/>
  <c r="D32" i="22"/>
  <c r="C32" i="22"/>
  <c r="O30" i="22"/>
  <c r="O29" i="22"/>
  <c r="O28" i="22"/>
  <c r="O27" i="22"/>
  <c r="O26" i="22"/>
  <c r="O25" i="22"/>
  <c r="O24" i="22"/>
  <c r="O23" i="22"/>
  <c r="O22" i="22"/>
  <c r="O21" i="22"/>
  <c r="O20" i="22"/>
  <c r="O19" i="22"/>
  <c r="O18" i="22"/>
  <c r="O17" i="22"/>
  <c r="O16" i="22"/>
  <c r="O15" i="22"/>
  <c r="O14" i="22"/>
  <c r="O13" i="22"/>
  <c r="O12" i="22"/>
  <c r="O11" i="22"/>
  <c r="O10" i="22"/>
  <c r="N9" i="22"/>
  <c r="M9" i="22"/>
  <c r="L9" i="22"/>
  <c r="K9" i="22"/>
  <c r="J9" i="22"/>
  <c r="I9" i="22"/>
  <c r="H9" i="22"/>
  <c r="G9" i="22"/>
  <c r="F9" i="22"/>
  <c r="E9" i="22"/>
  <c r="D9" i="22"/>
  <c r="C9" i="22"/>
  <c r="J347" i="30" l="1"/>
  <c r="J429" i="30" s="1"/>
  <c r="K356" i="30"/>
  <c r="O130" i="22"/>
  <c r="O58" i="22"/>
  <c r="O92" i="22"/>
  <c r="O206" i="22"/>
  <c r="O83" i="22"/>
  <c r="O155" i="22"/>
  <c r="K244" i="22"/>
  <c r="O9" i="22"/>
  <c r="O150" i="22"/>
  <c r="O40" i="22"/>
  <c r="O137" i="22"/>
  <c r="O32" i="22"/>
  <c r="O117" i="22"/>
  <c r="O123" i="22"/>
  <c r="O112" i="22"/>
  <c r="O191" i="22"/>
  <c r="O197" i="22"/>
  <c r="O186" i="22"/>
  <c r="F244" i="22"/>
  <c r="N244" i="22"/>
  <c r="I244" i="22"/>
  <c r="G244" i="22"/>
  <c r="J244" i="22"/>
  <c r="C244" i="22"/>
  <c r="D244" i="22"/>
  <c r="L244" i="22"/>
  <c r="O166" i="22"/>
  <c r="E244" i="22"/>
  <c r="M244" i="22"/>
  <c r="H244" i="22"/>
  <c r="O269" i="20"/>
  <c r="O268" i="20"/>
  <c r="O267" i="20"/>
  <c r="O266" i="20"/>
  <c r="O265" i="20"/>
  <c r="O264" i="20"/>
  <c r="O263" i="20"/>
  <c r="O262" i="20"/>
  <c r="O261" i="20"/>
  <c r="O260" i="20"/>
  <c r="O259" i="20"/>
  <c r="O258" i="20"/>
  <c r="O257" i="20"/>
  <c r="O256" i="20"/>
  <c r="O255" i="20"/>
  <c r="O254" i="20"/>
  <c r="O253" i="20"/>
  <c r="O252" i="20"/>
  <c r="O251" i="20"/>
  <c r="O250" i="20"/>
  <c r="O249" i="20"/>
  <c r="O248" i="20"/>
  <c r="O247" i="20"/>
  <c r="O246" i="20"/>
  <c r="O245" i="20"/>
  <c r="O244" i="20"/>
  <c r="O243" i="20"/>
  <c r="O242" i="20"/>
  <c r="O241" i="20"/>
  <c r="O240" i="20"/>
  <c r="O239" i="20"/>
  <c r="O238" i="20"/>
  <c r="O237" i="20"/>
  <c r="O236" i="20"/>
  <c r="O235" i="20"/>
  <c r="O234" i="20"/>
  <c r="O233" i="20"/>
  <c r="O232" i="20"/>
  <c r="O231" i="20"/>
  <c r="O230" i="20"/>
  <c r="O229" i="20"/>
  <c r="O228" i="20"/>
  <c r="O227" i="20"/>
  <c r="O226" i="20"/>
  <c r="O225" i="20"/>
  <c r="O224" i="20"/>
  <c r="O223" i="20"/>
  <c r="O222" i="20"/>
  <c r="O221" i="20"/>
  <c r="O220" i="20"/>
  <c r="O219" i="20"/>
  <c r="P218" i="20"/>
  <c r="N218" i="20"/>
  <c r="M218" i="20"/>
  <c r="L218" i="20"/>
  <c r="K218" i="20"/>
  <c r="J218" i="20"/>
  <c r="I218" i="20"/>
  <c r="H218" i="20"/>
  <c r="G218" i="20"/>
  <c r="F218" i="20"/>
  <c r="E218" i="20"/>
  <c r="D218" i="20"/>
  <c r="C218" i="20"/>
  <c r="O216" i="20"/>
  <c r="O215" i="20"/>
  <c r="O214" i="20"/>
  <c r="O213" i="20"/>
  <c r="O212" i="20"/>
  <c r="O211" i="20"/>
  <c r="O210" i="20"/>
  <c r="O209" i="20"/>
  <c r="P208" i="20"/>
  <c r="N208" i="20"/>
  <c r="M208" i="20"/>
  <c r="L208" i="20"/>
  <c r="K208" i="20"/>
  <c r="J208" i="20"/>
  <c r="I208" i="20"/>
  <c r="H208" i="20"/>
  <c r="G208" i="20"/>
  <c r="F208" i="20"/>
  <c r="E208" i="20"/>
  <c r="D208" i="20"/>
  <c r="C208" i="20"/>
  <c r="O206" i="20"/>
  <c r="O205" i="20"/>
  <c r="O204" i="20"/>
  <c r="O203" i="20"/>
  <c r="O202" i="20"/>
  <c r="O201" i="20"/>
  <c r="O200" i="20"/>
  <c r="P199" i="20"/>
  <c r="N199" i="20"/>
  <c r="M199" i="20"/>
  <c r="L199" i="20"/>
  <c r="K199" i="20"/>
  <c r="J199" i="20"/>
  <c r="I199" i="20"/>
  <c r="H199" i="20"/>
  <c r="G199" i="20"/>
  <c r="F199" i="20"/>
  <c r="E199" i="20"/>
  <c r="D199" i="20"/>
  <c r="C199" i="20"/>
  <c r="O197" i="20"/>
  <c r="O196" i="20"/>
  <c r="O195" i="20"/>
  <c r="O194" i="20"/>
  <c r="P193" i="20"/>
  <c r="N193" i="20"/>
  <c r="M193" i="20"/>
  <c r="L193" i="20"/>
  <c r="K193" i="20"/>
  <c r="J193" i="20"/>
  <c r="I193" i="20"/>
  <c r="H193" i="20"/>
  <c r="G193" i="20"/>
  <c r="F193" i="20"/>
  <c r="E193" i="20"/>
  <c r="D193" i="20"/>
  <c r="C193" i="20"/>
  <c r="O191" i="20"/>
  <c r="O190" i="20"/>
  <c r="O189" i="20" s="1"/>
  <c r="P189" i="20"/>
  <c r="N189" i="20"/>
  <c r="M189" i="20"/>
  <c r="L189" i="20"/>
  <c r="K189" i="20"/>
  <c r="J189" i="20"/>
  <c r="I189" i="20"/>
  <c r="H189" i="20"/>
  <c r="G189" i="20"/>
  <c r="F189" i="20"/>
  <c r="E189" i="20"/>
  <c r="D189" i="20"/>
  <c r="C189" i="20"/>
  <c r="O187" i="20"/>
  <c r="O186" i="20"/>
  <c r="O185" i="20"/>
  <c r="O184" i="20"/>
  <c r="O183" i="20"/>
  <c r="O182" i="20"/>
  <c r="O181" i="20"/>
  <c r="O180" i="20"/>
  <c r="O179" i="20"/>
  <c r="O178" i="20"/>
  <c r="O177" i="20"/>
  <c r="O176" i="20"/>
  <c r="O175" i="20"/>
  <c r="O174" i="20"/>
  <c r="O173" i="20"/>
  <c r="O172" i="20"/>
  <c r="O171" i="20"/>
  <c r="O170" i="20"/>
  <c r="O169" i="20"/>
  <c r="O168" i="20"/>
  <c r="P167" i="20"/>
  <c r="N167" i="20"/>
  <c r="M167" i="20"/>
  <c r="L167" i="20"/>
  <c r="K167" i="20"/>
  <c r="J167" i="20"/>
  <c r="I167" i="20"/>
  <c r="H167" i="20"/>
  <c r="G167" i="20"/>
  <c r="F167" i="20"/>
  <c r="E167" i="20"/>
  <c r="D167" i="20"/>
  <c r="C167" i="20"/>
  <c r="O165" i="20"/>
  <c r="O164" i="20"/>
  <c r="O163" i="20"/>
  <c r="O162" i="20"/>
  <c r="O161" i="20"/>
  <c r="O160" i="20"/>
  <c r="O159" i="20"/>
  <c r="O158" i="20"/>
  <c r="O157" i="20"/>
  <c r="O156" i="20"/>
  <c r="O155" i="20"/>
  <c r="O154" i="20"/>
  <c r="P153" i="20"/>
  <c r="N153" i="20"/>
  <c r="M153" i="20"/>
  <c r="L153" i="20"/>
  <c r="K153" i="20"/>
  <c r="J153" i="20"/>
  <c r="I153" i="20"/>
  <c r="H153" i="20"/>
  <c r="G153" i="20"/>
  <c r="F153" i="20"/>
  <c r="E153" i="20"/>
  <c r="D153" i="20"/>
  <c r="C153" i="20"/>
  <c r="O151" i="20"/>
  <c r="O150" i="20"/>
  <c r="O149" i="20"/>
  <c r="O148" i="20"/>
  <c r="P147" i="20"/>
  <c r="N147" i="20"/>
  <c r="M147" i="20"/>
  <c r="L147" i="20"/>
  <c r="K147" i="20"/>
  <c r="J147" i="20"/>
  <c r="I147" i="20"/>
  <c r="H147" i="20"/>
  <c r="G147" i="20"/>
  <c r="F147" i="20"/>
  <c r="E147" i="20"/>
  <c r="D147" i="20"/>
  <c r="C147" i="20"/>
  <c r="O145" i="20"/>
  <c r="O144" i="20" s="1"/>
  <c r="P144" i="20"/>
  <c r="N144" i="20"/>
  <c r="M144" i="20"/>
  <c r="L144" i="20"/>
  <c r="K144" i="20"/>
  <c r="J144" i="20"/>
  <c r="I144" i="20"/>
  <c r="H144" i="20"/>
  <c r="G144" i="20"/>
  <c r="F144" i="20"/>
  <c r="E144" i="20"/>
  <c r="D144" i="20"/>
  <c r="C144" i="20"/>
  <c r="O142" i="20"/>
  <c r="O141" i="20"/>
  <c r="O140" i="20"/>
  <c r="O139" i="20"/>
  <c r="O138" i="20"/>
  <c r="O137" i="20"/>
  <c r="O136" i="20"/>
  <c r="O135" i="20"/>
  <c r="P134" i="20"/>
  <c r="N134" i="20"/>
  <c r="M134" i="20"/>
  <c r="L134" i="20"/>
  <c r="K134" i="20"/>
  <c r="J134" i="20"/>
  <c r="I134" i="20"/>
  <c r="H134" i="20"/>
  <c r="G134" i="20"/>
  <c r="F134" i="20"/>
  <c r="E134" i="20"/>
  <c r="D134" i="20"/>
  <c r="C134" i="20"/>
  <c r="O132" i="20"/>
  <c r="O131" i="20"/>
  <c r="O130" i="20"/>
  <c r="O129" i="20"/>
  <c r="O128" i="20"/>
  <c r="P127" i="20"/>
  <c r="N127" i="20"/>
  <c r="M127" i="20"/>
  <c r="L127" i="20"/>
  <c r="K127" i="20"/>
  <c r="J127" i="20"/>
  <c r="I127" i="20"/>
  <c r="H127" i="20"/>
  <c r="G127" i="20"/>
  <c r="F127" i="20"/>
  <c r="E127" i="20"/>
  <c r="D127" i="20"/>
  <c r="C127" i="20"/>
  <c r="O125" i="20"/>
  <c r="O124" i="20"/>
  <c r="O123" i="20"/>
  <c r="O122" i="20"/>
  <c r="P121" i="20"/>
  <c r="N121" i="20"/>
  <c r="M121" i="20"/>
  <c r="L121" i="20"/>
  <c r="K121" i="20"/>
  <c r="J121" i="20"/>
  <c r="I121" i="20"/>
  <c r="H121" i="20"/>
  <c r="G121" i="20"/>
  <c r="F121" i="20"/>
  <c r="E121" i="20"/>
  <c r="D121" i="20"/>
  <c r="C121" i="20"/>
  <c r="O119" i="20"/>
  <c r="O118" i="20"/>
  <c r="O117" i="20"/>
  <c r="O116" i="20"/>
  <c r="O115" i="20"/>
  <c r="P114" i="20"/>
  <c r="N114" i="20"/>
  <c r="M114" i="20"/>
  <c r="L114" i="20"/>
  <c r="K114" i="20"/>
  <c r="J114" i="20"/>
  <c r="I114" i="20"/>
  <c r="H114" i="20"/>
  <c r="G114" i="20"/>
  <c r="F114" i="20"/>
  <c r="E114" i="20"/>
  <c r="D114" i="20"/>
  <c r="C114" i="20"/>
  <c r="O112" i="20"/>
  <c r="O111" i="20"/>
  <c r="O110" i="20"/>
  <c r="P109" i="20"/>
  <c r="N109" i="20"/>
  <c r="M109" i="20"/>
  <c r="L109" i="20"/>
  <c r="K109" i="20"/>
  <c r="J109" i="20"/>
  <c r="I109" i="20"/>
  <c r="H109" i="20"/>
  <c r="G109" i="20"/>
  <c r="F109" i="20"/>
  <c r="E109" i="20"/>
  <c r="D109" i="20"/>
  <c r="C109" i="20"/>
  <c r="O107" i="20"/>
  <c r="O106" i="20"/>
  <c r="O105" i="20"/>
  <c r="O104" i="20"/>
  <c r="O103" i="20"/>
  <c r="O102" i="20"/>
  <c r="O101" i="20"/>
  <c r="O100" i="20"/>
  <c r="O99" i="20"/>
  <c r="O98" i="20"/>
  <c r="O97" i="20"/>
  <c r="O96" i="20"/>
  <c r="O95" i="20"/>
  <c r="O94" i="20"/>
  <c r="O93" i="20"/>
  <c r="O92" i="20"/>
  <c r="O91" i="20"/>
  <c r="O90" i="20"/>
  <c r="O89" i="20"/>
  <c r="P88" i="20"/>
  <c r="N88" i="20"/>
  <c r="M88" i="20"/>
  <c r="L88" i="20"/>
  <c r="K88" i="20"/>
  <c r="J88" i="20"/>
  <c r="I88" i="20"/>
  <c r="H88" i="20"/>
  <c r="G88" i="20"/>
  <c r="F88" i="20"/>
  <c r="E88" i="20"/>
  <c r="D88" i="20"/>
  <c r="C88" i="20"/>
  <c r="O86" i="20"/>
  <c r="O85" i="20"/>
  <c r="O84" i="20"/>
  <c r="O83" i="20"/>
  <c r="O82" i="20"/>
  <c r="O81" i="20"/>
  <c r="O80" i="20"/>
  <c r="O79" i="20"/>
  <c r="O78" i="20"/>
  <c r="P77" i="20"/>
  <c r="N77" i="20"/>
  <c r="M77" i="20"/>
  <c r="L77" i="20"/>
  <c r="K77" i="20"/>
  <c r="J77" i="20"/>
  <c r="I77" i="20"/>
  <c r="H77" i="20"/>
  <c r="G77" i="20"/>
  <c r="F77" i="20"/>
  <c r="E77" i="20"/>
  <c r="D77" i="20"/>
  <c r="C77" i="20"/>
  <c r="O75" i="20"/>
  <c r="O74" i="20"/>
  <c r="O73" i="20" s="1"/>
  <c r="P73" i="20"/>
  <c r="N73" i="20"/>
  <c r="M73" i="20"/>
  <c r="L73" i="20"/>
  <c r="K73" i="20"/>
  <c r="J73" i="20"/>
  <c r="I73" i="20"/>
  <c r="H73" i="20"/>
  <c r="G73" i="20"/>
  <c r="F73" i="20"/>
  <c r="E73" i="20"/>
  <c r="D73" i="20"/>
  <c r="C73" i="20"/>
  <c r="O71" i="20"/>
  <c r="O70" i="20"/>
  <c r="O69" i="20"/>
  <c r="P68" i="20"/>
  <c r="N68" i="20"/>
  <c r="M68" i="20"/>
  <c r="L68" i="20"/>
  <c r="K68" i="20"/>
  <c r="J68" i="20"/>
  <c r="I68" i="20"/>
  <c r="H68" i="20"/>
  <c r="G68" i="20"/>
  <c r="F68" i="20"/>
  <c r="E68" i="20"/>
  <c r="D68" i="20"/>
  <c r="C68" i="20"/>
  <c r="O66" i="20"/>
  <c r="O65" i="20" s="1"/>
  <c r="P65" i="20"/>
  <c r="N65" i="20"/>
  <c r="M65" i="20"/>
  <c r="L65" i="20"/>
  <c r="K65" i="20"/>
  <c r="J65" i="20"/>
  <c r="I65" i="20"/>
  <c r="H65" i="20"/>
  <c r="G65" i="20"/>
  <c r="F65" i="20"/>
  <c r="E65" i="20"/>
  <c r="D65" i="20"/>
  <c r="C65" i="20"/>
  <c r="O63" i="20"/>
  <c r="O62" i="20"/>
  <c r="O61" i="20"/>
  <c r="O60" i="20"/>
  <c r="O59" i="20"/>
  <c r="O58" i="20"/>
  <c r="O57" i="20"/>
  <c r="O56" i="20"/>
  <c r="O55" i="20"/>
  <c r="O54" i="20"/>
  <c r="O53" i="20"/>
  <c r="O52" i="20"/>
  <c r="O51" i="20"/>
  <c r="O50" i="20"/>
  <c r="O49" i="20"/>
  <c r="O48" i="20"/>
  <c r="P47" i="20"/>
  <c r="N47" i="20"/>
  <c r="M47" i="20"/>
  <c r="L47" i="20"/>
  <c r="K47" i="20"/>
  <c r="J47" i="20"/>
  <c r="I47" i="20"/>
  <c r="H47" i="20"/>
  <c r="G47" i="20"/>
  <c r="F47" i="20"/>
  <c r="E47" i="20"/>
  <c r="D47" i="20"/>
  <c r="C47" i="20"/>
  <c r="O45" i="20"/>
  <c r="O44" i="20"/>
  <c r="O43" i="20"/>
  <c r="O42" i="20"/>
  <c r="O41" i="20"/>
  <c r="O40" i="20"/>
  <c r="O39" i="20"/>
  <c r="P38" i="20"/>
  <c r="N38" i="20"/>
  <c r="M38" i="20"/>
  <c r="L38" i="20"/>
  <c r="K38" i="20"/>
  <c r="J38" i="20"/>
  <c r="I38" i="20"/>
  <c r="H38" i="20"/>
  <c r="G38" i="20"/>
  <c r="F38" i="20"/>
  <c r="E38" i="20"/>
  <c r="D38" i="20"/>
  <c r="C38" i="20"/>
  <c r="O36" i="20"/>
  <c r="O35" i="20"/>
  <c r="O34" i="20"/>
  <c r="O33" i="20"/>
  <c r="O32" i="20"/>
  <c r="O31" i="20"/>
  <c r="O30" i="20"/>
  <c r="O29" i="20"/>
  <c r="O28" i="20"/>
  <c r="O27" i="20"/>
  <c r="O26" i="20"/>
  <c r="O25" i="20"/>
  <c r="O24" i="20"/>
  <c r="O23" i="20"/>
  <c r="O22" i="20"/>
  <c r="O21" i="20"/>
  <c r="O20" i="20"/>
  <c r="O19" i="20"/>
  <c r="O18" i="20"/>
  <c r="O17" i="20"/>
  <c r="O16" i="20"/>
  <c r="P15" i="20"/>
  <c r="P9" i="20" s="1"/>
  <c r="K15" i="20"/>
  <c r="O15" i="20" s="1"/>
  <c r="O14" i="20"/>
  <c r="O13" i="20"/>
  <c r="O12" i="20"/>
  <c r="O11" i="20"/>
  <c r="O10" i="20"/>
  <c r="N9" i="20"/>
  <c r="M9" i="20"/>
  <c r="L9" i="20"/>
  <c r="J9" i="20"/>
  <c r="I9" i="20"/>
  <c r="H9" i="20"/>
  <c r="G9" i="20"/>
  <c r="F9" i="20"/>
  <c r="E9" i="20"/>
  <c r="D9" i="20"/>
  <c r="C9" i="20"/>
  <c r="K347" i="30" l="1"/>
  <c r="K429" i="30" s="1"/>
  <c r="L356" i="30"/>
  <c r="L347" i="30" s="1"/>
  <c r="L429" i="30" s="1"/>
  <c r="M356" i="30"/>
  <c r="J436" i="30"/>
  <c r="J433" i="30"/>
  <c r="O38" i="20"/>
  <c r="M271" i="20"/>
  <c r="N271" i="20"/>
  <c r="O147" i="20"/>
  <c r="O193" i="20"/>
  <c r="O88" i="20"/>
  <c r="H271" i="20"/>
  <c r="E271" i="20"/>
  <c r="I271" i="20"/>
  <c r="F271" i="20"/>
  <c r="O244" i="22"/>
  <c r="G271" i="20"/>
  <c r="O109" i="20"/>
  <c r="O114" i="20"/>
  <c r="O199" i="20"/>
  <c r="C271" i="20"/>
  <c r="O77" i="20"/>
  <c r="D271" i="20"/>
  <c r="L271" i="20"/>
  <c r="J271" i="20"/>
  <c r="O153" i="20"/>
  <c r="O167" i="20"/>
  <c r="K9" i="20"/>
  <c r="K271" i="20" s="1"/>
  <c r="O134" i="20"/>
  <c r="O47" i="20"/>
  <c r="O68" i="20"/>
  <c r="O127" i="20"/>
  <c r="O208" i="20"/>
  <c r="O121" i="20"/>
  <c r="O218" i="20"/>
  <c r="P271" i="20"/>
  <c r="O9" i="20"/>
  <c r="M347" i="30" l="1"/>
  <c r="M429" i="30" s="1"/>
  <c r="N356" i="30"/>
  <c r="L436" i="30"/>
  <c r="L433" i="30"/>
  <c r="K433" i="30"/>
  <c r="K436" i="30"/>
  <c r="O271" i="20"/>
  <c r="O172" i="2"/>
  <c r="O173" i="2"/>
  <c r="O174" i="2"/>
  <c r="O171" i="2"/>
  <c r="O11" i="2"/>
  <c r="O12" i="2"/>
  <c r="O13" i="2"/>
  <c r="O14" i="2"/>
  <c r="O15" i="2"/>
  <c r="O16" i="2"/>
  <c r="O17" i="2"/>
  <c r="O18" i="2"/>
  <c r="O19" i="2"/>
  <c r="O20" i="2"/>
  <c r="O21" i="2"/>
  <c r="O22" i="2"/>
  <c r="O23" i="2"/>
  <c r="O24" i="2"/>
  <c r="O25" i="2"/>
  <c r="O26" i="2"/>
  <c r="O27" i="2"/>
  <c r="O28" i="2"/>
  <c r="O29" i="2"/>
  <c r="O30" i="2"/>
  <c r="O31" i="2"/>
  <c r="O32" i="2"/>
  <c r="O10" i="2"/>
  <c r="N347" i="30" l="1"/>
  <c r="N429" i="30" s="1"/>
  <c r="O356" i="30"/>
  <c r="O347" i="30" s="1"/>
  <c r="O429" i="30" s="1"/>
  <c r="M433" i="30"/>
  <c r="M436" i="30"/>
  <c r="G8" i="12"/>
  <c r="G39" i="12"/>
  <c r="G31" i="12"/>
  <c r="O48" i="12"/>
  <c r="D39" i="12"/>
  <c r="E39" i="12"/>
  <c r="F39" i="12"/>
  <c r="H39" i="12"/>
  <c r="I39" i="12"/>
  <c r="J39" i="12"/>
  <c r="K39" i="12"/>
  <c r="L39" i="12"/>
  <c r="M39" i="12"/>
  <c r="N39" i="12"/>
  <c r="C39" i="12"/>
  <c r="G55" i="12"/>
  <c r="G59" i="12"/>
  <c r="G64" i="12"/>
  <c r="G68" i="12"/>
  <c r="G79" i="12"/>
  <c r="G86" i="12"/>
  <c r="G91" i="12"/>
  <c r="G98" i="12"/>
  <c r="G104" i="12"/>
  <c r="G112" i="12"/>
  <c r="G125" i="12"/>
  <c r="G130" i="12"/>
  <c r="G137" i="12"/>
  <c r="G142" i="12"/>
  <c r="G161" i="12"/>
  <c r="G166" i="12"/>
  <c r="G172" i="12"/>
  <c r="G182" i="12"/>
  <c r="G193" i="12"/>
  <c r="D182" i="12"/>
  <c r="E182" i="12"/>
  <c r="F182" i="12"/>
  <c r="H182" i="12"/>
  <c r="I182" i="12"/>
  <c r="J182" i="12"/>
  <c r="K182" i="12"/>
  <c r="L182" i="12"/>
  <c r="M182" i="12"/>
  <c r="N182" i="12"/>
  <c r="C182" i="12"/>
  <c r="O185" i="12"/>
  <c r="O184" i="12"/>
  <c r="O186" i="12"/>
  <c r="O188" i="12"/>
  <c r="O189" i="12"/>
  <c r="O190" i="12"/>
  <c r="O191" i="12"/>
  <c r="O187" i="12"/>
  <c r="O202" i="12"/>
  <c r="O206" i="12"/>
  <c r="O195" i="12"/>
  <c r="O196" i="12"/>
  <c r="O204" i="12"/>
  <c r="O197" i="12"/>
  <c r="O205" i="12"/>
  <c r="O207" i="12"/>
  <c r="O201" i="12"/>
  <c r="O199" i="12"/>
  <c r="O198" i="12"/>
  <c r="O203" i="12"/>
  <c r="O200" i="12"/>
  <c r="O208" i="12"/>
  <c r="O209" i="12"/>
  <c r="D193" i="12"/>
  <c r="E193" i="12"/>
  <c r="F193" i="12"/>
  <c r="H193" i="12"/>
  <c r="I193" i="12"/>
  <c r="J193" i="12"/>
  <c r="K193" i="12"/>
  <c r="L193" i="12"/>
  <c r="M193" i="12"/>
  <c r="N193" i="12"/>
  <c r="C193" i="12"/>
  <c r="O212" i="19"/>
  <c r="O257" i="19"/>
  <c r="O256" i="19"/>
  <c r="O255" i="19"/>
  <c r="O254" i="19"/>
  <c r="O253" i="19"/>
  <c r="O252" i="19"/>
  <c r="O251"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N211" i="19"/>
  <c r="M211" i="19"/>
  <c r="L211" i="19"/>
  <c r="K211" i="19"/>
  <c r="J211" i="19"/>
  <c r="I211" i="19"/>
  <c r="H211" i="19"/>
  <c r="G211" i="19"/>
  <c r="F211" i="19"/>
  <c r="E211" i="19"/>
  <c r="D211" i="19"/>
  <c r="C211" i="19"/>
  <c r="O209" i="19"/>
  <c r="O208" i="19"/>
  <c r="O207" i="19"/>
  <c r="O206" i="19"/>
  <c r="O205" i="19"/>
  <c r="O204" i="19"/>
  <c r="O203" i="19"/>
  <c r="O202" i="19"/>
  <c r="N201" i="19"/>
  <c r="M201" i="19"/>
  <c r="L201" i="19"/>
  <c r="K201" i="19"/>
  <c r="J201" i="19"/>
  <c r="I201" i="19"/>
  <c r="H201" i="19"/>
  <c r="G201" i="19"/>
  <c r="F201" i="19"/>
  <c r="E201" i="19"/>
  <c r="D201" i="19"/>
  <c r="C201" i="19"/>
  <c r="O199" i="19"/>
  <c r="O198" i="19"/>
  <c r="O197" i="19"/>
  <c r="O196" i="19"/>
  <c r="O195" i="19"/>
  <c r="O194" i="19"/>
  <c r="O193" i="19"/>
  <c r="N192" i="19"/>
  <c r="M192" i="19"/>
  <c r="L192" i="19"/>
  <c r="K192" i="19"/>
  <c r="J192" i="19"/>
  <c r="I192" i="19"/>
  <c r="H192" i="19"/>
  <c r="G192" i="19"/>
  <c r="F192" i="19"/>
  <c r="E192" i="19"/>
  <c r="D192" i="19"/>
  <c r="C192" i="19"/>
  <c r="O190" i="19"/>
  <c r="O189" i="19"/>
  <c r="O188" i="19"/>
  <c r="O187" i="19"/>
  <c r="N186" i="19"/>
  <c r="M186" i="19"/>
  <c r="L186" i="19"/>
  <c r="K186" i="19"/>
  <c r="J186" i="19"/>
  <c r="I186" i="19"/>
  <c r="H186" i="19"/>
  <c r="G186" i="19"/>
  <c r="F186" i="19"/>
  <c r="E186" i="19"/>
  <c r="D186" i="19"/>
  <c r="C186" i="19"/>
  <c r="O184" i="19"/>
  <c r="O183" i="19"/>
  <c r="N182" i="19"/>
  <c r="M182" i="19"/>
  <c r="L182" i="19"/>
  <c r="K182" i="19"/>
  <c r="J182" i="19"/>
  <c r="I182" i="19"/>
  <c r="H182" i="19"/>
  <c r="G182" i="19"/>
  <c r="F182" i="19"/>
  <c r="E182" i="19"/>
  <c r="D182" i="19"/>
  <c r="C182" i="19"/>
  <c r="O180" i="19"/>
  <c r="O179" i="19"/>
  <c r="O178" i="19"/>
  <c r="O177" i="19"/>
  <c r="O176" i="19"/>
  <c r="O175" i="19"/>
  <c r="O174" i="19"/>
  <c r="O173" i="19"/>
  <c r="O172" i="19"/>
  <c r="O171" i="19"/>
  <c r="O170" i="19"/>
  <c r="O169" i="19"/>
  <c r="O168" i="19"/>
  <c r="O167" i="19"/>
  <c r="O166" i="19"/>
  <c r="O165" i="19"/>
  <c r="O164" i="19"/>
  <c r="O163" i="19"/>
  <c r="O162" i="19"/>
  <c r="O161" i="19"/>
  <c r="N160" i="19"/>
  <c r="M160" i="19"/>
  <c r="L160" i="19"/>
  <c r="K160" i="19"/>
  <c r="J160" i="19"/>
  <c r="I160" i="19"/>
  <c r="H160" i="19"/>
  <c r="G160" i="19"/>
  <c r="F160" i="19"/>
  <c r="E160" i="19"/>
  <c r="D160" i="19"/>
  <c r="C160" i="19"/>
  <c r="O158" i="19"/>
  <c r="O157" i="19"/>
  <c r="O156" i="19"/>
  <c r="O155" i="19"/>
  <c r="O154" i="19"/>
  <c r="O153" i="19"/>
  <c r="O152" i="19"/>
  <c r="O151" i="19"/>
  <c r="O150" i="19"/>
  <c r="O149" i="19"/>
  <c r="O148" i="19"/>
  <c r="O147" i="19"/>
  <c r="N146" i="19"/>
  <c r="M146" i="19"/>
  <c r="L146" i="19"/>
  <c r="K146" i="19"/>
  <c r="J146" i="19"/>
  <c r="I146" i="19"/>
  <c r="H146" i="19"/>
  <c r="G146" i="19"/>
  <c r="F146" i="19"/>
  <c r="E146" i="19"/>
  <c r="D146" i="19"/>
  <c r="C146" i="19"/>
  <c r="O144" i="19"/>
  <c r="O143" i="19"/>
  <c r="O142" i="19"/>
  <c r="O141" i="19"/>
  <c r="O140" i="19"/>
  <c r="N139" i="19"/>
  <c r="M139" i="19"/>
  <c r="L139" i="19"/>
  <c r="K139" i="19"/>
  <c r="J139" i="19"/>
  <c r="I139" i="19"/>
  <c r="H139" i="19"/>
  <c r="G139" i="19"/>
  <c r="F139" i="19"/>
  <c r="E139" i="19"/>
  <c r="D139" i="19"/>
  <c r="C139" i="19"/>
  <c r="O137" i="19"/>
  <c r="O136" i="19" s="1"/>
  <c r="N136" i="19"/>
  <c r="M136" i="19"/>
  <c r="L136" i="19"/>
  <c r="K136" i="19"/>
  <c r="J136" i="19"/>
  <c r="I136" i="19"/>
  <c r="H136" i="19"/>
  <c r="G136" i="19"/>
  <c r="F136" i="19"/>
  <c r="E136" i="19"/>
  <c r="D136" i="19"/>
  <c r="C136" i="19"/>
  <c r="O134" i="19"/>
  <c r="O133" i="19"/>
  <c r="O132" i="19"/>
  <c r="O131" i="19"/>
  <c r="O130" i="19"/>
  <c r="O129" i="19"/>
  <c r="O128" i="19"/>
  <c r="O127" i="19"/>
  <c r="N126" i="19"/>
  <c r="M126" i="19"/>
  <c r="L126" i="19"/>
  <c r="K126" i="19"/>
  <c r="J126" i="19"/>
  <c r="I126" i="19"/>
  <c r="H126" i="19"/>
  <c r="G126" i="19"/>
  <c r="F126" i="19"/>
  <c r="E126" i="19"/>
  <c r="D126" i="19"/>
  <c r="C126" i="19"/>
  <c r="O124" i="19"/>
  <c r="O123" i="19"/>
  <c r="O122" i="19"/>
  <c r="O121" i="19"/>
  <c r="O120" i="19"/>
  <c r="N119" i="19"/>
  <c r="M119" i="19"/>
  <c r="L119" i="19"/>
  <c r="K119" i="19"/>
  <c r="J119" i="19"/>
  <c r="I119" i="19"/>
  <c r="H119" i="19"/>
  <c r="G119" i="19"/>
  <c r="F119" i="19"/>
  <c r="E119" i="19"/>
  <c r="D119" i="19"/>
  <c r="C119" i="19"/>
  <c r="O117" i="19"/>
  <c r="O116" i="19"/>
  <c r="O115" i="19"/>
  <c r="O114" i="19"/>
  <c r="N113" i="19"/>
  <c r="M113" i="19"/>
  <c r="L113" i="19"/>
  <c r="K113" i="19"/>
  <c r="J113" i="19"/>
  <c r="I113" i="19"/>
  <c r="H113" i="19"/>
  <c r="G113" i="19"/>
  <c r="F113" i="19"/>
  <c r="E113" i="19"/>
  <c r="D113" i="19"/>
  <c r="C113" i="19"/>
  <c r="O111" i="19"/>
  <c r="O110" i="19"/>
  <c r="O109" i="19"/>
  <c r="O108" i="19"/>
  <c r="O107" i="19"/>
  <c r="N106" i="19"/>
  <c r="M106" i="19"/>
  <c r="L106" i="19"/>
  <c r="K106" i="19"/>
  <c r="J106" i="19"/>
  <c r="I106" i="19"/>
  <c r="H106" i="19"/>
  <c r="G106" i="19"/>
  <c r="F106" i="19"/>
  <c r="E106" i="19"/>
  <c r="D106" i="19"/>
  <c r="C106" i="19"/>
  <c r="O104" i="19"/>
  <c r="O103" i="19"/>
  <c r="O102" i="19"/>
  <c r="N101" i="19"/>
  <c r="M101" i="19"/>
  <c r="L101" i="19"/>
  <c r="K101" i="19"/>
  <c r="J101" i="19"/>
  <c r="I101" i="19"/>
  <c r="H101" i="19"/>
  <c r="G101" i="19"/>
  <c r="F101" i="19"/>
  <c r="E101" i="19"/>
  <c r="D101" i="19"/>
  <c r="C101" i="19"/>
  <c r="O99" i="19"/>
  <c r="O98" i="19"/>
  <c r="O97" i="19"/>
  <c r="O96" i="19"/>
  <c r="O95" i="19"/>
  <c r="O94" i="19"/>
  <c r="O93" i="19"/>
  <c r="O92" i="19"/>
  <c r="O91" i="19"/>
  <c r="O90" i="19"/>
  <c r="O89" i="19"/>
  <c r="O88" i="19"/>
  <c r="N87" i="19"/>
  <c r="M87" i="19"/>
  <c r="L87" i="19"/>
  <c r="K87" i="19"/>
  <c r="J87" i="19"/>
  <c r="I87" i="19"/>
  <c r="H87" i="19"/>
  <c r="G87" i="19"/>
  <c r="F87" i="19"/>
  <c r="E87" i="19"/>
  <c r="D87" i="19"/>
  <c r="C87" i="19"/>
  <c r="O85" i="19"/>
  <c r="O84" i="19"/>
  <c r="O83" i="19"/>
  <c r="O82" i="19"/>
  <c r="O81" i="19"/>
  <c r="O80" i="19"/>
  <c r="O79" i="19"/>
  <c r="O78" i="19"/>
  <c r="O77" i="19"/>
  <c r="N76" i="19"/>
  <c r="M76" i="19"/>
  <c r="L76" i="19"/>
  <c r="K76" i="19"/>
  <c r="J76" i="19"/>
  <c r="I76" i="19"/>
  <c r="H76" i="19"/>
  <c r="G76" i="19"/>
  <c r="F76" i="19"/>
  <c r="E76" i="19"/>
  <c r="D76" i="19"/>
  <c r="C76" i="19"/>
  <c r="O74" i="19"/>
  <c r="O73" i="19"/>
  <c r="O72" i="19" s="1"/>
  <c r="N72" i="19"/>
  <c r="M72" i="19"/>
  <c r="L72" i="19"/>
  <c r="K72" i="19"/>
  <c r="J72" i="19"/>
  <c r="I72" i="19"/>
  <c r="H72" i="19"/>
  <c r="G72" i="19"/>
  <c r="F72" i="19"/>
  <c r="E72" i="19"/>
  <c r="D72" i="19"/>
  <c r="C72" i="19"/>
  <c r="O70" i="19"/>
  <c r="O69" i="19"/>
  <c r="O68" i="19"/>
  <c r="N67" i="19"/>
  <c r="M67" i="19"/>
  <c r="L67" i="19"/>
  <c r="K67" i="19"/>
  <c r="J67" i="19"/>
  <c r="I67" i="19"/>
  <c r="H67" i="19"/>
  <c r="G67" i="19"/>
  <c r="F67" i="19"/>
  <c r="E67" i="19"/>
  <c r="D67" i="19"/>
  <c r="C67" i="19"/>
  <c r="O65" i="19"/>
  <c r="O64" i="19" s="1"/>
  <c r="N64" i="19"/>
  <c r="M64" i="19"/>
  <c r="L64" i="19"/>
  <c r="K64" i="19"/>
  <c r="J64" i="19"/>
  <c r="I64" i="19"/>
  <c r="H64" i="19"/>
  <c r="G64" i="19"/>
  <c r="F64" i="19"/>
  <c r="E64" i="19"/>
  <c r="D64" i="19"/>
  <c r="C64" i="19"/>
  <c r="O62" i="19"/>
  <c r="O61" i="19"/>
  <c r="O60" i="19"/>
  <c r="O59" i="19"/>
  <c r="O58" i="19"/>
  <c r="O57" i="19"/>
  <c r="O56" i="19"/>
  <c r="O55" i="19"/>
  <c r="O54" i="19"/>
  <c r="O53" i="19"/>
  <c r="O52" i="19"/>
  <c r="O51" i="19"/>
  <c r="O50" i="19"/>
  <c r="O49" i="19"/>
  <c r="O48" i="19"/>
  <c r="N47" i="19"/>
  <c r="M47" i="19"/>
  <c r="L47" i="19"/>
  <c r="K47" i="19"/>
  <c r="J47" i="19"/>
  <c r="I47" i="19"/>
  <c r="H47" i="19"/>
  <c r="G47" i="19"/>
  <c r="F47" i="19"/>
  <c r="E47" i="19"/>
  <c r="D47" i="19"/>
  <c r="C47" i="19"/>
  <c r="O45" i="19"/>
  <c r="O44" i="19"/>
  <c r="O43" i="19"/>
  <c r="O42" i="19"/>
  <c r="O41" i="19"/>
  <c r="O40" i="19"/>
  <c r="O39" i="19"/>
  <c r="N38" i="19"/>
  <c r="M38" i="19"/>
  <c r="L38" i="19"/>
  <c r="K38" i="19"/>
  <c r="J38" i="19"/>
  <c r="I38" i="19"/>
  <c r="H38" i="19"/>
  <c r="G38" i="19"/>
  <c r="F38" i="19"/>
  <c r="E38" i="19"/>
  <c r="D38" i="19"/>
  <c r="C38"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N9" i="19"/>
  <c r="M9" i="19"/>
  <c r="L9" i="19"/>
  <c r="K9" i="19"/>
  <c r="J9" i="19"/>
  <c r="I9" i="19"/>
  <c r="H9" i="19"/>
  <c r="G9" i="19"/>
  <c r="F9" i="19"/>
  <c r="E9" i="19"/>
  <c r="D9" i="19"/>
  <c r="C9" i="19"/>
  <c r="N433" i="30" l="1"/>
  <c r="O433" i="30" s="1"/>
  <c r="N436" i="30"/>
  <c r="O431" i="30"/>
  <c r="O182" i="12"/>
  <c r="O193" i="12"/>
  <c r="L259" i="19"/>
  <c r="O9" i="19"/>
  <c r="J259" i="19"/>
  <c r="O186" i="19"/>
  <c r="O87" i="19"/>
  <c r="O101" i="19"/>
  <c r="O113" i="19"/>
  <c r="C259" i="19"/>
  <c r="K259" i="19"/>
  <c r="O47" i="19"/>
  <c r="O67" i="19"/>
  <c r="O192" i="19"/>
  <c r="D259" i="19"/>
  <c r="E259" i="19"/>
  <c r="M259" i="19"/>
  <c r="O106" i="19"/>
  <c r="O146" i="19"/>
  <c r="O182" i="19"/>
  <c r="F259" i="19"/>
  <c r="N259" i="19"/>
  <c r="O160" i="19"/>
  <c r="G259" i="19"/>
  <c r="H259" i="19"/>
  <c r="O38" i="19"/>
  <c r="O126" i="19"/>
  <c r="O139" i="19"/>
  <c r="O201" i="19"/>
  <c r="I259" i="19"/>
  <c r="O76" i="19"/>
  <c r="O119" i="19"/>
  <c r="O211" i="19"/>
  <c r="O259" i="19" l="1"/>
  <c r="Q103" i="9" l="1"/>
  <c r="P274" i="13" l="1"/>
  <c r="P270" i="13"/>
  <c r="P240" i="13"/>
  <c r="P231" i="13"/>
  <c r="P258" i="13"/>
  <c r="P254" i="13"/>
  <c r="P256" i="13"/>
  <c r="P229" i="13"/>
  <c r="P268" i="13"/>
  <c r="P233" i="13"/>
  <c r="P262" i="13"/>
  <c r="P275" i="13"/>
  <c r="P249" i="13"/>
  <c r="P251" i="13"/>
  <c r="P263" i="13"/>
  <c r="P230" i="13"/>
  <c r="P257" i="13"/>
  <c r="P235" i="13"/>
  <c r="P242" i="13"/>
  <c r="P272" i="13"/>
  <c r="P244" i="13"/>
  <c r="P241" i="13"/>
  <c r="P271" i="13"/>
  <c r="P253" i="13"/>
  <c r="P264" i="13"/>
  <c r="P265" i="13"/>
  <c r="P266" i="13"/>
  <c r="P239" i="13"/>
  <c r="P259" i="13"/>
  <c r="P255" i="13"/>
  <c r="P234" i="13"/>
  <c r="P260" i="13"/>
  <c r="P237" i="13"/>
  <c r="P245" i="13"/>
  <c r="P236" i="13"/>
  <c r="P232" i="13"/>
  <c r="P238" i="13"/>
  <c r="P273" i="13"/>
  <c r="P248" i="13"/>
  <c r="P250" i="13"/>
  <c r="P261" i="13"/>
  <c r="P269" i="13"/>
  <c r="P276" i="13"/>
  <c r="P243" i="13"/>
  <c r="P267" i="13"/>
  <c r="P246" i="13"/>
  <c r="P252" i="13"/>
  <c r="P247" i="13"/>
  <c r="O227" i="13"/>
  <c r="N227" i="13"/>
  <c r="M227" i="13"/>
  <c r="L227" i="13"/>
  <c r="K227" i="13"/>
  <c r="J227" i="13"/>
  <c r="I227" i="13"/>
  <c r="H227" i="13"/>
  <c r="G227" i="13"/>
  <c r="F227" i="13"/>
  <c r="E227" i="13"/>
  <c r="D227" i="13"/>
  <c r="P224" i="13"/>
  <c r="P223" i="13"/>
  <c r="P222" i="13"/>
  <c r="P225" i="13"/>
  <c r="P220" i="13"/>
  <c r="P218" i="13"/>
  <c r="P219" i="13"/>
  <c r="P221" i="13"/>
  <c r="O216" i="13"/>
  <c r="N216" i="13"/>
  <c r="M216" i="13"/>
  <c r="L216" i="13"/>
  <c r="K216" i="13"/>
  <c r="J216" i="13"/>
  <c r="I216" i="13"/>
  <c r="H216" i="13"/>
  <c r="G216" i="13"/>
  <c r="F216" i="13"/>
  <c r="E216" i="13"/>
  <c r="D216" i="13"/>
  <c r="P214" i="13"/>
  <c r="P213" i="13"/>
  <c r="P212" i="13"/>
  <c r="P210" i="13"/>
  <c r="P209" i="13"/>
  <c r="P208" i="13"/>
  <c r="P211" i="13"/>
  <c r="O206" i="13"/>
  <c r="N206" i="13"/>
  <c r="M206" i="13"/>
  <c r="L206" i="13"/>
  <c r="K206" i="13"/>
  <c r="J206" i="13"/>
  <c r="I206" i="13"/>
  <c r="H206" i="13"/>
  <c r="G206" i="13"/>
  <c r="F206" i="13"/>
  <c r="E206" i="13"/>
  <c r="D206" i="13"/>
  <c r="P203" i="13"/>
  <c r="P202" i="13"/>
  <c r="P204" i="13"/>
  <c r="O200" i="13"/>
  <c r="N200" i="13"/>
  <c r="M200" i="13"/>
  <c r="L200" i="13"/>
  <c r="K200" i="13"/>
  <c r="J200" i="13"/>
  <c r="I200" i="13"/>
  <c r="H200" i="13"/>
  <c r="G200" i="13"/>
  <c r="F200" i="13"/>
  <c r="E200" i="13"/>
  <c r="D200" i="13"/>
  <c r="P197" i="13"/>
  <c r="P198" i="13"/>
  <c r="O195" i="13"/>
  <c r="N195" i="13"/>
  <c r="M195" i="13"/>
  <c r="L195" i="13"/>
  <c r="K195" i="13"/>
  <c r="J195" i="13"/>
  <c r="I195" i="13"/>
  <c r="H195" i="13"/>
  <c r="G195" i="13"/>
  <c r="F195" i="13"/>
  <c r="E195" i="13"/>
  <c r="D195" i="13"/>
  <c r="P193" i="13"/>
  <c r="P192" i="13"/>
  <c r="P191" i="13"/>
  <c r="P189" i="13"/>
  <c r="P190" i="13"/>
  <c r="P188" i="13"/>
  <c r="P187" i="13"/>
  <c r="P186" i="13"/>
  <c r="P185" i="13"/>
  <c r="P184" i="13"/>
  <c r="P183" i="13"/>
  <c r="P182" i="13"/>
  <c r="P181" i="13"/>
  <c r="P180" i="13"/>
  <c r="P179" i="13"/>
  <c r="P178" i="13"/>
  <c r="P177" i="13"/>
  <c r="P176" i="13"/>
  <c r="P174" i="13"/>
  <c r="P175" i="13"/>
  <c r="O172" i="13"/>
  <c r="N172" i="13"/>
  <c r="M172" i="13"/>
  <c r="L172" i="13"/>
  <c r="K172" i="13"/>
  <c r="J172" i="13"/>
  <c r="I172" i="13"/>
  <c r="H172" i="13"/>
  <c r="G172" i="13"/>
  <c r="F172" i="13"/>
  <c r="E172" i="13"/>
  <c r="D172" i="13"/>
  <c r="P170" i="13"/>
  <c r="P169" i="13"/>
  <c r="O167" i="13"/>
  <c r="N167" i="13"/>
  <c r="M167" i="13"/>
  <c r="L167" i="13"/>
  <c r="K167" i="13"/>
  <c r="J167" i="13"/>
  <c r="I167" i="13"/>
  <c r="H167" i="13"/>
  <c r="G167" i="13"/>
  <c r="F167" i="13"/>
  <c r="E167" i="13"/>
  <c r="D167" i="13"/>
  <c r="P165" i="13"/>
  <c r="P164" i="13"/>
  <c r="P163" i="13"/>
  <c r="P162" i="13"/>
  <c r="P161" i="13"/>
  <c r="P160" i="13"/>
  <c r="O158" i="13"/>
  <c r="N158" i="13"/>
  <c r="M158" i="13"/>
  <c r="L158" i="13"/>
  <c r="K158" i="13"/>
  <c r="J158" i="13"/>
  <c r="I158" i="13"/>
  <c r="H158" i="13"/>
  <c r="G158" i="13"/>
  <c r="F158" i="13"/>
  <c r="E158" i="13"/>
  <c r="D158" i="13"/>
  <c r="P150" i="13"/>
  <c r="P156" i="13"/>
  <c r="P155" i="13"/>
  <c r="P146" i="13"/>
  <c r="P149" i="13"/>
  <c r="P148" i="13"/>
  <c r="P153" i="13"/>
  <c r="P154" i="13"/>
  <c r="P151" i="13"/>
  <c r="P152" i="13"/>
  <c r="P145" i="13"/>
  <c r="P147" i="13"/>
  <c r="O143" i="13"/>
  <c r="N143" i="13"/>
  <c r="M143" i="13"/>
  <c r="L143" i="13"/>
  <c r="K143" i="13"/>
  <c r="J143" i="13"/>
  <c r="I143" i="13"/>
  <c r="H143" i="13"/>
  <c r="G143" i="13"/>
  <c r="F143" i="13"/>
  <c r="E143" i="13"/>
  <c r="D143" i="13"/>
  <c r="P140" i="13"/>
  <c r="P141" i="13"/>
  <c r="O138" i="13"/>
  <c r="N138" i="13"/>
  <c r="M138" i="13"/>
  <c r="L138" i="13"/>
  <c r="K138" i="13"/>
  <c r="J138" i="13"/>
  <c r="I138" i="13"/>
  <c r="H138" i="13"/>
  <c r="G138" i="13"/>
  <c r="F138" i="13"/>
  <c r="E138" i="13"/>
  <c r="D138" i="13"/>
  <c r="P136" i="13"/>
  <c r="P135" i="13"/>
  <c r="P130" i="13"/>
  <c r="P133" i="13"/>
  <c r="P132" i="13"/>
  <c r="P131" i="13"/>
  <c r="P129" i="13"/>
  <c r="P134" i="13"/>
  <c r="O127" i="13"/>
  <c r="N127" i="13"/>
  <c r="M127" i="13"/>
  <c r="L127" i="13"/>
  <c r="K127" i="13"/>
  <c r="J127" i="13"/>
  <c r="I127" i="13"/>
  <c r="H127" i="13"/>
  <c r="G127" i="13"/>
  <c r="F127" i="13"/>
  <c r="E127" i="13"/>
  <c r="D127" i="13"/>
  <c r="P123" i="13"/>
  <c r="P125" i="13"/>
  <c r="P122" i="13"/>
  <c r="P121" i="13"/>
  <c r="P120" i="13"/>
  <c r="P119" i="13"/>
  <c r="P124" i="13"/>
  <c r="O117" i="13"/>
  <c r="N117" i="13"/>
  <c r="M117" i="13"/>
  <c r="L117" i="13"/>
  <c r="K117" i="13"/>
  <c r="J117" i="13"/>
  <c r="I117" i="13"/>
  <c r="H117" i="13"/>
  <c r="G117" i="13"/>
  <c r="F117" i="13"/>
  <c r="E117" i="13"/>
  <c r="D117" i="13"/>
  <c r="P111" i="13"/>
  <c r="P113" i="13"/>
  <c r="P115" i="13"/>
  <c r="P114" i="13"/>
  <c r="P110" i="13"/>
  <c r="P112" i="13"/>
  <c r="O108" i="13"/>
  <c r="N108" i="13"/>
  <c r="M108" i="13"/>
  <c r="L108" i="13"/>
  <c r="K108" i="13"/>
  <c r="J108" i="13"/>
  <c r="I108" i="13"/>
  <c r="H108" i="13"/>
  <c r="G108" i="13"/>
  <c r="F108" i="13"/>
  <c r="E108" i="13"/>
  <c r="D108" i="13"/>
  <c r="P106" i="13"/>
  <c r="P104" i="13"/>
  <c r="P103" i="13"/>
  <c r="P105" i="13"/>
  <c r="O101" i="13"/>
  <c r="N101" i="13"/>
  <c r="M101" i="13"/>
  <c r="L101" i="13"/>
  <c r="K101" i="13"/>
  <c r="J101" i="13"/>
  <c r="I101" i="13"/>
  <c r="H101" i="13"/>
  <c r="G101" i="13"/>
  <c r="F101" i="13"/>
  <c r="E101" i="13"/>
  <c r="D101" i="13"/>
  <c r="P98" i="13"/>
  <c r="P97" i="13"/>
  <c r="P99" i="13"/>
  <c r="O95" i="13"/>
  <c r="N95" i="13"/>
  <c r="M95" i="13"/>
  <c r="L95" i="13"/>
  <c r="K95" i="13"/>
  <c r="J95" i="13"/>
  <c r="I95" i="13"/>
  <c r="H95" i="13"/>
  <c r="G95" i="13"/>
  <c r="F95" i="13"/>
  <c r="E95" i="13"/>
  <c r="D95" i="13"/>
  <c r="P92" i="13"/>
  <c r="P89" i="13"/>
  <c r="P93" i="13"/>
  <c r="P91" i="13"/>
  <c r="P90" i="13"/>
  <c r="O87" i="13"/>
  <c r="N87" i="13"/>
  <c r="M87" i="13"/>
  <c r="L87" i="13"/>
  <c r="K87" i="13"/>
  <c r="J87" i="13"/>
  <c r="I87" i="13"/>
  <c r="H87" i="13"/>
  <c r="G87" i="13"/>
  <c r="F87" i="13"/>
  <c r="E87" i="13"/>
  <c r="D87" i="13"/>
  <c r="P85" i="13"/>
  <c r="P83" i="13"/>
  <c r="P82" i="13"/>
  <c r="P81" i="13"/>
  <c r="P79" i="13"/>
  <c r="P80" i="13"/>
  <c r="P78" i="13"/>
  <c r="K84" i="13"/>
  <c r="K76" i="13" s="1"/>
  <c r="J84" i="13"/>
  <c r="O76" i="13"/>
  <c r="N76" i="13"/>
  <c r="M76" i="13"/>
  <c r="L76" i="13"/>
  <c r="I76" i="13"/>
  <c r="H76" i="13"/>
  <c r="G76" i="13"/>
  <c r="F76" i="13"/>
  <c r="E76" i="13"/>
  <c r="D76" i="13"/>
  <c r="P74" i="13"/>
  <c r="O72" i="13"/>
  <c r="N72" i="13"/>
  <c r="M72" i="13"/>
  <c r="L72" i="13"/>
  <c r="K72" i="13"/>
  <c r="J72" i="13"/>
  <c r="I72" i="13"/>
  <c r="H72" i="13"/>
  <c r="G72" i="13"/>
  <c r="F72" i="13"/>
  <c r="E72" i="13"/>
  <c r="D72" i="13"/>
  <c r="P70" i="13"/>
  <c r="P69" i="13"/>
  <c r="P68" i="13"/>
  <c r="P66" i="13"/>
  <c r="P67" i="13"/>
  <c r="O64" i="13"/>
  <c r="N64" i="13"/>
  <c r="M64" i="13"/>
  <c r="L64" i="13"/>
  <c r="K64" i="13"/>
  <c r="J64" i="13"/>
  <c r="I64" i="13"/>
  <c r="H64" i="13"/>
  <c r="G64" i="13"/>
  <c r="F64" i="13"/>
  <c r="E64" i="13"/>
  <c r="D64" i="13"/>
  <c r="P62" i="13"/>
  <c r="P61" i="13"/>
  <c r="O59" i="13"/>
  <c r="N59" i="13"/>
  <c r="M59" i="13"/>
  <c r="L59" i="13"/>
  <c r="K59" i="13"/>
  <c r="J59" i="13"/>
  <c r="I59" i="13"/>
  <c r="H59" i="13"/>
  <c r="G59" i="13"/>
  <c r="F59" i="13"/>
  <c r="E59" i="13"/>
  <c r="P57" i="13"/>
  <c r="P56" i="13"/>
  <c r="P55" i="13"/>
  <c r="P54" i="13"/>
  <c r="P53" i="13"/>
  <c r="P51" i="13"/>
  <c r="P50" i="13"/>
  <c r="P49" i="13"/>
  <c r="P48" i="13"/>
  <c r="P47" i="13"/>
  <c r="P46" i="13"/>
  <c r="P45" i="13"/>
  <c r="P44" i="13"/>
  <c r="P52" i="13"/>
  <c r="O42" i="13"/>
  <c r="N42" i="13"/>
  <c r="M42" i="13"/>
  <c r="L42" i="13"/>
  <c r="K42" i="13"/>
  <c r="J42" i="13"/>
  <c r="I42" i="13"/>
  <c r="H42" i="13"/>
  <c r="G42" i="13"/>
  <c r="F42" i="13"/>
  <c r="E42" i="13"/>
  <c r="D42" i="13"/>
  <c r="P40" i="13"/>
  <c r="P38" i="13"/>
  <c r="P37" i="13"/>
  <c r="P36" i="13"/>
  <c r="P39" i="13"/>
  <c r="O34" i="13"/>
  <c r="N34" i="13"/>
  <c r="M34" i="13"/>
  <c r="L34" i="13"/>
  <c r="K34" i="13"/>
  <c r="J34" i="13"/>
  <c r="I34" i="13"/>
  <c r="H34" i="13"/>
  <c r="G34" i="13"/>
  <c r="F34" i="13"/>
  <c r="E34" i="13"/>
  <c r="D34" i="13"/>
  <c r="J32" i="13"/>
  <c r="P32" i="13" s="1"/>
  <c r="P31" i="13"/>
  <c r="P30" i="13"/>
  <c r="P29" i="13"/>
  <c r="P28" i="13"/>
  <c r="P26" i="13"/>
  <c r="P25" i="13"/>
  <c r="P24" i="13"/>
  <c r="P23" i="13"/>
  <c r="P22" i="13"/>
  <c r="P21" i="13"/>
  <c r="P19" i="13"/>
  <c r="P20" i="13"/>
  <c r="P18" i="13"/>
  <c r="P17" i="13"/>
  <c r="K16" i="13"/>
  <c r="P16" i="13" s="1"/>
  <c r="P15" i="13"/>
  <c r="P14" i="13"/>
  <c r="P13" i="13"/>
  <c r="P12" i="13"/>
  <c r="P27" i="13"/>
  <c r="O10" i="13"/>
  <c r="N10" i="13"/>
  <c r="M10" i="13"/>
  <c r="L10" i="13"/>
  <c r="I10" i="13"/>
  <c r="H10" i="13"/>
  <c r="G10" i="13"/>
  <c r="F10" i="13"/>
  <c r="E10" i="13"/>
  <c r="D10" i="13"/>
  <c r="O180" i="12"/>
  <c r="O179" i="12"/>
  <c r="O178" i="12"/>
  <c r="O176" i="12"/>
  <c r="O175" i="12"/>
  <c r="O177" i="12"/>
  <c r="N172" i="12"/>
  <c r="M172" i="12"/>
  <c r="L172" i="12"/>
  <c r="K172" i="12"/>
  <c r="J172" i="12"/>
  <c r="I172" i="12"/>
  <c r="H172" i="12"/>
  <c r="F172" i="12"/>
  <c r="E172" i="12"/>
  <c r="D172" i="12"/>
  <c r="C172" i="12"/>
  <c r="O169" i="12"/>
  <c r="O168" i="12"/>
  <c r="O170" i="12"/>
  <c r="N166" i="12"/>
  <c r="M166" i="12"/>
  <c r="L166" i="12"/>
  <c r="K166" i="12"/>
  <c r="J166" i="12"/>
  <c r="I166" i="12"/>
  <c r="H166" i="12"/>
  <c r="F166" i="12"/>
  <c r="E166" i="12"/>
  <c r="D166" i="12"/>
  <c r="C166" i="12"/>
  <c r="O164" i="12"/>
  <c r="O163" i="12"/>
  <c r="N161" i="12"/>
  <c r="M161" i="12"/>
  <c r="L161" i="12"/>
  <c r="K161" i="12"/>
  <c r="J161" i="12"/>
  <c r="I161" i="12"/>
  <c r="H161" i="12"/>
  <c r="F161" i="12"/>
  <c r="E161" i="12"/>
  <c r="D161" i="12"/>
  <c r="C161" i="12"/>
  <c r="O159" i="12"/>
  <c r="O158" i="12"/>
  <c r="O157" i="12"/>
  <c r="O156" i="12"/>
  <c r="O155" i="12"/>
  <c r="O154" i="12"/>
  <c r="O152" i="12"/>
  <c r="O151" i="12"/>
  <c r="O153" i="12"/>
  <c r="O150" i="12"/>
  <c r="O149" i="12"/>
  <c r="O148" i="12"/>
  <c r="O147" i="12"/>
  <c r="O146" i="12"/>
  <c r="O145" i="12"/>
  <c r="O144" i="12"/>
  <c r="N142" i="12"/>
  <c r="M142" i="12"/>
  <c r="L142" i="12"/>
  <c r="K142" i="12"/>
  <c r="J142" i="12"/>
  <c r="I142" i="12"/>
  <c r="H142" i="12"/>
  <c r="F142" i="12"/>
  <c r="E142" i="12"/>
  <c r="D142" i="12"/>
  <c r="C142" i="12"/>
  <c r="O140" i="12"/>
  <c r="O139" i="12"/>
  <c r="N137" i="12"/>
  <c r="M137" i="12"/>
  <c r="L137" i="12"/>
  <c r="K137" i="12"/>
  <c r="J137" i="12"/>
  <c r="I137" i="12"/>
  <c r="H137" i="12"/>
  <c r="F137" i="12"/>
  <c r="E137" i="12"/>
  <c r="D137" i="12"/>
  <c r="C137" i="12"/>
  <c r="O135" i="12"/>
  <c r="O134" i="12"/>
  <c r="O133" i="12"/>
  <c r="O132" i="12"/>
  <c r="N130" i="12"/>
  <c r="M130" i="12"/>
  <c r="L130" i="12"/>
  <c r="K130" i="12"/>
  <c r="J130" i="12"/>
  <c r="I130" i="12"/>
  <c r="H130" i="12"/>
  <c r="F130" i="12"/>
  <c r="E130" i="12"/>
  <c r="D130" i="12"/>
  <c r="C130" i="12"/>
  <c r="O128" i="12"/>
  <c r="O127" i="12"/>
  <c r="N125" i="12"/>
  <c r="M125" i="12"/>
  <c r="L125" i="12"/>
  <c r="K125" i="12"/>
  <c r="J125" i="12"/>
  <c r="I125" i="12"/>
  <c r="H125" i="12"/>
  <c r="F125" i="12"/>
  <c r="E125" i="12"/>
  <c r="D125" i="12"/>
  <c r="C125" i="12"/>
  <c r="O122" i="12"/>
  <c r="O123" i="12"/>
  <c r="N120" i="12"/>
  <c r="M120" i="12"/>
  <c r="L120" i="12"/>
  <c r="K120" i="12"/>
  <c r="J120" i="12"/>
  <c r="I120" i="12"/>
  <c r="H120" i="12"/>
  <c r="G120" i="12"/>
  <c r="G212" i="12" s="1"/>
  <c r="F120" i="12"/>
  <c r="E120" i="12"/>
  <c r="D120" i="12"/>
  <c r="C120" i="12"/>
  <c r="O118" i="12"/>
  <c r="O117" i="12"/>
  <c r="O115" i="12"/>
  <c r="O114" i="12"/>
  <c r="O116" i="12"/>
  <c r="N112" i="12"/>
  <c r="M112" i="12"/>
  <c r="L112" i="12"/>
  <c r="K112" i="12"/>
  <c r="J112" i="12"/>
  <c r="I112" i="12"/>
  <c r="H112" i="12"/>
  <c r="F112" i="12"/>
  <c r="E112" i="12"/>
  <c r="D112" i="12"/>
  <c r="C112" i="12"/>
  <c r="O109" i="12"/>
  <c r="O108" i="12"/>
  <c r="O107" i="12"/>
  <c r="O106" i="12"/>
  <c r="O110" i="12"/>
  <c r="N104" i="12"/>
  <c r="M104" i="12"/>
  <c r="L104" i="12"/>
  <c r="K104" i="12"/>
  <c r="J104" i="12"/>
  <c r="I104" i="12"/>
  <c r="H104" i="12"/>
  <c r="F104" i="12"/>
  <c r="E104" i="12"/>
  <c r="D104" i="12"/>
  <c r="C104" i="12"/>
  <c r="O102" i="12"/>
  <c r="O101" i="12"/>
  <c r="O100" i="12"/>
  <c r="N98" i="12"/>
  <c r="M98" i="12"/>
  <c r="L98" i="12"/>
  <c r="K98" i="12"/>
  <c r="J98" i="12"/>
  <c r="I98" i="12"/>
  <c r="H98" i="12"/>
  <c r="F98" i="12"/>
  <c r="E98" i="12"/>
  <c r="D98" i="12"/>
  <c r="C98" i="12"/>
  <c r="O96" i="12"/>
  <c r="O94" i="12"/>
  <c r="O93" i="12"/>
  <c r="O95" i="12"/>
  <c r="N91" i="12"/>
  <c r="M91" i="12"/>
  <c r="L91" i="12"/>
  <c r="K91" i="12"/>
  <c r="J91" i="12"/>
  <c r="I91" i="12"/>
  <c r="H91" i="12"/>
  <c r="F91" i="12"/>
  <c r="E91" i="12"/>
  <c r="D91" i="12"/>
  <c r="C91" i="12"/>
  <c r="O89" i="12"/>
  <c r="N86" i="12"/>
  <c r="M86" i="12"/>
  <c r="L86" i="12"/>
  <c r="K86" i="12"/>
  <c r="J86" i="12"/>
  <c r="I86" i="12"/>
  <c r="H86" i="12"/>
  <c r="F86" i="12"/>
  <c r="E86" i="12"/>
  <c r="D86" i="12"/>
  <c r="C86" i="12"/>
  <c r="O81" i="12"/>
  <c r="O84" i="12"/>
  <c r="O83" i="12"/>
  <c r="O82" i="12"/>
  <c r="N79" i="12"/>
  <c r="M79" i="12"/>
  <c r="L79" i="12"/>
  <c r="K79" i="12"/>
  <c r="J79" i="12"/>
  <c r="I79" i="12"/>
  <c r="H79" i="12"/>
  <c r="F79" i="12"/>
  <c r="E79" i="12"/>
  <c r="D79" i="12"/>
  <c r="C79" i="12"/>
  <c r="O77" i="12"/>
  <c r="O76" i="12"/>
  <c r="O75" i="12"/>
  <c r="O74" i="12"/>
  <c r="O72" i="12"/>
  <c r="O73" i="12"/>
  <c r="O71" i="12"/>
  <c r="O70" i="12"/>
  <c r="N68" i="12"/>
  <c r="M68" i="12"/>
  <c r="L68" i="12"/>
  <c r="K68" i="12"/>
  <c r="J68" i="12"/>
  <c r="I68" i="12"/>
  <c r="H68" i="12"/>
  <c r="F68" i="12"/>
  <c r="E68" i="12"/>
  <c r="D68" i="12"/>
  <c r="C68" i="12"/>
  <c r="N64" i="12"/>
  <c r="M64" i="12"/>
  <c r="L64" i="12"/>
  <c r="K64" i="12"/>
  <c r="J64" i="12"/>
  <c r="I64" i="12"/>
  <c r="H64" i="12"/>
  <c r="F64" i="12"/>
  <c r="E64" i="12"/>
  <c r="D64" i="12"/>
  <c r="O62" i="12"/>
  <c r="O61" i="12"/>
  <c r="N59" i="12"/>
  <c r="M59" i="12"/>
  <c r="L59" i="12"/>
  <c r="K59" i="12"/>
  <c r="J59" i="12"/>
  <c r="I59" i="12"/>
  <c r="H59" i="12"/>
  <c r="F59" i="12"/>
  <c r="E59" i="12"/>
  <c r="D59" i="12"/>
  <c r="C59" i="12"/>
  <c r="O57" i="12"/>
  <c r="N55" i="12"/>
  <c r="M55" i="12"/>
  <c r="L55" i="12"/>
  <c r="K55" i="12"/>
  <c r="J55" i="12"/>
  <c r="I55" i="12"/>
  <c r="H55" i="12"/>
  <c r="F55" i="12"/>
  <c r="E55" i="12"/>
  <c r="D55" i="12"/>
  <c r="C55" i="12"/>
  <c r="O53" i="12"/>
  <c r="O52" i="12"/>
  <c r="O51" i="12"/>
  <c r="O50" i="12"/>
  <c r="O49" i="12"/>
  <c r="O47" i="12"/>
  <c r="O46" i="12"/>
  <c r="O45" i="12"/>
  <c r="O44" i="12"/>
  <c r="O43" i="12"/>
  <c r="O42" i="12"/>
  <c r="O41" i="12"/>
  <c r="O37" i="12"/>
  <c r="O35" i="12"/>
  <c r="O34" i="12"/>
  <c r="O33" i="12"/>
  <c r="O36" i="12"/>
  <c r="N31" i="12"/>
  <c r="M31" i="12"/>
  <c r="L31" i="12"/>
  <c r="K31" i="12"/>
  <c r="J31" i="12"/>
  <c r="I31" i="12"/>
  <c r="H31" i="12"/>
  <c r="F31" i="12"/>
  <c r="E31" i="12"/>
  <c r="D31" i="12"/>
  <c r="O29" i="12"/>
  <c r="O28" i="12"/>
  <c r="O27" i="12"/>
  <c r="O26" i="12"/>
  <c r="O25" i="12"/>
  <c r="O23" i="12"/>
  <c r="O22" i="12"/>
  <c r="O21" i="12"/>
  <c r="O20" i="12"/>
  <c r="O19" i="12"/>
  <c r="O18" i="12"/>
  <c r="O17" i="12"/>
  <c r="O16" i="12"/>
  <c r="O15" i="12"/>
  <c r="O14" i="12"/>
  <c r="O13" i="12"/>
  <c r="O12" i="12"/>
  <c r="O11" i="12"/>
  <c r="O10" i="12"/>
  <c r="O24" i="12"/>
  <c r="N8" i="12"/>
  <c r="M8" i="12"/>
  <c r="L8" i="12"/>
  <c r="K8" i="12"/>
  <c r="J8" i="12"/>
  <c r="I8" i="12"/>
  <c r="H8" i="12"/>
  <c r="F8" i="12"/>
  <c r="E8" i="12"/>
  <c r="D8" i="12"/>
  <c r="C8" i="12"/>
  <c r="P188" i="11"/>
  <c r="P187" i="11"/>
  <c r="P186" i="11"/>
  <c r="P185" i="11"/>
  <c r="P183" i="11"/>
  <c r="P182" i="11"/>
  <c r="P184" i="11"/>
  <c r="O179" i="11"/>
  <c r="N179" i="11"/>
  <c r="M179" i="11"/>
  <c r="L179" i="11"/>
  <c r="K179" i="11"/>
  <c r="J179" i="11"/>
  <c r="I179" i="11"/>
  <c r="H179" i="11"/>
  <c r="G179" i="11"/>
  <c r="F179" i="11"/>
  <c r="E179" i="11"/>
  <c r="D179" i="11"/>
  <c r="P177" i="11"/>
  <c r="P176" i="11"/>
  <c r="P174" i="11"/>
  <c r="P173" i="11"/>
  <c r="P175" i="11"/>
  <c r="O171" i="11"/>
  <c r="N171" i="11"/>
  <c r="M171" i="11"/>
  <c r="L171" i="11"/>
  <c r="K171" i="11"/>
  <c r="J171" i="11"/>
  <c r="I171" i="11"/>
  <c r="H171" i="11"/>
  <c r="G171" i="11"/>
  <c r="F171" i="11"/>
  <c r="E171" i="11"/>
  <c r="D171" i="11"/>
  <c r="P168" i="11"/>
  <c r="P167" i="11"/>
  <c r="P169" i="11"/>
  <c r="O165" i="11"/>
  <c r="N165" i="11"/>
  <c r="M165" i="11"/>
  <c r="L165" i="11"/>
  <c r="K165" i="11"/>
  <c r="J165" i="11"/>
  <c r="I165" i="11"/>
  <c r="H165" i="11"/>
  <c r="G165" i="11"/>
  <c r="F165" i="11"/>
  <c r="E165" i="11"/>
  <c r="D165" i="11"/>
  <c r="P163" i="11"/>
  <c r="O161" i="11"/>
  <c r="N161" i="11"/>
  <c r="M161" i="11"/>
  <c r="L161" i="11"/>
  <c r="K161" i="11"/>
  <c r="J161" i="11"/>
  <c r="I161" i="11"/>
  <c r="H161" i="11"/>
  <c r="G161" i="11"/>
  <c r="F161" i="11"/>
  <c r="E161" i="11"/>
  <c r="D161" i="11"/>
  <c r="P159" i="11"/>
  <c r="P158" i="11"/>
  <c r="P157" i="11"/>
  <c r="P156" i="11"/>
  <c r="P155" i="11"/>
  <c r="P154" i="11"/>
  <c r="P152" i="11"/>
  <c r="P151" i="11"/>
  <c r="P150" i="11"/>
  <c r="P153" i="11"/>
  <c r="P149" i="11"/>
  <c r="P148" i="11"/>
  <c r="P147" i="11"/>
  <c r="P146" i="11"/>
  <c r="P145" i="11"/>
  <c r="P144" i="11"/>
  <c r="P143" i="11"/>
  <c r="O141" i="11"/>
  <c r="N141" i="11"/>
  <c r="M141" i="11"/>
  <c r="L141" i="11"/>
  <c r="K141" i="11"/>
  <c r="J141" i="11"/>
  <c r="I141" i="11"/>
  <c r="H141" i="11"/>
  <c r="G141" i="11"/>
  <c r="F141" i="11"/>
  <c r="E141" i="11"/>
  <c r="D141" i="11"/>
  <c r="P139" i="11"/>
  <c r="P138" i="11"/>
  <c r="O136" i="11"/>
  <c r="N136" i="11"/>
  <c r="M136" i="11"/>
  <c r="L136" i="11"/>
  <c r="K136" i="11"/>
  <c r="J136" i="11"/>
  <c r="I136" i="11"/>
  <c r="H136" i="11"/>
  <c r="G136" i="11"/>
  <c r="F136" i="11"/>
  <c r="E136" i="11"/>
  <c r="D136" i="11"/>
  <c r="P134" i="11"/>
  <c r="P133" i="11"/>
  <c r="P132" i="11"/>
  <c r="P131" i="11"/>
  <c r="O129" i="11"/>
  <c r="N129" i="11"/>
  <c r="M129" i="11"/>
  <c r="L129" i="11"/>
  <c r="K129" i="11"/>
  <c r="J129" i="11"/>
  <c r="I129" i="11"/>
  <c r="H129" i="11"/>
  <c r="G129" i="11"/>
  <c r="F129" i="11"/>
  <c r="E129" i="11"/>
  <c r="D129" i="11"/>
  <c r="P127" i="11"/>
  <c r="P126" i="11"/>
  <c r="O124" i="11"/>
  <c r="N124" i="11"/>
  <c r="M124" i="11"/>
  <c r="L124" i="11"/>
  <c r="K124" i="11"/>
  <c r="J124" i="11"/>
  <c r="I124" i="11"/>
  <c r="H124" i="11"/>
  <c r="G124" i="11"/>
  <c r="F124" i="11"/>
  <c r="E124" i="11"/>
  <c r="D124" i="11"/>
  <c r="P121" i="11"/>
  <c r="P122" i="11"/>
  <c r="O119" i="11"/>
  <c r="N119" i="11"/>
  <c r="M119" i="11"/>
  <c r="L119" i="11"/>
  <c r="K119" i="11"/>
  <c r="J119" i="11"/>
  <c r="I119" i="11"/>
  <c r="H119" i="11"/>
  <c r="G119" i="11"/>
  <c r="F119" i="11"/>
  <c r="E119" i="11"/>
  <c r="D119" i="11"/>
  <c r="P117" i="11"/>
  <c r="P116" i="11"/>
  <c r="P114" i="11"/>
  <c r="P115" i="11"/>
  <c r="O112" i="11"/>
  <c r="N112" i="11"/>
  <c r="M112" i="11"/>
  <c r="L112" i="11"/>
  <c r="K112" i="11"/>
  <c r="J112" i="11"/>
  <c r="I112" i="11"/>
  <c r="H112" i="11"/>
  <c r="G112" i="11"/>
  <c r="F112" i="11"/>
  <c r="E112" i="11"/>
  <c r="D112" i="11"/>
  <c r="P109" i="11"/>
  <c r="P108" i="11"/>
  <c r="P107" i="11"/>
  <c r="P106" i="11"/>
  <c r="P110" i="11"/>
  <c r="O104" i="11"/>
  <c r="N104" i="11"/>
  <c r="M104" i="11"/>
  <c r="L104" i="11"/>
  <c r="K104" i="11"/>
  <c r="J104" i="11"/>
  <c r="I104" i="11"/>
  <c r="H104" i="11"/>
  <c r="G104" i="11"/>
  <c r="F104" i="11"/>
  <c r="E104" i="11"/>
  <c r="D104" i="11"/>
  <c r="P102" i="11"/>
  <c r="P101" i="11"/>
  <c r="P100" i="11"/>
  <c r="O98" i="11"/>
  <c r="N98" i="11"/>
  <c r="M98" i="11"/>
  <c r="L98" i="11"/>
  <c r="K98" i="11"/>
  <c r="J98" i="11"/>
  <c r="I98" i="11"/>
  <c r="H98" i="11"/>
  <c r="G98" i="11"/>
  <c r="F98" i="11"/>
  <c r="E98" i="11"/>
  <c r="D98" i="11"/>
  <c r="P95" i="11"/>
  <c r="P94" i="11"/>
  <c r="P96" i="11"/>
  <c r="O92" i="11"/>
  <c r="N92" i="11"/>
  <c r="M92" i="11"/>
  <c r="L92" i="11"/>
  <c r="K92" i="11"/>
  <c r="J92" i="11"/>
  <c r="I92" i="11"/>
  <c r="H92" i="11"/>
  <c r="G92" i="11"/>
  <c r="F92" i="11"/>
  <c r="E92" i="11"/>
  <c r="D92" i="11"/>
  <c r="P89" i="11"/>
  <c r="P90" i="11"/>
  <c r="O87" i="11"/>
  <c r="N87" i="11"/>
  <c r="M87" i="11"/>
  <c r="L87" i="11"/>
  <c r="K87" i="11"/>
  <c r="J87" i="11"/>
  <c r="I87" i="11"/>
  <c r="H87" i="11"/>
  <c r="G87" i="11"/>
  <c r="F87" i="11"/>
  <c r="E87" i="11"/>
  <c r="D87" i="11"/>
  <c r="P82" i="11"/>
  <c r="P85" i="11"/>
  <c r="P84" i="11"/>
  <c r="P83" i="11"/>
  <c r="O80" i="11"/>
  <c r="N80" i="11"/>
  <c r="M80" i="11"/>
  <c r="L80" i="11"/>
  <c r="K80" i="11"/>
  <c r="J80" i="11"/>
  <c r="I80" i="11"/>
  <c r="H80" i="11"/>
  <c r="G80" i="11"/>
  <c r="F80" i="11"/>
  <c r="E80" i="11"/>
  <c r="D80" i="11"/>
  <c r="P78" i="11"/>
  <c r="P77" i="11"/>
  <c r="P76" i="11"/>
  <c r="P75" i="11"/>
  <c r="P73" i="11"/>
  <c r="P74" i="11"/>
  <c r="P72" i="11"/>
  <c r="P71" i="11"/>
  <c r="O69" i="11"/>
  <c r="N69" i="11"/>
  <c r="M69" i="11"/>
  <c r="L69" i="11"/>
  <c r="K69" i="11"/>
  <c r="J69" i="11"/>
  <c r="I69" i="11"/>
  <c r="H69" i="11"/>
  <c r="G69" i="11"/>
  <c r="F69" i="11"/>
  <c r="E69" i="11"/>
  <c r="D69" i="11"/>
  <c r="P67" i="11"/>
  <c r="O65" i="11"/>
  <c r="L65" i="11"/>
  <c r="K65" i="11"/>
  <c r="J65" i="11"/>
  <c r="I65" i="11"/>
  <c r="H65" i="11"/>
  <c r="G65" i="11"/>
  <c r="F65" i="11"/>
  <c r="E65" i="11"/>
  <c r="D65" i="11"/>
  <c r="P63" i="11"/>
  <c r="P62" i="11"/>
  <c r="O60" i="11"/>
  <c r="N60" i="11"/>
  <c r="M60" i="11"/>
  <c r="L60" i="11"/>
  <c r="K60" i="11"/>
  <c r="J60" i="11"/>
  <c r="I60" i="11"/>
  <c r="H60" i="11"/>
  <c r="G60" i="11"/>
  <c r="F60" i="11"/>
  <c r="E60" i="11"/>
  <c r="D60" i="11"/>
  <c r="P58" i="11"/>
  <c r="O56" i="11"/>
  <c r="J56" i="11"/>
  <c r="D56" i="11"/>
  <c r="P54" i="11"/>
  <c r="P53" i="11"/>
  <c r="P52" i="11"/>
  <c r="P51" i="11"/>
  <c r="P50" i="11"/>
  <c r="P48" i="11"/>
  <c r="P47" i="11"/>
  <c r="P46" i="11"/>
  <c r="P45" i="11"/>
  <c r="P44" i="11"/>
  <c r="P43" i="11"/>
  <c r="P42" i="11"/>
  <c r="P49" i="11"/>
  <c r="O40" i="11"/>
  <c r="N40" i="11"/>
  <c r="M40" i="11"/>
  <c r="L40" i="11"/>
  <c r="K40" i="11"/>
  <c r="J40" i="11"/>
  <c r="I40" i="11"/>
  <c r="H40" i="11"/>
  <c r="G40" i="11"/>
  <c r="F40" i="11"/>
  <c r="E40" i="11"/>
  <c r="D40" i="11"/>
  <c r="P38" i="11"/>
  <c r="P36" i="11"/>
  <c r="P35" i="11"/>
  <c r="P34" i="11"/>
  <c r="P37" i="11"/>
  <c r="O32" i="11"/>
  <c r="N32" i="11"/>
  <c r="M32" i="11"/>
  <c r="L32" i="11"/>
  <c r="K32" i="11"/>
  <c r="J32" i="11"/>
  <c r="I32" i="11"/>
  <c r="H32" i="11"/>
  <c r="G32" i="11"/>
  <c r="F32" i="11"/>
  <c r="E32" i="11"/>
  <c r="D32" i="11"/>
  <c r="P30" i="11"/>
  <c r="P29" i="11"/>
  <c r="P28" i="11"/>
  <c r="P27" i="11"/>
  <c r="P26" i="11"/>
  <c r="P24" i="11"/>
  <c r="P23" i="11"/>
  <c r="P22" i="11"/>
  <c r="P21" i="11"/>
  <c r="P20" i="11"/>
  <c r="P19" i="11"/>
  <c r="P18" i="11"/>
  <c r="P17" i="11"/>
  <c r="P16" i="11"/>
  <c r="P15" i="11"/>
  <c r="P14" i="11"/>
  <c r="P13" i="11"/>
  <c r="P12" i="11"/>
  <c r="P25" i="11"/>
  <c r="O10" i="11"/>
  <c r="N10" i="11"/>
  <c r="M10" i="11"/>
  <c r="L10" i="11"/>
  <c r="K10" i="11"/>
  <c r="J10" i="11"/>
  <c r="I10" i="11"/>
  <c r="H10" i="11"/>
  <c r="G10" i="11"/>
  <c r="F10" i="11"/>
  <c r="E10" i="11"/>
  <c r="D10" i="11"/>
  <c r="Q231" i="10"/>
  <c r="P204" i="10"/>
  <c r="O204" i="10"/>
  <c r="N204" i="10"/>
  <c r="M204" i="10"/>
  <c r="L204" i="10"/>
  <c r="K204" i="10"/>
  <c r="J204" i="10"/>
  <c r="I204" i="10"/>
  <c r="H204" i="10"/>
  <c r="G204" i="10"/>
  <c r="F204" i="10"/>
  <c r="E204" i="10"/>
  <c r="Q202" i="10"/>
  <c r="Q201" i="10"/>
  <c r="Q200" i="10"/>
  <c r="Q199" i="10"/>
  <c r="Q197" i="10"/>
  <c r="Q195" i="10"/>
  <c r="Q196" i="10"/>
  <c r="Q198" i="10"/>
  <c r="P193" i="10"/>
  <c r="O193" i="10"/>
  <c r="N193" i="10"/>
  <c r="M193" i="10"/>
  <c r="L193" i="10"/>
  <c r="K193" i="10"/>
  <c r="J193" i="10"/>
  <c r="I193" i="10"/>
  <c r="H193" i="10"/>
  <c r="G193" i="10"/>
  <c r="F193" i="10"/>
  <c r="E193" i="10"/>
  <c r="Q189" i="10"/>
  <c r="P185" i="10"/>
  <c r="O185" i="10"/>
  <c r="N185" i="10"/>
  <c r="M185" i="10"/>
  <c r="L185" i="10"/>
  <c r="K185" i="10"/>
  <c r="J185" i="10"/>
  <c r="I185" i="10"/>
  <c r="H185" i="10"/>
  <c r="G185" i="10"/>
  <c r="F185" i="10"/>
  <c r="E185" i="10"/>
  <c r="Q182" i="10"/>
  <c r="Q183" i="10"/>
  <c r="P180" i="10"/>
  <c r="O180" i="10"/>
  <c r="N180" i="10"/>
  <c r="M180" i="10"/>
  <c r="L180" i="10"/>
  <c r="K180" i="10"/>
  <c r="J180" i="10"/>
  <c r="I180" i="10"/>
  <c r="H180" i="10"/>
  <c r="G180" i="10"/>
  <c r="F180" i="10"/>
  <c r="E180" i="10"/>
  <c r="Q177" i="10"/>
  <c r="Q178" i="10"/>
  <c r="P175" i="10"/>
  <c r="O175" i="10"/>
  <c r="N175" i="10"/>
  <c r="M175" i="10"/>
  <c r="L175" i="10"/>
  <c r="K175" i="10"/>
  <c r="J175" i="10"/>
  <c r="I175" i="10"/>
  <c r="H175" i="10"/>
  <c r="G175" i="10"/>
  <c r="F175" i="10"/>
  <c r="E175" i="10"/>
  <c r="Q159" i="10"/>
  <c r="P156" i="10"/>
  <c r="O156" i="10"/>
  <c r="N156" i="10"/>
  <c r="M156" i="10"/>
  <c r="L156" i="10"/>
  <c r="K156" i="10"/>
  <c r="J156" i="10"/>
  <c r="I156" i="10"/>
  <c r="H156" i="10"/>
  <c r="G156" i="10"/>
  <c r="F156" i="10"/>
  <c r="E156" i="10"/>
  <c r="Q152" i="10"/>
  <c r="Q154" i="10"/>
  <c r="Q153" i="10"/>
  <c r="Q151" i="10"/>
  <c r="P149" i="10"/>
  <c r="O149" i="10"/>
  <c r="N149" i="10"/>
  <c r="M149" i="10"/>
  <c r="L149" i="10"/>
  <c r="K149" i="10"/>
  <c r="J149" i="10"/>
  <c r="I149" i="10"/>
  <c r="H149" i="10"/>
  <c r="G149" i="10"/>
  <c r="F149" i="10"/>
  <c r="E149" i="10"/>
  <c r="Q147" i="10"/>
  <c r="Q146" i="10"/>
  <c r="Q145" i="10"/>
  <c r="Q144" i="10"/>
  <c r="P142" i="10"/>
  <c r="O142" i="10"/>
  <c r="N142" i="10"/>
  <c r="M142" i="10"/>
  <c r="L142" i="10"/>
  <c r="K142" i="10"/>
  <c r="J142" i="10"/>
  <c r="I142" i="10"/>
  <c r="H142" i="10"/>
  <c r="G142" i="10"/>
  <c r="F142" i="10"/>
  <c r="E142" i="10"/>
  <c r="Q140" i="10"/>
  <c r="Q139" i="10"/>
  <c r="P137" i="10"/>
  <c r="O137" i="10"/>
  <c r="N137" i="10"/>
  <c r="M137" i="10"/>
  <c r="L137" i="10"/>
  <c r="K137" i="10"/>
  <c r="J137" i="10"/>
  <c r="I137" i="10"/>
  <c r="H137" i="10"/>
  <c r="G137" i="10"/>
  <c r="F137" i="10"/>
  <c r="E137" i="10"/>
  <c r="Q134" i="10"/>
  <c r="Q135" i="10"/>
  <c r="P132" i="10"/>
  <c r="O132" i="10"/>
  <c r="N132" i="10"/>
  <c r="M132" i="10"/>
  <c r="L132" i="10"/>
  <c r="K132" i="10"/>
  <c r="J132" i="10"/>
  <c r="I132" i="10"/>
  <c r="H132" i="10"/>
  <c r="G132" i="10"/>
  <c r="F132" i="10"/>
  <c r="E132" i="10"/>
  <c r="Q130" i="10"/>
  <c r="Q129" i="10"/>
  <c r="Q127" i="10"/>
  <c r="Q126" i="10"/>
  <c r="Q125" i="10"/>
  <c r="Q128" i="10"/>
  <c r="P123" i="10"/>
  <c r="O123" i="10"/>
  <c r="N123" i="10"/>
  <c r="M123" i="10"/>
  <c r="L123" i="10"/>
  <c r="K123" i="10"/>
  <c r="J123" i="10"/>
  <c r="I123" i="10"/>
  <c r="H123" i="10"/>
  <c r="G123" i="10"/>
  <c r="F123" i="10"/>
  <c r="E123" i="10"/>
  <c r="Q120" i="10"/>
  <c r="Q119" i="10"/>
  <c r="Q118" i="10"/>
  <c r="Q117" i="10"/>
  <c r="Q121" i="10"/>
  <c r="P115" i="10"/>
  <c r="O115" i="10"/>
  <c r="N115" i="10"/>
  <c r="M115" i="10"/>
  <c r="L115" i="10"/>
  <c r="K115" i="10"/>
  <c r="J115" i="10"/>
  <c r="I115" i="10"/>
  <c r="H115" i="10"/>
  <c r="G115" i="10"/>
  <c r="F115" i="10"/>
  <c r="E115" i="10"/>
  <c r="Q113" i="10"/>
  <c r="Q112" i="10"/>
  <c r="Q111" i="10"/>
  <c r="P109" i="10"/>
  <c r="O109" i="10"/>
  <c r="N109" i="10"/>
  <c r="M109" i="10"/>
  <c r="L109" i="10"/>
  <c r="K109" i="10"/>
  <c r="J109" i="10"/>
  <c r="I109" i="10"/>
  <c r="H109" i="10"/>
  <c r="G109" i="10"/>
  <c r="F109" i="10"/>
  <c r="E109" i="10"/>
  <c r="Q107" i="10"/>
  <c r="Q105" i="10"/>
  <c r="Q104" i="10"/>
  <c r="Q106" i="10"/>
  <c r="P102" i="10"/>
  <c r="O102" i="10"/>
  <c r="N102" i="10"/>
  <c r="M102" i="10"/>
  <c r="L102" i="10"/>
  <c r="K102" i="10"/>
  <c r="J102" i="10"/>
  <c r="I102" i="10"/>
  <c r="H102" i="10"/>
  <c r="G102" i="10"/>
  <c r="F102" i="10"/>
  <c r="E102" i="10"/>
  <c r="Q100" i="10"/>
  <c r="Q98" i="10"/>
  <c r="Q99" i="10"/>
  <c r="P96" i="10"/>
  <c r="O96" i="10"/>
  <c r="N96" i="10"/>
  <c r="M96" i="10"/>
  <c r="L96" i="10"/>
  <c r="K96" i="10"/>
  <c r="J96" i="10"/>
  <c r="I96" i="10"/>
  <c r="H96" i="10"/>
  <c r="G96" i="10"/>
  <c r="F96" i="10"/>
  <c r="E96" i="10"/>
  <c r="Q91" i="10"/>
  <c r="P89" i="10"/>
  <c r="O89" i="10"/>
  <c r="N89" i="10"/>
  <c r="M89" i="10"/>
  <c r="L89" i="10"/>
  <c r="K89" i="10"/>
  <c r="J89" i="10"/>
  <c r="I89" i="10"/>
  <c r="H89" i="10"/>
  <c r="G89" i="10"/>
  <c r="F89" i="10"/>
  <c r="E89" i="10"/>
  <c r="Q87" i="10"/>
  <c r="Q86" i="10"/>
  <c r="Q85" i="10"/>
  <c r="Q84" i="10"/>
  <c r="Q82" i="10"/>
  <c r="Q83" i="10"/>
  <c r="Q81" i="10"/>
  <c r="Q80" i="10"/>
  <c r="P78" i="10"/>
  <c r="O78" i="10"/>
  <c r="N78" i="10"/>
  <c r="M78" i="10"/>
  <c r="L78" i="10"/>
  <c r="K78" i="10"/>
  <c r="J78" i="10"/>
  <c r="I78" i="10"/>
  <c r="H78" i="10"/>
  <c r="G78" i="10"/>
  <c r="F78" i="10"/>
  <c r="E78" i="10"/>
  <c r="Q76" i="10"/>
  <c r="P74" i="10"/>
  <c r="O74" i="10"/>
  <c r="N74" i="10"/>
  <c r="M74" i="10"/>
  <c r="L74" i="10"/>
  <c r="K74" i="10"/>
  <c r="J74" i="10"/>
  <c r="I74" i="10"/>
  <c r="H74" i="10"/>
  <c r="G74" i="10"/>
  <c r="F74" i="10"/>
  <c r="E74" i="10"/>
  <c r="Q72" i="10"/>
  <c r="Q71" i="10"/>
  <c r="P69" i="10"/>
  <c r="O69" i="10"/>
  <c r="N69" i="10"/>
  <c r="M69" i="10"/>
  <c r="L69" i="10"/>
  <c r="K69" i="10"/>
  <c r="J69" i="10"/>
  <c r="I69" i="10"/>
  <c r="H69" i="10"/>
  <c r="G69" i="10"/>
  <c r="F69" i="10"/>
  <c r="E69" i="10"/>
  <c r="Q67" i="10"/>
  <c r="P65" i="10"/>
  <c r="O65" i="10"/>
  <c r="M65" i="10"/>
  <c r="L65" i="10"/>
  <c r="K65" i="10"/>
  <c r="J65" i="10"/>
  <c r="I65" i="10"/>
  <c r="H65" i="10"/>
  <c r="G65" i="10"/>
  <c r="F65" i="10"/>
  <c r="E65" i="10"/>
  <c r="Q63" i="10"/>
  <c r="Q62" i="10"/>
  <c r="Q61" i="10"/>
  <c r="Q60" i="10"/>
  <c r="Q59" i="10"/>
  <c r="Q58" i="10"/>
  <c r="Q56" i="10"/>
  <c r="Q55" i="10"/>
  <c r="Q54" i="10"/>
  <c r="Q53" i="10"/>
  <c r="Q52" i="10"/>
  <c r="Q51" i="10"/>
  <c r="Q50" i="10"/>
  <c r="Q49" i="10"/>
  <c r="Q57" i="10"/>
  <c r="P47" i="10"/>
  <c r="O47" i="10"/>
  <c r="N47" i="10"/>
  <c r="M47" i="10"/>
  <c r="L47" i="10"/>
  <c r="K47" i="10"/>
  <c r="J47" i="10"/>
  <c r="I47" i="10"/>
  <c r="H47" i="10"/>
  <c r="G47" i="10"/>
  <c r="F47" i="10"/>
  <c r="E47" i="10"/>
  <c r="Q41" i="10"/>
  <c r="Q45" i="10"/>
  <c r="Q43" i="10"/>
  <c r="Q42" i="10"/>
  <c r="Q40" i="10"/>
  <c r="Q44" i="10"/>
  <c r="P38" i="10"/>
  <c r="O38" i="10"/>
  <c r="N38" i="10"/>
  <c r="M38" i="10"/>
  <c r="L38" i="10"/>
  <c r="K38" i="10"/>
  <c r="J38" i="10"/>
  <c r="I38" i="10"/>
  <c r="H38" i="10"/>
  <c r="G38" i="10"/>
  <c r="F38" i="10"/>
  <c r="E38" i="10"/>
  <c r="Q36" i="10"/>
  <c r="Q35" i="10"/>
  <c r="Q34" i="10"/>
  <c r="Q33" i="10"/>
  <c r="Q32" i="10"/>
  <c r="Q31" i="10"/>
  <c r="Q30" i="10"/>
  <c r="Q28" i="10"/>
  <c r="Q27" i="10"/>
  <c r="Q26" i="10"/>
  <c r="Q25" i="10"/>
  <c r="Q24" i="10"/>
  <c r="Q23" i="10"/>
  <c r="Q22" i="10"/>
  <c r="Q21" i="10"/>
  <c r="Q20" i="10"/>
  <c r="Q19" i="10"/>
  <c r="Q18" i="10"/>
  <c r="Q17" i="10"/>
  <c r="Q16" i="10"/>
  <c r="Q15" i="10"/>
  <c r="Q14" i="10"/>
  <c r="Q13" i="10"/>
  <c r="Q12" i="10"/>
  <c r="Q29" i="10"/>
  <c r="P10" i="10"/>
  <c r="O10" i="10"/>
  <c r="N10" i="10"/>
  <c r="M10" i="10"/>
  <c r="L10" i="10"/>
  <c r="K10" i="10"/>
  <c r="J10" i="10"/>
  <c r="I10" i="10"/>
  <c r="H10" i="10"/>
  <c r="G10" i="10"/>
  <c r="F10" i="10"/>
  <c r="E10" i="10"/>
  <c r="Q237" i="9"/>
  <c r="Q236" i="9"/>
  <c r="Q235" i="9"/>
  <c r="Q234" i="9"/>
  <c r="Q233" i="9"/>
  <c r="Q232" i="9"/>
  <c r="Q231" i="9"/>
  <c r="Q230" i="9"/>
  <c r="Q229" i="9"/>
  <c r="Q228" i="9"/>
  <c r="Q227" i="9"/>
  <c r="Q226" i="9"/>
  <c r="Q225" i="9"/>
  <c r="Q224" i="9"/>
  <c r="Q223" i="9"/>
  <c r="Q222" i="9"/>
  <c r="Q221" i="9"/>
  <c r="Q220" i="9"/>
  <c r="Q219" i="9"/>
  <c r="Q218" i="9"/>
  <c r="Q217" i="9"/>
  <c r="Q216" i="9"/>
  <c r="Q215" i="9"/>
  <c r="Q214" i="9"/>
  <c r="Q213" i="9"/>
  <c r="P212" i="9"/>
  <c r="O212" i="9"/>
  <c r="N212" i="9"/>
  <c r="M212" i="9"/>
  <c r="L212" i="9"/>
  <c r="K212" i="9"/>
  <c r="J212" i="9"/>
  <c r="I212" i="9"/>
  <c r="H212" i="9"/>
  <c r="G212" i="9"/>
  <c r="F212" i="9"/>
  <c r="E212" i="9"/>
  <c r="Q210" i="9"/>
  <c r="Q209" i="9"/>
  <c r="Q208" i="9"/>
  <c r="Q207" i="9"/>
  <c r="Q206" i="9"/>
  <c r="Q205" i="9"/>
  <c r="Q204" i="9"/>
  <c r="Q203" i="9"/>
  <c r="P202" i="9"/>
  <c r="O202" i="9"/>
  <c r="N202" i="9"/>
  <c r="M202" i="9"/>
  <c r="L202" i="9"/>
  <c r="K202" i="9"/>
  <c r="J202" i="9"/>
  <c r="I202" i="9"/>
  <c r="H202" i="9"/>
  <c r="G202" i="9"/>
  <c r="F202" i="9"/>
  <c r="E202" i="9"/>
  <c r="Q200" i="9"/>
  <c r="Q199" i="9"/>
  <c r="Q198" i="9"/>
  <c r="Q197" i="9"/>
  <c r="Q196" i="9"/>
  <c r="Q195" i="9"/>
  <c r="Q194" i="9"/>
  <c r="Q193" i="9"/>
  <c r="Q192" i="9"/>
  <c r="Q191" i="9"/>
  <c r="Q190" i="9"/>
  <c r="Q189" i="9"/>
  <c r="Q188" i="9"/>
  <c r="Q187" i="9"/>
  <c r="Q186" i="9"/>
  <c r="P185" i="9"/>
  <c r="O185" i="9"/>
  <c r="N185" i="9"/>
  <c r="M185" i="9"/>
  <c r="L185" i="9"/>
  <c r="K185" i="9"/>
  <c r="J185" i="9"/>
  <c r="I185" i="9"/>
  <c r="H185" i="9"/>
  <c r="G185" i="9"/>
  <c r="F185" i="9"/>
  <c r="E185" i="9"/>
  <c r="Q183" i="9"/>
  <c r="Q182" i="9"/>
  <c r="Q181" i="9"/>
  <c r="P180" i="9"/>
  <c r="O180" i="9"/>
  <c r="N180" i="9"/>
  <c r="M180" i="9"/>
  <c r="L180" i="9"/>
  <c r="K180" i="9"/>
  <c r="J180" i="9"/>
  <c r="I180" i="9"/>
  <c r="H180" i="9"/>
  <c r="G180" i="9"/>
  <c r="F180" i="9"/>
  <c r="E180" i="9"/>
  <c r="Q178" i="9"/>
  <c r="Q177" i="9"/>
  <c r="P176" i="9"/>
  <c r="O176" i="9"/>
  <c r="N176" i="9"/>
  <c r="M176" i="9"/>
  <c r="L176" i="9"/>
  <c r="K176" i="9"/>
  <c r="J176" i="9"/>
  <c r="I176" i="9"/>
  <c r="H176" i="9"/>
  <c r="G176" i="9"/>
  <c r="F176" i="9"/>
  <c r="E176" i="9"/>
  <c r="Q174" i="9"/>
  <c r="Q173" i="9"/>
  <c r="Q172" i="9"/>
  <c r="Q171" i="9"/>
  <c r="Q170" i="9"/>
  <c r="Q169" i="9"/>
  <c r="Q168" i="9"/>
  <c r="Q167" i="9"/>
  <c r="Q166" i="9"/>
  <c r="Q165" i="9"/>
  <c r="Q164" i="9"/>
  <c r="Q163" i="9"/>
  <c r="Q162" i="9"/>
  <c r="Q161" i="9"/>
  <c r="Q160" i="9"/>
  <c r="Q159" i="9"/>
  <c r="Q158" i="9"/>
  <c r="Q157" i="9"/>
  <c r="Q156" i="9"/>
  <c r="P155" i="9"/>
  <c r="O155" i="9"/>
  <c r="N155" i="9"/>
  <c r="M155" i="9"/>
  <c r="L155" i="9"/>
  <c r="K155" i="9"/>
  <c r="J155" i="9"/>
  <c r="I155" i="9"/>
  <c r="H155" i="9"/>
  <c r="G155" i="9"/>
  <c r="F155" i="9"/>
  <c r="E155" i="9"/>
  <c r="Q153" i="9"/>
  <c r="Q152" i="9"/>
  <c r="Q151" i="9"/>
  <c r="P150" i="9"/>
  <c r="O150" i="9"/>
  <c r="N150" i="9"/>
  <c r="M150" i="9"/>
  <c r="L150" i="9"/>
  <c r="K150" i="9"/>
  <c r="J150" i="9"/>
  <c r="I150" i="9"/>
  <c r="H150" i="9"/>
  <c r="G150" i="9"/>
  <c r="F150" i="9"/>
  <c r="E150" i="9"/>
  <c r="Q148" i="9"/>
  <c r="Q147" i="9"/>
  <c r="Q146" i="9"/>
  <c r="Q145" i="9"/>
  <c r="P144" i="9"/>
  <c r="O144" i="9"/>
  <c r="N144" i="9"/>
  <c r="M144" i="9"/>
  <c r="L144" i="9"/>
  <c r="K144" i="9"/>
  <c r="J144" i="9"/>
  <c r="I144" i="9"/>
  <c r="H144" i="9"/>
  <c r="G144" i="9"/>
  <c r="F144" i="9"/>
  <c r="E144" i="9"/>
  <c r="Q142" i="9"/>
  <c r="Q141" i="9"/>
  <c r="Q140" i="9"/>
  <c r="P139" i="9"/>
  <c r="O139" i="9"/>
  <c r="N139" i="9"/>
  <c r="M139" i="9"/>
  <c r="L139" i="9"/>
  <c r="K139" i="9"/>
  <c r="J139" i="9"/>
  <c r="I139" i="9"/>
  <c r="H139" i="9"/>
  <c r="G139" i="9"/>
  <c r="F139" i="9"/>
  <c r="E139" i="9"/>
  <c r="Q137" i="9"/>
  <c r="Q136" i="9"/>
  <c r="P135" i="9"/>
  <c r="O135" i="9"/>
  <c r="N135" i="9"/>
  <c r="M135" i="9"/>
  <c r="L135" i="9"/>
  <c r="K135" i="9"/>
  <c r="J135" i="9"/>
  <c r="I135" i="9"/>
  <c r="H135" i="9"/>
  <c r="G135" i="9"/>
  <c r="F135" i="9"/>
  <c r="E135" i="9"/>
  <c r="Q133" i="9"/>
  <c r="Q132" i="9"/>
  <c r="Q131" i="9"/>
  <c r="Q130" i="9"/>
  <c r="Q129" i="9"/>
  <c r="Q128" i="9"/>
  <c r="Q127" i="9"/>
  <c r="Q126" i="9"/>
  <c r="Q125" i="9"/>
  <c r="Q124" i="9"/>
  <c r="Q123" i="9"/>
  <c r="Q122" i="9"/>
  <c r="Q121" i="9"/>
  <c r="P120" i="9"/>
  <c r="O120" i="9"/>
  <c r="N120" i="9"/>
  <c r="M120" i="9"/>
  <c r="L120" i="9"/>
  <c r="K120" i="9"/>
  <c r="J120" i="9"/>
  <c r="I120" i="9"/>
  <c r="H120" i="9"/>
  <c r="G120" i="9"/>
  <c r="F120" i="9"/>
  <c r="E120" i="9"/>
  <c r="Q118" i="9"/>
  <c r="Q117" i="9"/>
  <c r="Q116" i="9"/>
  <c r="Q115" i="9"/>
  <c r="Q114" i="9"/>
  <c r="Q113" i="9"/>
  <c r="P112" i="9"/>
  <c r="O112" i="9"/>
  <c r="N112" i="9"/>
  <c r="M112" i="9"/>
  <c r="L112" i="9"/>
  <c r="K112" i="9"/>
  <c r="J112" i="9"/>
  <c r="I112" i="9"/>
  <c r="H112" i="9"/>
  <c r="G112" i="9"/>
  <c r="F112" i="9"/>
  <c r="E112" i="9"/>
  <c r="Q110" i="9"/>
  <c r="Q109" i="9"/>
  <c r="Q108" i="9"/>
  <c r="P107" i="9"/>
  <c r="O107" i="9"/>
  <c r="N107" i="9"/>
  <c r="M107" i="9"/>
  <c r="L107" i="9"/>
  <c r="K107" i="9"/>
  <c r="J107" i="9"/>
  <c r="I107" i="9"/>
  <c r="H107" i="9"/>
  <c r="G107" i="9"/>
  <c r="F107" i="9"/>
  <c r="E107" i="9"/>
  <c r="Q105" i="9"/>
  <c r="Q104" i="9"/>
  <c r="Q102" i="9"/>
  <c r="Q101" i="9"/>
  <c r="Q100" i="9"/>
  <c r="Q99" i="9"/>
  <c r="P98" i="9"/>
  <c r="O98" i="9"/>
  <c r="N98" i="9"/>
  <c r="M98" i="9"/>
  <c r="L98" i="9"/>
  <c r="K98" i="9"/>
  <c r="J98" i="9"/>
  <c r="I98" i="9"/>
  <c r="H98" i="9"/>
  <c r="G98" i="9"/>
  <c r="F98" i="9"/>
  <c r="E98" i="9"/>
  <c r="Q96" i="9"/>
  <c r="Q95" i="9"/>
  <c r="Q94" i="9"/>
  <c r="P93" i="9"/>
  <c r="O93" i="9"/>
  <c r="N93" i="9"/>
  <c r="M93" i="9"/>
  <c r="L93" i="9"/>
  <c r="K93" i="9"/>
  <c r="J93" i="9"/>
  <c r="I93" i="9"/>
  <c r="H93" i="9"/>
  <c r="G93" i="9"/>
  <c r="F93" i="9"/>
  <c r="E93" i="9"/>
  <c r="Q91" i="9"/>
  <c r="Q90" i="9"/>
  <c r="Q89" i="9"/>
  <c r="Q88" i="9"/>
  <c r="P87" i="9"/>
  <c r="O87" i="9"/>
  <c r="N87" i="9"/>
  <c r="M87" i="9"/>
  <c r="L87" i="9"/>
  <c r="K87" i="9"/>
  <c r="J87" i="9"/>
  <c r="I87" i="9"/>
  <c r="H87" i="9"/>
  <c r="G87" i="9"/>
  <c r="F87" i="9"/>
  <c r="E87" i="9"/>
  <c r="Q85" i="9"/>
  <c r="Q84" i="9"/>
  <c r="Q83" i="9"/>
  <c r="Q82" i="9"/>
  <c r="Q81" i="9"/>
  <c r="Q80" i="9"/>
  <c r="Q79" i="9"/>
  <c r="Q78" i="9"/>
  <c r="P77" i="9"/>
  <c r="O77" i="9"/>
  <c r="N77" i="9"/>
  <c r="M77" i="9"/>
  <c r="L77" i="9"/>
  <c r="K77" i="9"/>
  <c r="J77" i="9"/>
  <c r="I77" i="9"/>
  <c r="H77" i="9"/>
  <c r="G77" i="9"/>
  <c r="F77" i="9"/>
  <c r="E77" i="9"/>
  <c r="Q75" i="9"/>
  <c r="Q74" i="9"/>
  <c r="Q73" i="9"/>
  <c r="Q72" i="9"/>
  <c r="Q71" i="9"/>
  <c r="P70" i="9"/>
  <c r="N70" i="9"/>
  <c r="M70" i="9"/>
  <c r="L70" i="9"/>
  <c r="K70" i="9"/>
  <c r="J70" i="9"/>
  <c r="I70" i="9"/>
  <c r="H70" i="9"/>
  <c r="G70" i="9"/>
  <c r="F70" i="9"/>
  <c r="E70" i="9"/>
  <c r="Q68" i="9"/>
  <c r="Q67" i="9"/>
  <c r="P66" i="9"/>
  <c r="O66" i="9"/>
  <c r="N66" i="9"/>
  <c r="M66" i="9"/>
  <c r="L66" i="9"/>
  <c r="K66" i="9"/>
  <c r="J66" i="9"/>
  <c r="I66" i="9"/>
  <c r="H66" i="9"/>
  <c r="G66" i="9"/>
  <c r="F66" i="9"/>
  <c r="E66" i="9"/>
  <c r="Q64" i="9"/>
  <c r="Q63" i="9"/>
  <c r="P62" i="9"/>
  <c r="O62" i="9"/>
  <c r="N62" i="9"/>
  <c r="M62" i="9"/>
  <c r="L62" i="9"/>
  <c r="K62" i="9"/>
  <c r="G62" i="9"/>
  <c r="F62" i="9"/>
  <c r="E62" i="9"/>
  <c r="Q60" i="9"/>
  <c r="Q58" i="9"/>
  <c r="Q57" i="9"/>
  <c r="Q56" i="9"/>
  <c r="Q55" i="9"/>
  <c r="Q54" i="9"/>
  <c r="Q53" i="9"/>
  <c r="Q52" i="9"/>
  <c r="Q51" i="9"/>
  <c r="Q50" i="9"/>
  <c r="Q49" i="9"/>
  <c r="Q48" i="9"/>
  <c r="Q47" i="9"/>
  <c r="Q46" i="9"/>
  <c r="Q45" i="9"/>
  <c r="P44" i="9"/>
  <c r="O44" i="9"/>
  <c r="N44" i="9"/>
  <c r="M44" i="9"/>
  <c r="L44" i="9"/>
  <c r="K44" i="9"/>
  <c r="J44" i="9"/>
  <c r="I44" i="9"/>
  <c r="H44" i="9"/>
  <c r="G44" i="9"/>
  <c r="F44" i="9"/>
  <c r="E44" i="9"/>
  <c r="Q42" i="9"/>
  <c r="Q41" i="9"/>
  <c r="Q40" i="9"/>
  <c r="Q39" i="9"/>
  <c r="Q38" i="9"/>
  <c r="P37" i="9"/>
  <c r="O37" i="9"/>
  <c r="N37" i="9"/>
  <c r="M37" i="9"/>
  <c r="L37" i="9"/>
  <c r="K37" i="9"/>
  <c r="J37" i="9"/>
  <c r="I37" i="9"/>
  <c r="H37" i="9"/>
  <c r="G37" i="9"/>
  <c r="F37" i="9"/>
  <c r="E37" i="9"/>
  <c r="Q35" i="9"/>
  <c r="Q34" i="9"/>
  <c r="Q33" i="9"/>
  <c r="Q32" i="9"/>
  <c r="Q31" i="9"/>
  <c r="Q30" i="9"/>
  <c r="Q29" i="9"/>
  <c r="Q28" i="9"/>
  <c r="Q27" i="9"/>
  <c r="Q26" i="9"/>
  <c r="Q25" i="9"/>
  <c r="Q24" i="9"/>
  <c r="Q23" i="9"/>
  <c r="Q22" i="9"/>
  <c r="Q21" i="9"/>
  <c r="Q20" i="9"/>
  <c r="Q19" i="9"/>
  <c r="Q18" i="9"/>
  <c r="Q17" i="9"/>
  <c r="Q16" i="9"/>
  <c r="Q15" i="9"/>
  <c r="Q14" i="9"/>
  <c r="Q13" i="9"/>
  <c r="Q12" i="9"/>
  <c r="Q11" i="9"/>
  <c r="P10" i="9"/>
  <c r="O10" i="9"/>
  <c r="N10" i="9"/>
  <c r="M10" i="9"/>
  <c r="L10" i="9"/>
  <c r="K10" i="9"/>
  <c r="J10" i="9"/>
  <c r="I10" i="9"/>
  <c r="H10" i="9"/>
  <c r="G10" i="9"/>
  <c r="F10" i="9"/>
  <c r="E10" i="9"/>
  <c r="P235" i="8"/>
  <c r="P234" i="8"/>
  <c r="P233" i="8"/>
  <c r="P232" i="8"/>
  <c r="P231" i="8"/>
  <c r="P230" i="8"/>
  <c r="P229" i="8"/>
  <c r="P228" i="8"/>
  <c r="P227" i="8"/>
  <c r="P226" i="8"/>
  <c r="P225" i="8"/>
  <c r="P224" i="8"/>
  <c r="P223" i="8"/>
  <c r="P222" i="8"/>
  <c r="P221" i="8"/>
  <c r="P220" i="8"/>
  <c r="P219" i="8"/>
  <c r="P218" i="8"/>
  <c r="P217" i="8"/>
  <c r="P216" i="8"/>
  <c r="P215" i="8"/>
  <c r="P214" i="8"/>
  <c r="P213" i="8"/>
  <c r="P212" i="8"/>
  <c r="P211" i="8"/>
  <c r="P210" i="8"/>
  <c r="O209" i="8"/>
  <c r="N209" i="8"/>
  <c r="M209" i="8"/>
  <c r="L209" i="8"/>
  <c r="K209" i="8"/>
  <c r="J209" i="8"/>
  <c r="I209" i="8"/>
  <c r="H209" i="8"/>
  <c r="G209" i="8"/>
  <c r="F209" i="8"/>
  <c r="E209" i="8"/>
  <c r="D209" i="8"/>
  <c r="P207" i="8"/>
  <c r="P206" i="8"/>
  <c r="P205" i="8"/>
  <c r="P204" i="8"/>
  <c r="P203" i="8"/>
  <c r="P202" i="8"/>
  <c r="P201" i="8"/>
  <c r="P200" i="8"/>
  <c r="O199" i="8"/>
  <c r="N199" i="8"/>
  <c r="M199" i="8"/>
  <c r="L199" i="8"/>
  <c r="K199" i="8"/>
  <c r="J199" i="8"/>
  <c r="I199" i="8"/>
  <c r="H199" i="8"/>
  <c r="G199" i="8"/>
  <c r="F199" i="8"/>
  <c r="E199" i="8"/>
  <c r="D199" i="8"/>
  <c r="P197" i="8"/>
  <c r="P196" i="8"/>
  <c r="P195" i="8"/>
  <c r="P194" i="8"/>
  <c r="P193" i="8"/>
  <c r="P192" i="8"/>
  <c r="P191" i="8"/>
  <c r="P190" i="8"/>
  <c r="P189" i="8"/>
  <c r="P188" i="8"/>
  <c r="P187" i="8"/>
  <c r="P186" i="8"/>
  <c r="P185" i="8"/>
  <c r="P184" i="8"/>
  <c r="P183" i="8"/>
  <c r="O182" i="8"/>
  <c r="N182" i="8"/>
  <c r="M182" i="8"/>
  <c r="L182" i="8"/>
  <c r="K182" i="8"/>
  <c r="J182" i="8"/>
  <c r="I182" i="8"/>
  <c r="H182" i="8"/>
  <c r="G182" i="8"/>
  <c r="F182" i="8"/>
  <c r="E182" i="8"/>
  <c r="D182" i="8"/>
  <c r="P180" i="8"/>
  <c r="P179" i="8"/>
  <c r="P178" i="8"/>
  <c r="O177" i="8"/>
  <c r="N177" i="8"/>
  <c r="M177" i="8"/>
  <c r="L177" i="8"/>
  <c r="K177" i="8"/>
  <c r="J177" i="8"/>
  <c r="I177" i="8"/>
  <c r="H177" i="8"/>
  <c r="G177" i="8"/>
  <c r="F177" i="8"/>
  <c r="E177" i="8"/>
  <c r="D177" i="8"/>
  <c r="P174" i="8"/>
  <c r="P173" i="8"/>
  <c r="O172" i="8"/>
  <c r="N172" i="8"/>
  <c r="M172" i="8"/>
  <c r="L172" i="8"/>
  <c r="K172" i="8"/>
  <c r="J172" i="8"/>
  <c r="I172" i="8"/>
  <c r="H172" i="8"/>
  <c r="G172" i="8"/>
  <c r="F172" i="8"/>
  <c r="E172" i="8"/>
  <c r="D172" i="8"/>
  <c r="P170" i="8"/>
  <c r="P169" i="8"/>
  <c r="P168" i="8"/>
  <c r="P167" i="8"/>
  <c r="P166" i="8"/>
  <c r="P165" i="8"/>
  <c r="P164" i="8"/>
  <c r="P163" i="8"/>
  <c r="P162" i="8"/>
  <c r="P161" i="8"/>
  <c r="P160" i="8"/>
  <c r="P159" i="8"/>
  <c r="P158" i="8"/>
  <c r="P157" i="8"/>
  <c r="P156" i="8"/>
  <c r="P155" i="8"/>
  <c r="P154" i="8"/>
  <c r="P153" i="8"/>
  <c r="P152" i="8"/>
  <c r="O151" i="8"/>
  <c r="N151" i="8"/>
  <c r="M151" i="8"/>
  <c r="L151" i="8"/>
  <c r="K151" i="8"/>
  <c r="J151" i="8"/>
  <c r="I151" i="8"/>
  <c r="H151" i="8"/>
  <c r="G151" i="8"/>
  <c r="F151" i="8"/>
  <c r="E151" i="8"/>
  <c r="D151" i="8"/>
  <c r="P149" i="8"/>
  <c r="P148" i="8"/>
  <c r="P147" i="8"/>
  <c r="O146" i="8"/>
  <c r="N146" i="8"/>
  <c r="M146" i="8"/>
  <c r="L146" i="8"/>
  <c r="K146" i="8"/>
  <c r="J146" i="8"/>
  <c r="I146" i="8"/>
  <c r="H146" i="8"/>
  <c r="G146" i="8"/>
  <c r="F146" i="8"/>
  <c r="E146" i="8"/>
  <c r="D146" i="8"/>
  <c r="P144" i="8"/>
  <c r="P143" i="8"/>
  <c r="P142" i="8"/>
  <c r="P141" i="8"/>
  <c r="P140" i="8"/>
  <c r="O139" i="8"/>
  <c r="N139" i="8"/>
  <c r="M139" i="8"/>
  <c r="L139" i="8"/>
  <c r="K139" i="8"/>
  <c r="J139" i="8"/>
  <c r="I139" i="8"/>
  <c r="H139" i="8"/>
  <c r="G139" i="8"/>
  <c r="F139" i="8"/>
  <c r="E139" i="8"/>
  <c r="D139" i="8"/>
  <c r="P137" i="8"/>
  <c r="P136" i="8"/>
  <c r="P135" i="8"/>
  <c r="O134" i="8"/>
  <c r="N134" i="8"/>
  <c r="M134" i="8"/>
  <c r="L134" i="8"/>
  <c r="K134" i="8"/>
  <c r="J134" i="8"/>
  <c r="I134" i="8"/>
  <c r="H134" i="8"/>
  <c r="G134" i="8"/>
  <c r="F134" i="8"/>
  <c r="E134" i="8"/>
  <c r="D134" i="8"/>
  <c r="P132" i="8"/>
  <c r="P131" i="8"/>
  <c r="O130" i="8"/>
  <c r="N130" i="8"/>
  <c r="M130" i="8"/>
  <c r="L130" i="8"/>
  <c r="K130" i="8"/>
  <c r="J130" i="8"/>
  <c r="I130" i="8"/>
  <c r="H130" i="8"/>
  <c r="G130" i="8"/>
  <c r="F130" i="8"/>
  <c r="E130" i="8"/>
  <c r="D130" i="8"/>
  <c r="P128" i="8"/>
  <c r="P127" i="8"/>
  <c r="P126" i="8"/>
  <c r="P125" i="8"/>
  <c r="P124" i="8"/>
  <c r="P123" i="8"/>
  <c r="P122" i="8"/>
  <c r="P121" i="8"/>
  <c r="P120" i="8"/>
  <c r="P119" i="8"/>
  <c r="P118" i="8"/>
  <c r="P117" i="8"/>
  <c r="P116" i="8"/>
  <c r="O115" i="8"/>
  <c r="N115" i="8"/>
  <c r="M115" i="8"/>
  <c r="L115" i="8"/>
  <c r="K115" i="8"/>
  <c r="J115" i="8"/>
  <c r="I115" i="8"/>
  <c r="H115" i="8"/>
  <c r="G115" i="8"/>
  <c r="F115" i="8"/>
  <c r="E115" i="8"/>
  <c r="D115" i="8"/>
  <c r="P113" i="8"/>
  <c r="P112" i="8"/>
  <c r="P111" i="8"/>
  <c r="P110" i="8"/>
  <c r="P109" i="8"/>
  <c r="P108" i="8"/>
  <c r="O107" i="8"/>
  <c r="N107" i="8"/>
  <c r="M107" i="8"/>
  <c r="L107" i="8"/>
  <c r="K107" i="8"/>
  <c r="J107" i="8"/>
  <c r="I107" i="8"/>
  <c r="H107" i="8"/>
  <c r="G107" i="8"/>
  <c r="F107" i="8"/>
  <c r="E107" i="8"/>
  <c r="D107" i="8"/>
  <c r="P105" i="8"/>
  <c r="P104" i="8"/>
  <c r="P103" i="8"/>
  <c r="O102" i="8"/>
  <c r="N102" i="8"/>
  <c r="M102" i="8"/>
  <c r="L102" i="8"/>
  <c r="K102" i="8"/>
  <c r="J102" i="8"/>
  <c r="I102" i="8"/>
  <c r="H102" i="8"/>
  <c r="G102" i="8"/>
  <c r="F102" i="8"/>
  <c r="E102" i="8"/>
  <c r="D102" i="8"/>
  <c r="P100" i="8"/>
  <c r="P99" i="8"/>
  <c r="P97" i="8"/>
  <c r="P96" i="8"/>
  <c r="P95" i="8"/>
  <c r="P94" i="8"/>
  <c r="O93" i="8"/>
  <c r="N93" i="8"/>
  <c r="M93" i="8"/>
  <c r="L93" i="8"/>
  <c r="K93" i="8"/>
  <c r="J93" i="8"/>
  <c r="I93" i="8"/>
  <c r="H93" i="8"/>
  <c r="G93" i="8"/>
  <c r="F93" i="8"/>
  <c r="E93" i="8"/>
  <c r="D93" i="8"/>
  <c r="P91" i="8"/>
  <c r="P90" i="8"/>
  <c r="P89" i="8"/>
  <c r="O88" i="8"/>
  <c r="N88" i="8"/>
  <c r="M88" i="8"/>
  <c r="L88" i="8"/>
  <c r="K88" i="8"/>
  <c r="J88" i="8"/>
  <c r="I88" i="8"/>
  <c r="H88" i="8"/>
  <c r="G88" i="8"/>
  <c r="F88" i="8"/>
  <c r="E88" i="8"/>
  <c r="D88" i="8"/>
  <c r="P86" i="8"/>
  <c r="P85" i="8"/>
  <c r="P84" i="8"/>
  <c r="P83" i="8"/>
  <c r="O82" i="8"/>
  <c r="N82" i="8"/>
  <c r="M82" i="8"/>
  <c r="L82" i="8"/>
  <c r="K82" i="8"/>
  <c r="J82" i="8"/>
  <c r="I82" i="8"/>
  <c r="H82" i="8"/>
  <c r="G82" i="8"/>
  <c r="F82" i="8"/>
  <c r="E82" i="8"/>
  <c r="D82" i="8"/>
  <c r="P80" i="8"/>
  <c r="P79" i="8"/>
  <c r="P78" i="8"/>
  <c r="P77" i="8"/>
  <c r="P76" i="8"/>
  <c r="P75" i="8"/>
  <c r="P74" i="8"/>
  <c r="P73" i="8"/>
  <c r="O72" i="8"/>
  <c r="N72" i="8"/>
  <c r="M72" i="8"/>
  <c r="L72" i="8"/>
  <c r="K72" i="8"/>
  <c r="J72" i="8"/>
  <c r="I72" i="8"/>
  <c r="H72" i="8"/>
  <c r="G72" i="8"/>
  <c r="F72" i="8"/>
  <c r="E72" i="8"/>
  <c r="D72" i="8"/>
  <c r="P70" i="8"/>
  <c r="P69" i="8"/>
  <c r="P68" i="8"/>
  <c r="P67" i="8"/>
  <c r="P66" i="8"/>
  <c r="O65" i="8"/>
  <c r="M65" i="8"/>
  <c r="L65" i="8"/>
  <c r="K65" i="8"/>
  <c r="J65" i="8"/>
  <c r="I65" i="8"/>
  <c r="H65" i="8"/>
  <c r="G65" i="8"/>
  <c r="F65" i="8"/>
  <c r="E65" i="8"/>
  <c r="D65" i="8"/>
  <c r="P63" i="8"/>
  <c r="P62" i="8"/>
  <c r="O61" i="8"/>
  <c r="N61" i="8"/>
  <c r="M61" i="8"/>
  <c r="L61" i="8"/>
  <c r="K61" i="8"/>
  <c r="J61" i="8"/>
  <c r="I61" i="8"/>
  <c r="H61" i="8"/>
  <c r="G61" i="8"/>
  <c r="F61" i="8"/>
  <c r="E61" i="8"/>
  <c r="D61" i="8"/>
  <c r="P59" i="8"/>
  <c r="P58" i="8"/>
  <c r="O57" i="8"/>
  <c r="N57" i="8"/>
  <c r="M57" i="8"/>
  <c r="L57" i="8"/>
  <c r="K57" i="8"/>
  <c r="J57" i="8"/>
  <c r="F57" i="8"/>
  <c r="E57" i="8"/>
  <c r="D57" i="8"/>
  <c r="P55" i="8"/>
  <c r="P54" i="8"/>
  <c r="P53" i="8"/>
  <c r="P52" i="8"/>
  <c r="P51" i="8"/>
  <c r="P50" i="8"/>
  <c r="P49" i="8"/>
  <c r="P48" i="8"/>
  <c r="P47" i="8"/>
  <c r="P46" i="8"/>
  <c r="P45" i="8"/>
  <c r="P44" i="8"/>
  <c r="P43" i="8"/>
  <c r="P42" i="8"/>
  <c r="P41" i="8"/>
  <c r="O40" i="8"/>
  <c r="N40" i="8"/>
  <c r="M40" i="8"/>
  <c r="L40" i="8"/>
  <c r="K40" i="8"/>
  <c r="J40" i="8"/>
  <c r="I40" i="8"/>
  <c r="H40" i="8"/>
  <c r="G40" i="8"/>
  <c r="F40" i="8"/>
  <c r="E40" i="8"/>
  <c r="D40" i="8"/>
  <c r="P38" i="8"/>
  <c r="P37" i="8"/>
  <c r="P36" i="8"/>
  <c r="P35" i="8"/>
  <c r="P34" i="8"/>
  <c r="O33" i="8"/>
  <c r="N33" i="8"/>
  <c r="M33" i="8"/>
  <c r="L33" i="8"/>
  <c r="K33" i="8"/>
  <c r="J33" i="8"/>
  <c r="I33" i="8"/>
  <c r="H33" i="8"/>
  <c r="G33" i="8"/>
  <c r="F33" i="8"/>
  <c r="E33" i="8"/>
  <c r="D33" i="8"/>
  <c r="P31" i="8"/>
  <c r="P30" i="8"/>
  <c r="P29" i="8"/>
  <c r="P28" i="8"/>
  <c r="P27" i="8"/>
  <c r="P26" i="8"/>
  <c r="P25" i="8"/>
  <c r="P24" i="8"/>
  <c r="P23" i="8"/>
  <c r="P22" i="8"/>
  <c r="P21" i="8"/>
  <c r="P20" i="8"/>
  <c r="P19" i="8"/>
  <c r="P18" i="8"/>
  <c r="P17" i="8"/>
  <c r="P16" i="8"/>
  <c r="P15" i="8"/>
  <c r="P14" i="8"/>
  <c r="P13" i="8"/>
  <c r="P12" i="8"/>
  <c r="P11" i="8"/>
  <c r="O10" i="8"/>
  <c r="N10" i="8"/>
  <c r="M10" i="8"/>
  <c r="L10" i="8"/>
  <c r="K10" i="8"/>
  <c r="J10" i="8"/>
  <c r="I10" i="8"/>
  <c r="H10" i="8"/>
  <c r="G10" i="8"/>
  <c r="F10" i="8"/>
  <c r="E10" i="8"/>
  <c r="D10" i="8"/>
  <c r="G239" i="9" l="1"/>
  <c r="O239" i="9"/>
  <c r="Q70" i="9"/>
  <c r="Q77" i="9"/>
  <c r="O39" i="12"/>
  <c r="D212" i="12"/>
  <c r="E212" i="12"/>
  <c r="F212" i="12"/>
  <c r="Q150" i="9"/>
  <c r="K239" i="9"/>
  <c r="J209" i="11"/>
  <c r="F209" i="11"/>
  <c r="N209" i="11"/>
  <c r="P84" i="13"/>
  <c r="P127" i="13"/>
  <c r="P158" i="13"/>
  <c r="P172" i="13"/>
  <c r="P195" i="13"/>
  <c r="P216" i="13"/>
  <c r="P227" i="13"/>
  <c r="P143" i="13"/>
  <c r="N279" i="13"/>
  <c r="E279" i="13"/>
  <c r="I279" i="13"/>
  <c r="P72" i="13"/>
  <c r="F279" i="13"/>
  <c r="K10" i="13"/>
  <c r="K279" i="13" s="1"/>
  <c r="O279" i="13"/>
  <c r="P59" i="13"/>
  <c r="P87" i="13"/>
  <c r="P101" i="13"/>
  <c r="P117" i="13"/>
  <c r="P206" i="13"/>
  <c r="G279" i="13"/>
  <c r="P34" i="13"/>
  <c r="P95" i="13"/>
  <c r="P138" i="13"/>
  <c r="P167" i="13"/>
  <c r="P200" i="13"/>
  <c r="M279" i="13"/>
  <c r="D279" i="13"/>
  <c r="H279" i="13"/>
  <c r="L279" i="13"/>
  <c r="P64" i="13"/>
  <c r="J76" i="13"/>
  <c r="P76" i="13" s="1"/>
  <c r="P108" i="13"/>
  <c r="J10" i="13"/>
  <c r="P42" i="13"/>
  <c r="O68" i="12"/>
  <c r="O79" i="12"/>
  <c r="O86" i="12"/>
  <c r="O98" i="12"/>
  <c r="O125" i="12"/>
  <c r="O142" i="12"/>
  <c r="O172" i="12"/>
  <c r="J212" i="12"/>
  <c r="N212" i="12"/>
  <c r="H212" i="12"/>
  <c r="L212" i="12"/>
  <c r="O91" i="12"/>
  <c r="O120" i="12"/>
  <c r="O130" i="12"/>
  <c r="O137" i="12"/>
  <c r="C212" i="12"/>
  <c r="K212" i="12"/>
  <c r="O55" i="12"/>
  <c r="O64" i="12"/>
  <c r="O104" i="12"/>
  <c r="O161" i="12"/>
  <c r="I212" i="12"/>
  <c r="M212" i="12"/>
  <c r="O31" i="12"/>
  <c r="O59" i="12"/>
  <c r="O112" i="12"/>
  <c r="O166" i="12"/>
  <c r="O8" i="12"/>
  <c r="G209" i="11"/>
  <c r="K209" i="11"/>
  <c r="O209" i="11"/>
  <c r="P80" i="11"/>
  <c r="P87" i="11"/>
  <c r="P98" i="11"/>
  <c r="P124" i="11"/>
  <c r="P171" i="11"/>
  <c r="D209" i="11"/>
  <c r="H209" i="11"/>
  <c r="L209" i="11"/>
  <c r="P40" i="11"/>
  <c r="P65" i="11"/>
  <c r="P60" i="11"/>
  <c r="P104" i="11"/>
  <c r="P161" i="11"/>
  <c r="P179" i="11"/>
  <c r="P32" i="11"/>
  <c r="P69" i="11"/>
  <c r="P141" i="11"/>
  <c r="M209" i="11"/>
  <c r="P112" i="11"/>
  <c r="P165" i="11"/>
  <c r="P56" i="11"/>
  <c r="E209" i="11"/>
  <c r="I209" i="11"/>
  <c r="P92" i="11"/>
  <c r="P119" i="11"/>
  <c r="P129" i="11"/>
  <c r="P136" i="11"/>
  <c r="P10" i="11"/>
  <c r="F233" i="10"/>
  <c r="Q38" i="10"/>
  <c r="Q47" i="10"/>
  <c r="Q65" i="10"/>
  <c r="Q74" i="10"/>
  <c r="Q102" i="10"/>
  <c r="Q132" i="10"/>
  <c r="Q142" i="10"/>
  <c r="Q156" i="10"/>
  <c r="Q185" i="10"/>
  <c r="Q78" i="10"/>
  <c r="Q89" i="10"/>
  <c r="Q96" i="10"/>
  <c r="Q115" i="10"/>
  <c r="Q180" i="10"/>
  <c r="H233" i="10"/>
  <c r="L233" i="10"/>
  <c r="P233" i="10"/>
  <c r="G233" i="10"/>
  <c r="K233" i="10"/>
  <c r="O233" i="10"/>
  <c r="Q69" i="10"/>
  <c r="Q109" i="10"/>
  <c r="Q137" i="10"/>
  <c r="Q149" i="10"/>
  <c r="E233" i="10"/>
  <c r="I233" i="10"/>
  <c r="M233" i="10"/>
  <c r="J233" i="10"/>
  <c r="N233" i="10"/>
  <c r="Q123" i="10"/>
  <c r="Q175" i="10"/>
  <c r="Q193" i="10"/>
  <c r="Q204" i="10"/>
  <c r="Q44" i="9"/>
  <c r="Q87" i="9"/>
  <c r="Q93" i="9"/>
  <c r="Q112" i="9"/>
  <c r="Q144" i="9"/>
  <c r="Q155" i="9"/>
  <c r="Q185" i="9"/>
  <c r="H239" i="9"/>
  <c r="L239" i="9"/>
  <c r="P239" i="9"/>
  <c r="Q107" i="9"/>
  <c r="Q139" i="9"/>
  <c r="Q180" i="9"/>
  <c r="E239" i="9"/>
  <c r="I239" i="9"/>
  <c r="M239" i="9"/>
  <c r="Q66" i="9"/>
  <c r="Q120" i="9"/>
  <c r="F239" i="9"/>
  <c r="J239" i="9"/>
  <c r="N239" i="9"/>
  <c r="Q37" i="9"/>
  <c r="Q62" i="9"/>
  <c r="Q98" i="9"/>
  <c r="Q135" i="9"/>
  <c r="Q176" i="9"/>
  <c r="Q202" i="9"/>
  <c r="Q212" i="9"/>
  <c r="P209" i="8"/>
  <c r="P172" i="8"/>
  <c r="P88" i="8"/>
  <c r="P199" i="8"/>
  <c r="F237" i="8"/>
  <c r="J237" i="8"/>
  <c r="N237" i="8"/>
  <c r="E237" i="8"/>
  <c r="I237" i="8"/>
  <c r="M237" i="8"/>
  <c r="P40" i="8"/>
  <c r="P57" i="8"/>
  <c r="P82" i="8"/>
  <c r="P107" i="8"/>
  <c r="P139" i="8"/>
  <c r="P65" i="8"/>
  <c r="P72" i="8"/>
  <c r="P146" i="8"/>
  <c r="G237" i="8"/>
  <c r="K237" i="8"/>
  <c r="O237" i="8"/>
  <c r="P102" i="8"/>
  <c r="P134" i="8"/>
  <c r="P151" i="8"/>
  <c r="P182" i="8"/>
  <c r="P10" i="8"/>
  <c r="P61" i="8"/>
  <c r="P115" i="8"/>
  <c r="P177" i="8"/>
  <c r="D237" i="8"/>
  <c r="H237" i="8"/>
  <c r="L237" i="8"/>
  <c r="P93" i="8"/>
  <c r="P130" i="8"/>
  <c r="Q10" i="10"/>
  <c r="Q10" i="9"/>
  <c r="P33" i="8"/>
  <c r="O212" i="12" l="1"/>
  <c r="J279" i="13"/>
  <c r="P10" i="13"/>
  <c r="P279" i="13" s="1"/>
  <c r="P209" i="11"/>
  <c r="Q233" i="10"/>
  <c r="Q239" i="9"/>
  <c r="P2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53" authorId="0" shapeId="0" xr:uid="{E54AEC4D-062A-124E-9673-8F217685D17D}">
      <text>
        <r>
          <rPr>
            <sz val="10"/>
            <color rgb="FF000000"/>
            <rFont val="Calibri"/>
            <family val="2"/>
            <scheme val="minor"/>
          </rPr>
          <t>Nov. 10, 2023 - updated the total amount due to reversal on the account of examination fees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8" authorId="0" shapeId="0" xr:uid="{5B908A8B-19C4-FC43-A891-8A83FF98AF16}">
      <text>
        <r>
          <rPr>
            <sz val="10"/>
            <color rgb="FF000000"/>
            <rFont val="Calibri"/>
            <family val="2"/>
            <scheme val="minor"/>
          </rPr>
          <t>======
ID#AAAApsoAFn0
Marcia L. Sumagaysay    (2023-02-09 23:19:53)
not included in the BESF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epawayan</author>
  </authors>
  <commentList>
    <comment ref="J131" authorId="0" shapeId="0" xr:uid="{00000000-0006-0000-0600-000001000000}">
      <text>
        <r>
          <rPr>
            <sz val="9"/>
            <color indexed="81"/>
            <rFont val="Tahoma"/>
            <family val="2"/>
          </rPr>
          <t xml:space="preserve">less callax
</t>
        </r>
      </text>
    </comment>
  </commentList>
</comments>
</file>

<file path=xl/sharedStrings.xml><?xml version="1.0" encoding="utf-8"?>
<sst xmlns="http://schemas.openxmlformats.org/spreadsheetml/2006/main" count="5569" uniqueCount="1129">
  <si>
    <t>NATIONAL GOVERNMENT AGENCIES (NGA's)</t>
  </si>
  <si>
    <t>COLLECTING FEES AND CHARGES</t>
  </si>
  <si>
    <t>CY 2017</t>
  </si>
  <si>
    <t>(In Million Pesos)</t>
  </si>
  <si>
    <t>Preliminary</t>
  </si>
  <si>
    <t>PARTICULAR</t>
  </si>
  <si>
    <t xml:space="preserve"> </t>
  </si>
  <si>
    <t>Jan</t>
  </si>
  <si>
    <t>Feb</t>
  </si>
  <si>
    <t>Mar</t>
  </si>
  <si>
    <t>Apr</t>
  </si>
  <si>
    <t>May</t>
  </si>
  <si>
    <t>June</t>
  </si>
  <si>
    <t>July</t>
  </si>
  <si>
    <t>Aug</t>
  </si>
  <si>
    <t>Sept</t>
  </si>
  <si>
    <t>Oct</t>
  </si>
  <si>
    <t>Nov</t>
  </si>
  <si>
    <t>Dec</t>
  </si>
  <si>
    <t>Total</t>
  </si>
  <si>
    <t>OFFICE OF THE PRESIDENT  (OP)</t>
  </si>
  <si>
    <t>Office of the President Proper</t>
  </si>
  <si>
    <t>Commission on Higher Education</t>
  </si>
  <si>
    <t>Commission on Appointments</t>
  </si>
  <si>
    <t>Cooperatives Development Authority</t>
  </si>
  <si>
    <t>Dangerous Drugs Board</t>
  </si>
  <si>
    <t>Energy Reg. Comm. (formerly Energy Reg. Bd.)</t>
  </si>
  <si>
    <t>Games and Amusements Board</t>
  </si>
  <si>
    <t>Housing and Land Use Regulatory Board</t>
  </si>
  <si>
    <t>Housing and Urban Dev. Coordinating Council</t>
  </si>
  <si>
    <t>Movie and TV Review Classification Board</t>
  </si>
  <si>
    <t>National Book Development Board</t>
  </si>
  <si>
    <t>National Computer Center</t>
  </si>
  <si>
    <t>National Intelligence Coordinating Agency</t>
  </si>
  <si>
    <t>National Housing Authority</t>
  </si>
  <si>
    <t>National Library</t>
  </si>
  <si>
    <t>National Museum</t>
  </si>
  <si>
    <t>National Telecommunications Commission</t>
  </si>
  <si>
    <t>Optical Media Board (formerly Videogram Reg. Bd.)</t>
  </si>
  <si>
    <t>Philippine Racing Commission</t>
  </si>
  <si>
    <t>Philippine Sports Commission</t>
  </si>
  <si>
    <t>Professional Regulation Commission</t>
  </si>
  <si>
    <t>President Legislative Liason Officer</t>
  </si>
  <si>
    <t>Records Management and Archives Office</t>
  </si>
  <si>
    <t>Film Development Council of the Phil.</t>
  </si>
  <si>
    <t>Telecommunications Office</t>
  </si>
  <si>
    <t>OFFICE OF THE PRESS SECRETARY  (OPS)</t>
  </si>
  <si>
    <t>Bureau of Broadcast Services</t>
  </si>
  <si>
    <t>Bureau of Communications Services</t>
  </si>
  <si>
    <t>Information and Communications Tech</t>
  </si>
  <si>
    <t>National Printing Office</t>
  </si>
  <si>
    <t>News and Information Bureau</t>
  </si>
  <si>
    <t>Office of the Press Secretary (Proper)</t>
  </si>
  <si>
    <t>Presidential Broadcast Staff (RTVM)</t>
  </si>
  <si>
    <t>DEPARTMENT OF AGRICULTURE (DA)</t>
  </si>
  <si>
    <t>Department of Agriculture Office of the Secretary</t>
  </si>
  <si>
    <t>Agricultural Training Institute</t>
  </si>
  <si>
    <t>Bureau of Animal Ind. (absorbed the Nat'l. Stud Farm)</t>
  </si>
  <si>
    <t>Bureau of Fisheries and Aquatic Resources</t>
  </si>
  <si>
    <t>Bureau of Plant Industry</t>
  </si>
  <si>
    <t>Bureau of Post Harvest Research Extension</t>
  </si>
  <si>
    <t>Bureau of Soils and Water Management</t>
  </si>
  <si>
    <t>Cotton Development Administration</t>
  </si>
  <si>
    <t>Fertilizer and Pesticide Authority</t>
  </si>
  <si>
    <t>Fiber Industry Development Authority</t>
  </si>
  <si>
    <t>National Agricultural and Fishery Coun</t>
  </si>
  <si>
    <t>National Irrigation Administration</t>
  </si>
  <si>
    <t>National Meat Inspection Service (Commission)</t>
  </si>
  <si>
    <t xml:space="preserve">National Nutrition Council </t>
  </si>
  <si>
    <t>DEPARTMENT OF BUDGET AND MANAGEMENT (DBM)</t>
  </si>
  <si>
    <t>Department of Budget &amp; Management</t>
  </si>
  <si>
    <t>DEPARTMENT OF EDUCATION (DepEd)</t>
  </si>
  <si>
    <t>DECS - OSEC</t>
  </si>
  <si>
    <t>National Historical Commission of the Phil.</t>
  </si>
  <si>
    <t>National Educational Testing &amp; Research Center</t>
  </si>
  <si>
    <t>DEPARTMENT OF ENERGY (DOE)</t>
  </si>
  <si>
    <t>Board of Energy</t>
  </si>
  <si>
    <t>Department of Energy</t>
  </si>
  <si>
    <t>DEPARTMENT OF ENVIRONMENT &amp; NAT. RES. (DENR)</t>
  </si>
  <si>
    <t>DENR - OSEC</t>
  </si>
  <si>
    <t>Ecosystems Research &amp; Development Bureau</t>
  </si>
  <si>
    <t>Forest Management Bureau</t>
  </si>
  <si>
    <t>Environmental Management Bureau</t>
  </si>
  <si>
    <t>Land Management Bureau</t>
  </si>
  <si>
    <t>Mines and Geo-Sciences Bureau</t>
  </si>
  <si>
    <t>National Mapping and Resource Information Authority</t>
  </si>
  <si>
    <t>DENR- PENRO</t>
  </si>
  <si>
    <t>Protected Areas and Wildlife Bureau</t>
  </si>
  <si>
    <t>DEPARTMENT OF FINANCE (DOF)</t>
  </si>
  <si>
    <t>Department of Finance - OSEC</t>
  </si>
  <si>
    <t>Insurance Commission</t>
  </si>
  <si>
    <t>Securities and Exchange Commission</t>
  </si>
  <si>
    <t>DEPARTMENT OF FOREIGN AFFAIRS (DFA)</t>
  </si>
  <si>
    <t xml:space="preserve">Office of the Secretary </t>
  </si>
  <si>
    <t>Commission on Filipinos Overseas</t>
  </si>
  <si>
    <t>Unesco National Commission of the Phil.</t>
  </si>
  <si>
    <t>DEPARTMENT OF HEALTH (DOH)</t>
  </si>
  <si>
    <t>Department of Health - OSEC</t>
  </si>
  <si>
    <t>Bureau of Food and Drugs</t>
  </si>
  <si>
    <t>Bureau of Quarantine &amp; Internat'l. Health Surveillance</t>
  </si>
  <si>
    <t>Research Institute For Tropical Medicine</t>
  </si>
  <si>
    <t>Treatment &amp; Rehab Center-Tagaytay</t>
  </si>
  <si>
    <t>DEPARTMENT OF INTERIOR &amp; LOCAL GOVT. (DILG)</t>
  </si>
  <si>
    <t>Bureau of Fire Protection</t>
  </si>
  <si>
    <t>Local Government Academy</t>
  </si>
  <si>
    <t>National Police Commission</t>
  </si>
  <si>
    <t>Philippine National Police</t>
  </si>
  <si>
    <t>DEPARTMENT OF JUSTICE (DOJ)</t>
  </si>
  <si>
    <t>Office of the Secretary</t>
  </si>
  <si>
    <t>Bureau of Corrections</t>
  </si>
  <si>
    <t>Bureau of Immigration</t>
  </si>
  <si>
    <t>Land Registration Authority</t>
  </si>
  <si>
    <t>National Bureau of Investigation</t>
  </si>
  <si>
    <t>DEPARTMENT OF LABOR AND EMPLOYMENT (DOLE)</t>
  </si>
  <si>
    <t>National Conciliation and Mediation Board</t>
  </si>
  <si>
    <t>National Labor Relations Commission</t>
  </si>
  <si>
    <t>Institute for Labor Studies</t>
  </si>
  <si>
    <t>Philippine Commission on Women</t>
  </si>
  <si>
    <t>Philippine Overseas Employment Administration</t>
  </si>
  <si>
    <t>Technical Education and Skills Development Authority</t>
  </si>
  <si>
    <t>DOLE - Regional Office 1V - B</t>
  </si>
  <si>
    <t>DEPARTMENT OF LAND REFORM (DLR) (formerly DAR)</t>
  </si>
  <si>
    <t>NATIONAL ECONOMIC DEVELOPMENT AUTHORITY (NEDA)</t>
  </si>
  <si>
    <t>National Statistical Coordination Board</t>
  </si>
  <si>
    <t>National Statistics Office</t>
  </si>
  <si>
    <t>Phil Natl Volunteer Ser Coord Agency</t>
  </si>
  <si>
    <t>Tariff Commission</t>
  </si>
  <si>
    <t>Statistical Research and Training Center</t>
  </si>
  <si>
    <t>DEPARTMENT OF PUBLIC WORKS AND HIGHWAYS (DPWH)</t>
  </si>
  <si>
    <t>OSEC / Bureau of Research and Standards</t>
  </si>
  <si>
    <t>OSEC / DPWH</t>
  </si>
  <si>
    <t>National Water Resources Board</t>
  </si>
  <si>
    <t>Samar First Dist. Eng'ng Office</t>
  </si>
  <si>
    <t>PMO Agno Flood Control System</t>
  </si>
  <si>
    <t>Camarines Sur V Dist Engineering Office</t>
  </si>
  <si>
    <t>DPWH- Davao del Sur 2nd DEO</t>
  </si>
  <si>
    <t>DPWH-REGION V,  3RD DEO</t>
  </si>
  <si>
    <t>DPWH- CAR, Ifugao 2nd DEO</t>
  </si>
  <si>
    <t>DPWH-REGION V11,  Bohol 11 DEO</t>
  </si>
  <si>
    <t>DPWH-REGION IX, Zamboanga Sibugay 1st</t>
  </si>
  <si>
    <t>DEPARTMENT OF SCIENCE AND TECHNOLOGY (DOST)</t>
  </si>
  <si>
    <t>Department of Science &amp; Technology - OSEC</t>
  </si>
  <si>
    <t>Advanced Science and Technology Institute</t>
  </si>
  <si>
    <t>Food and Nutrition Research Institute</t>
  </si>
  <si>
    <t>Forest Products Research and Dev. Institute</t>
  </si>
  <si>
    <t>Industrial Technology Development Institute</t>
  </si>
  <si>
    <t>Metal Industry Research and Development Center</t>
  </si>
  <si>
    <t>National Academy of Science and Technology</t>
  </si>
  <si>
    <t>PAGASA</t>
  </si>
  <si>
    <t>Phil. Inst. Of Volcanology &amp; Seismology</t>
  </si>
  <si>
    <t>Phil. Nuclear Research Institute</t>
  </si>
  <si>
    <t>Phil. Textile Research Institute</t>
  </si>
  <si>
    <t>Science Education Institute</t>
  </si>
  <si>
    <t>Philippine Council for AFNR Research and Development</t>
  </si>
  <si>
    <t>Philippine Council for Aquatic &amp; Marine Res &amp;Dev</t>
  </si>
  <si>
    <t>Philippine Council for Health Research and Development</t>
  </si>
  <si>
    <t>Tech Application and Promotion Inst</t>
  </si>
  <si>
    <t>Department of Science &amp; Technology - Regional Office IV</t>
  </si>
  <si>
    <t>Science and Technology Information Institute</t>
  </si>
  <si>
    <t>DEPARTMENT OF SOCIAL WELFARE &amp; DEV'T. (DSWD)</t>
  </si>
  <si>
    <t>Inter-country Adoption Board</t>
  </si>
  <si>
    <t>DEPARTMENT OF TOURISM (DOT)</t>
  </si>
  <si>
    <t xml:space="preserve">Dept of Tourism OSEC </t>
  </si>
  <si>
    <t>Intramuros Administration</t>
  </si>
  <si>
    <t>Bureau of Tourism Services</t>
  </si>
  <si>
    <t>National Parks Development Committee</t>
  </si>
  <si>
    <t>DEPARTMENT OF TRADE AND INDUSTRY (DTI)</t>
  </si>
  <si>
    <t>Department of Trade &amp; Industry - OSEC</t>
  </si>
  <si>
    <t>Board of Investments</t>
  </si>
  <si>
    <t>Bureau of Domestic Trade</t>
  </si>
  <si>
    <t>Construction Manpower Development Foundation</t>
  </si>
  <si>
    <t>Intellectual Property Office</t>
  </si>
  <si>
    <t>Product Dev &amp; Design Center of the Phil.</t>
  </si>
  <si>
    <t>Philippine Trade Training Center</t>
  </si>
  <si>
    <t>DEPARTMENT OF TRANS. &amp; COMM. (DOTC)</t>
  </si>
  <si>
    <t>Dept. of Transportation &amp; Comm.- OSEC</t>
  </si>
  <si>
    <t>Civil Aeronautics Board</t>
  </si>
  <si>
    <t>Land Trans. Frchg. &amp; Regulatory Board</t>
  </si>
  <si>
    <t>Land Transportation Office</t>
  </si>
  <si>
    <t>Air Transportation Office</t>
  </si>
  <si>
    <t>Maritime Industry Authority</t>
  </si>
  <si>
    <t>Office for Transportation Security</t>
  </si>
  <si>
    <t>OTHER OFFICES</t>
  </si>
  <si>
    <t>Anti-Money Laundering Council</t>
  </si>
  <si>
    <t>Career Executive Service Board</t>
  </si>
  <si>
    <t>Central Board of Assesment Appeals</t>
  </si>
  <si>
    <t>Civil Service Commission</t>
  </si>
  <si>
    <t>Commission on Audit</t>
  </si>
  <si>
    <t>Commission on Election</t>
  </si>
  <si>
    <t>Commission on the Filipino Language</t>
  </si>
  <si>
    <t>Construction Industry Authority of the Phil.</t>
  </si>
  <si>
    <t>Cordillera Administrative Region</t>
  </si>
  <si>
    <t>Council for the Welfare of Child &amp; Youth</t>
  </si>
  <si>
    <t>Government Service Insurance System</t>
  </si>
  <si>
    <t>Governnance Commission for GOCC</t>
  </si>
  <si>
    <t>House of Representatives</t>
  </si>
  <si>
    <t>Mindanao  Development Authority</t>
  </si>
  <si>
    <t>Mindanao State University</t>
  </si>
  <si>
    <t>Nat'l. Anti-Poverty Commission</t>
  </si>
  <si>
    <t>Nat'l. Commission for Culture &amp; Arts</t>
  </si>
  <si>
    <t>Nat'l. Commission Indigenous People</t>
  </si>
  <si>
    <t>Nat'l. Commission on Muslim Filipino</t>
  </si>
  <si>
    <t>Nat'l. Councl for Welfare of Childrens</t>
  </si>
  <si>
    <t>Nat'l. Youth Commission</t>
  </si>
  <si>
    <t>Office of the Vice-President</t>
  </si>
  <si>
    <t>Palawan Cncl. For Sustainable Dev. Staff</t>
  </si>
  <si>
    <t>Pasig River Rehabilitation Commission</t>
  </si>
  <si>
    <t>Phil Coconut Authority</t>
  </si>
  <si>
    <t>Phil Cncl for Ind, Energy &amp; ETR and Devt</t>
  </si>
  <si>
    <t>Phil Fisheries Dev Authority</t>
  </si>
  <si>
    <t>Phil Ports Authority</t>
  </si>
  <si>
    <t>Phil School for the Blind, Pasay</t>
  </si>
  <si>
    <t>Presidential Commission for the Urban Poor</t>
  </si>
  <si>
    <t>Presidential Commission Devt&amp;Strat Plan Office</t>
  </si>
  <si>
    <t>Privatization and Management Office</t>
  </si>
  <si>
    <t>Public Private Partnership Center</t>
  </si>
  <si>
    <t>Road Board</t>
  </si>
  <si>
    <t>SC of the Phil. &amp; the Lower Courts</t>
  </si>
  <si>
    <t>SENATE</t>
  </si>
  <si>
    <t>Tech Cooperation Council of the Phils</t>
  </si>
  <si>
    <t>Unclassified</t>
  </si>
  <si>
    <t>University of the Philippines System</t>
  </si>
  <si>
    <t>T O T A L</t>
  </si>
  <si>
    <t>------------------------</t>
  </si>
  <si>
    <t>PFDA- Collection for COA Audit Services</t>
  </si>
  <si>
    <t>Breakdown of totals may not sum up due to rounding</t>
  </si>
  <si>
    <t>Prepared by: SDAD-RS,BTr</t>
  </si>
  <si>
    <t>CY 2016</t>
  </si>
  <si>
    <t>Pasig River Rehabilatation Commission</t>
  </si>
  <si>
    <t>CY 2015</t>
  </si>
  <si>
    <t>Cooperative Development Authority</t>
  </si>
  <si>
    <t>-</t>
  </si>
  <si>
    <t>Phil. Inst. Of Volcanology&amp; Seismology</t>
  </si>
  <si>
    <t>Public Private Partmenrship Center</t>
  </si>
  <si>
    <t>CY 2014</t>
  </si>
  <si>
    <t>Jun</t>
  </si>
  <si>
    <t>Jul</t>
  </si>
  <si>
    <t>Sep</t>
  </si>
  <si>
    <t>TOTAL</t>
  </si>
  <si>
    <t xml:space="preserve">  Office of the President Proper</t>
  </si>
  <si>
    <t xml:space="preserve">  Commission on Higher Education</t>
  </si>
  <si>
    <t xml:space="preserve">  Cooperatives Development Authority</t>
  </si>
  <si>
    <t xml:space="preserve">  Dangerous Drugs Board</t>
  </si>
  <si>
    <t xml:space="preserve">  Energy Reg. Comm. (formerly Energy Reg. Bd.)</t>
  </si>
  <si>
    <t xml:space="preserve">  Games and Amusements Board</t>
  </si>
  <si>
    <t xml:space="preserve">  Housing and Land Use Regulatory Board</t>
  </si>
  <si>
    <t xml:space="preserve">  Movie and TV Review Classification Board</t>
  </si>
  <si>
    <t xml:space="preserve">  National Book Development Board</t>
  </si>
  <si>
    <t xml:space="preserve">  National Computer Center</t>
  </si>
  <si>
    <t xml:space="preserve">  National Library</t>
  </si>
  <si>
    <t xml:space="preserve">  National Museum</t>
  </si>
  <si>
    <t xml:space="preserve">  National Telecommunications Commission</t>
  </si>
  <si>
    <t xml:space="preserve">  Optical Media Board (formerly Videogram Reg. Bd.)</t>
  </si>
  <si>
    <t xml:space="preserve">  Philippine Racing Commission</t>
  </si>
  <si>
    <t xml:space="preserve">  Philippine Sports Commission</t>
  </si>
  <si>
    <t xml:space="preserve">  Professional Regulation Commission</t>
  </si>
  <si>
    <t xml:space="preserve">  President Legislative Liason Officer</t>
  </si>
  <si>
    <t xml:space="preserve">  Records Management and Archives Office</t>
  </si>
  <si>
    <t xml:space="preserve">  Film Development Council of the Phil.</t>
  </si>
  <si>
    <t xml:space="preserve">  Telecommunications Office</t>
  </si>
  <si>
    <t xml:space="preserve">  Office of the Press Secretary</t>
  </si>
  <si>
    <t xml:space="preserve">  Bureau of Broadcast Services</t>
  </si>
  <si>
    <t xml:space="preserve">  Bureau of Communications Services</t>
  </si>
  <si>
    <t xml:space="preserve">  National Printing Office</t>
  </si>
  <si>
    <t xml:space="preserve">  Information and Communication Technology</t>
  </si>
  <si>
    <t xml:space="preserve">  News and Information Bureau</t>
  </si>
  <si>
    <t xml:space="preserve">  Presidential Broadcast Staff (RTVM)</t>
  </si>
  <si>
    <t xml:space="preserve">  Department of Agriculture</t>
  </si>
  <si>
    <t xml:space="preserve">  Agricultural Training Institute</t>
  </si>
  <si>
    <t xml:space="preserve">  Bureau of Animal Ind. (absorbed the Nat'l. Stud Farm)</t>
  </si>
  <si>
    <t xml:space="preserve">  Bureau of Fisheries and Aquatic Resources</t>
  </si>
  <si>
    <t xml:space="preserve">  Bureau of Plant Industry</t>
  </si>
  <si>
    <t xml:space="preserve">  Bureau of Soils and Water Management</t>
  </si>
  <si>
    <t xml:space="preserve">  Cotton Development Administration</t>
  </si>
  <si>
    <t xml:space="preserve">  Fertilizer and Pesticide Authority</t>
  </si>
  <si>
    <t xml:space="preserve">  Fiber Industry Development Authority</t>
  </si>
  <si>
    <t xml:space="preserve">  National Agricultural and Fishery Council</t>
  </si>
  <si>
    <t xml:space="preserve">  National Meat Inspection Service (Commission)</t>
  </si>
  <si>
    <t xml:space="preserve">  National Irrigation Administration</t>
  </si>
  <si>
    <t xml:space="preserve">  Bureau of Post Harvest Research Extension</t>
  </si>
  <si>
    <t xml:space="preserve">  National Nutrition Council </t>
  </si>
  <si>
    <t xml:space="preserve">  Department of Budget &amp; Management</t>
  </si>
  <si>
    <t xml:space="preserve">   DECS - OSEC</t>
  </si>
  <si>
    <t xml:space="preserve">   National Historical Commission of the Phil.</t>
  </si>
  <si>
    <t xml:space="preserve">   Presidents Center for Special Studies</t>
  </si>
  <si>
    <t xml:space="preserve">   National Educational Testing &amp; Research Center</t>
  </si>
  <si>
    <t xml:space="preserve">  Board of Energy</t>
  </si>
  <si>
    <t xml:space="preserve">  Department of Energy</t>
  </si>
  <si>
    <t xml:space="preserve">  DENR - OSEC</t>
  </si>
  <si>
    <t xml:space="preserve">  Ecosystems Research &amp; Development Bureau</t>
  </si>
  <si>
    <t xml:space="preserve">  Forest Management Bureau</t>
  </si>
  <si>
    <t xml:space="preserve">  Environmental Management Bureau</t>
  </si>
  <si>
    <t xml:space="preserve">  Land Management Bureau</t>
  </si>
  <si>
    <t xml:space="preserve">  Mines and Geo-Sciences Bureau</t>
  </si>
  <si>
    <t xml:space="preserve">  National Mapping and Resource Information Authority</t>
  </si>
  <si>
    <t xml:space="preserve">  DENR- PENRO SIQUIJOR</t>
  </si>
  <si>
    <t xml:space="preserve">  Protected Areas and Wildlife Bureau</t>
  </si>
  <si>
    <t xml:space="preserve">  Department of Finance - OSEC</t>
  </si>
  <si>
    <t xml:space="preserve">  Bureau of Internal Revenue</t>
  </si>
  <si>
    <t xml:space="preserve">  Insurance Commission</t>
  </si>
  <si>
    <t xml:space="preserve">  Securities and Exchange Commission</t>
  </si>
  <si>
    <t xml:space="preserve">  Office of the Secretary - Consular Affairs</t>
  </si>
  <si>
    <t xml:space="preserve">  Commission on Filipinos Overseas</t>
  </si>
  <si>
    <t xml:space="preserve">  Unesco National Commission of the Phil.</t>
  </si>
  <si>
    <t xml:space="preserve">  Department of Health - OSEC</t>
  </si>
  <si>
    <t xml:space="preserve">  Bureau of Food and Drugs</t>
  </si>
  <si>
    <t xml:space="preserve">  Bureau of Quarantine &amp; Internat'l. Health Surveillance</t>
  </si>
  <si>
    <t xml:space="preserve">  Research Institute For Tropical Medicine</t>
  </si>
  <si>
    <t xml:space="preserve">  Bureau of Fire Protection</t>
  </si>
  <si>
    <t xml:space="preserve">  Local Government Academy</t>
  </si>
  <si>
    <t xml:space="preserve">  National Police Commission</t>
  </si>
  <si>
    <t xml:space="preserve">  Philippine National Police</t>
  </si>
  <si>
    <t xml:space="preserve">  Office of the Secretary</t>
  </si>
  <si>
    <t xml:space="preserve">  Bureau of Corrections</t>
  </si>
  <si>
    <t xml:space="preserve">  Bureau of Immigration</t>
  </si>
  <si>
    <t xml:space="preserve">  Land Registration Authority</t>
  </si>
  <si>
    <t xml:space="preserve">  National Bureau of Investigation</t>
  </si>
  <si>
    <t xml:space="preserve">  National Conciliation and Mediation Board</t>
  </si>
  <si>
    <t xml:space="preserve">  National Labor Relations Commission</t>
  </si>
  <si>
    <t xml:space="preserve">  Institute for Labor Studies</t>
  </si>
  <si>
    <t xml:space="preserve">  Philippine Commission on Women</t>
  </si>
  <si>
    <t xml:space="preserve">  Philippine Overseas Employment Administration</t>
  </si>
  <si>
    <t xml:space="preserve">  Technical Education and Skills Development Authority</t>
  </si>
  <si>
    <t xml:space="preserve">  DOLE - Regional Office 1V - B</t>
  </si>
  <si>
    <t>DEPARTMENT OF NATIONAL DEFENSE (DND)</t>
  </si>
  <si>
    <t xml:space="preserve">  AFP General Headquarters</t>
  </si>
  <si>
    <t xml:space="preserve">  Philippine Army</t>
  </si>
  <si>
    <t xml:space="preserve">  Philippine Air Force</t>
  </si>
  <si>
    <t xml:space="preserve">  Philippine Navy</t>
  </si>
  <si>
    <t xml:space="preserve">  Govt Arsenal</t>
  </si>
  <si>
    <t xml:space="preserve">  Philippine Veterans Affairs Office (Proper)</t>
  </si>
  <si>
    <t xml:space="preserve">  National Statistical Coordination Board</t>
  </si>
  <si>
    <t xml:space="preserve">  National Statistics Office</t>
  </si>
  <si>
    <t xml:space="preserve">  Philippine National Volunteer service Coor. Agency</t>
  </si>
  <si>
    <t xml:space="preserve">  Statistical Researchand Training Center</t>
  </si>
  <si>
    <t xml:space="preserve">  Tariff Commission</t>
  </si>
  <si>
    <t xml:space="preserve">  OSEC / Bureau of Research and Standards</t>
  </si>
  <si>
    <t xml:space="preserve">  OSEC / DPWH</t>
  </si>
  <si>
    <t xml:space="preserve">  National Water Resources Board</t>
  </si>
  <si>
    <t xml:space="preserve">  Samar First Dist. Eng'ng Office</t>
  </si>
  <si>
    <t xml:space="preserve">  PMO Agno Flood Control System</t>
  </si>
  <si>
    <t xml:space="preserve">  Camarines Sur V Dist Engineering Office</t>
  </si>
  <si>
    <t xml:space="preserve">  DPWH- Davao del Sur 2nd DEO</t>
  </si>
  <si>
    <t xml:space="preserve">  DPWH-REGION V,  3RD DEO</t>
  </si>
  <si>
    <t xml:space="preserve">  DPWH- CAR, Ifugao 2nd DEO</t>
  </si>
  <si>
    <t xml:space="preserve">  DPWH-REGION V11,  Bohol 11 DEO</t>
  </si>
  <si>
    <t xml:space="preserve">  Department of Science &amp; Technology - OSEC</t>
  </si>
  <si>
    <t xml:space="preserve">  Advanced Science and Technology Institute</t>
  </si>
  <si>
    <t xml:space="preserve">  Food and Nutrition Research Institute</t>
  </si>
  <si>
    <t xml:space="preserve">  Forest Products Research and Dev. Institute</t>
  </si>
  <si>
    <t xml:space="preserve">  Industrial Technology Development Institute</t>
  </si>
  <si>
    <t xml:space="preserve">  Metal Industry Research and Development Center</t>
  </si>
  <si>
    <t xml:space="preserve">  National Academy of Science and Technology</t>
  </si>
  <si>
    <t xml:space="preserve">  PAGASA</t>
  </si>
  <si>
    <t xml:space="preserve">  Phil. Inst. Of Volcanology&amp; Seismology</t>
  </si>
  <si>
    <t xml:space="preserve">  Phil. Nuclear Research Institute</t>
  </si>
  <si>
    <t xml:space="preserve">  Phil. Textile Research Institute</t>
  </si>
  <si>
    <t xml:space="preserve">  Science Education Institute</t>
  </si>
  <si>
    <t xml:space="preserve">  Philippine Council for AFNR Research and Development</t>
  </si>
  <si>
    <t xml:space="preserve">  Philippine Council for Aquatic &amp; Marine Res &amp;Dev</t>
  </si>
  <si>
    <t xml:space="preserve">  Philippine Council for Health Research and Development</t>
  </si>
  <si>
    <t xml:space="preserve">  Department of Science &amp; Technology - Regional Office IV</t>
  </si>
  <si>
    <t xml:space="preserve">  Science and Technology Information Institute</t>
  </si>
  <si>
    <t xml:space="preserve">  Office of the Secretary - Standards Bureau</t>
  </si>
  <si>
    <t xml:space="preserve">  OSEC - Office of Tourism Standards</t>
  </si>
  <si>
    <t xml:space="preserve">  Intramuros Administration</t>
  </si>
  <si>
    <t xml:space="preserve">  National Parks Development Committee</t>
  </si>
  <si>
    <t xml:space="preserve">  Department of Trade &amp; Industry - OSEC</t>
  </si>
  <si>
    <t xml:space="preserve">  Board of Investments</t>
  </si>
  <si>
    <t xml:space="preserve">  Bureau of Domestic Trade</t>
  </si>
  <si>
    <t xml:space="preserve">  Construction Manpower Development Foundation</t>
  </si>
  <si>
    <t xml:space="preserve">  Product Dev &amp; Design Center of the Phil.</t>
  </si>
  <si>
    <t xml:space="preserve">  Philippine Trade Training Center</t>
  </si>
  <si>
    <t xml:space="preserve">  Dept. of Transportation &amp; Comm.- OSEC</t>
  </si>
  <si>
    <t xml:space="preserve">  Civil Aeronautics Board</t>
  </si>
  <si>
    <t xml:space="preserve">  Land Trans. Frchg. &amp; Regulatory Board</t>
  </si>
  <si>
    <t xml:space="preserve">  Land Transportation Office</t>
  </si>
  <si>
    <t xml:space="preserve">  Air Transportation Office</t>
  </si>
  <si>
    <t xml:space="preserve">  Maritime Industry Authority</t>
  </si>
  <si>
    <t xml:space="preserve">  Office for Transportation Security</t>
  </si>
  <si>
    <t xml:space="preserve">  University of the Philippines System</t>
  </si>
  <si>
    <t xml:space="preserve">  SC of the Phil. &amp; the Lower Courts</t>
  </si>
  <si>
    <t xml:space="preserve">  Civil Service Commission</t>
  </si>
  <si>
    <t xml:space="preserve">  Commission on Audit</t>
  </si>
  <si>
    <t xml:space="preserve">  Mindanao State University</t>
  </si>
  <si>
    <t xml:space="preserve">  Commission on Election</t>
  </si>
  <si>
    <t xml:space="preserve">  Governnance Commission for GOCC</t>
  </si>
  <si>
    <t xml:space="preserve">  Government Service Insurance System</t>
  </si>
  <si>
    <t xml:space="preserve">  Construction Industry Authority of the Phil.</t>
  </si>
  <si>
    <t xml:space="preserve">  Office of the Vice-President</t>
  </si>
  <si>
    <t xml:space="preserve">  Presidential Comission Devt&amp;Strat Plan Office</t>
  </si>
  <si>
    <t xml:space="preserve">  Phil Ports Authority</t>
  </si>
  <si>
    <t xml:space="preserve">  Phil Coconut Authority</t>
  </si>
  <si>
    <t xml:space="preserve">  SENATE</t>
  </si>
  <si>
    <t xml:space="preserve">  House of Representatives</t>
  </si>
  <si>
    <t xml:space="preserve">  Palawan Cncl. For Sustainable Dev. Staff</t>
  </si>
  <si>
    <t xml:space="preserve">  Nat'l. Commission Indigenous People</t>
  </si>
  <si>
    <t xml:space="preserve">  Nat'l. Anti-Poverty Commission</t>
  </si>
  <si>
    <t xml:space="preserve">  Nat'l. Youth Commission</t>
  </si>
  <si>
    <t xml:space="preserve">  Nat'l. Commission for Culture &amp; Arts</t>
  </si>
  <si>
    <t xml:space="preserve">  Nat'l. Commission on Muslim Filipino</t>
  </si>
  <si>
    <t xml:space="preserve">  Pasig River Rehabilatation Commission</t>
  </si>
  <si>
    <t xml:space="preserve">  Central Board of Assesment Appeals</t>
  </si>
  <si>
    <t xml:space="preserve">  Council for the Welfare of Child &amp; Youth</t>
  </si>
  <si>
    <t xml:space="preserve">  Presidential Comission on for the Urban Poor</t>
  </si>
  <si>
    <t xml:space="preserve">  Public - Private Partnership Center</t>
  </si>
  <si>
    <t xml:space="preserve">  Mindanao  Development Authority</t>
  </si>
  <si>
    <t xml:space="preserve">  Phil. School for the Blind, Pasay</t>
  </si>
  <si>
    <t xml:space="preserve">  Anti-Money Laundering Council</t>
  </si>
  <si>
    <t xml:space="preserve">  Cordillera Administrative Region</t>
  </si>
  <si>
    <t xml:space="preserve">  Unclassified</t>
  </si>
  <si>
    <t>CY 2013/p</t>
  </si>
  <si>
    <t xml:space="preserve">Mar </t>
  </si>
  <si>
    <t xml:space="preserve">  Housing and Land  Use Regulatory  Board</t>
  </si>
  <si>
    <t xml:space="preserve">  National Intelligence Coordinating Authority</t>
  </si>
  <si>
    <t xml:space="preserve">  Phil. Nat'l. Volunteer Service Coordinating Agency</t>
  </si>
  <si>
    <t xml:space="preserve">  Bureau of Post harvest Research Extension</t>
  </si>
  <si>
    <t>DEPARTMENT OF EDUCATION DepEd)</t>
  </si>
  <si>
    <t xml:space="preserve">  Bureau of  Customs</t>
  </si>
  <si>
    <t xml:space="preserve">  Veterans Memorial Medical Center</t>
  </si>
  <si>
    <t xml:space="preserve">  National Security Council</t>
  </si>
  <si>
    <t xml:space="preserve">  DENR- PENRO</t>
  </si>
  <si>
    <t xml:space="preserve">  DENR- Siquijor</t>
  </si>
  <si>
    <t xml:space="preserve">  Phil.  Nuclear Research Institute</t>
  </si>
  <si>
    <t xml:space="preserve">  Science Education  Institute</t>
  </si>
  <si>
    <t xml:space="preserve">  National Research Council of the Philippines</t>
  </si>
  <si>
    <t xml:space="preserve">  DPWH_CAR, Ifugao 2nd DEO</t>
  </si>
  <si>
    <t xml:space="preserve">  DPWH-REGION VII, BOHOL II DEO</t>
  </si>
  <si>
    <t xml:space="preserve">  DPWH-Davao del Sur 2nd DEO</t>
  </si>
  <si>
    <t xml:space="preserve"> Department of Energy</t>
  </si>
  <si>
    <t>GOVERNANCE COMMISSION FOR GOCCS</t>
  </si>
  <si>
    <t>Governance Commission for GOCCS</t>
  </si>
  <si>
    <t xml:space="preserve">  Government Service Insurane System</t>
  </si>
  <si>
    <t xml:space="preserve">  Governance Commission for GOCCS</t>
  </si>
  <si>
    <t xml:space="preserve">  Nat'l. Commission for Culture and Arts</t>
  </si>
  <si>
    <t xml:space="preserve">  Nat'l. Anti - Poverty Commission</t>
  </si>
  <si>
    <t xml:space="preserve">  Phil. Commission on Inigenous People</t>
  </si>
  <si>
    <t xml:space="preserve">  Public-Private Partnership  Center  </t>
  </si>
  <si>
    <t xml:space="preserve">                            </t>
  </si>
  <si>
    <t>CY 2012</t>
  </si>
  <si>
    <t xml:space="preserve">   Civil Service Commission</t>
  </si>
  <si>
    <t xml:space="preserve">  Presidential Comission on Good Government</t>
  </si>
  <si>
    <t xml:space="preserve">  Mindanao Mindanoa Development Authority</t>
  </si>
  <si>
    <t>CY 2011</t>
  </si>
  <si>
    <t xml:space="preserve">  Film Development Council of the Philippines</t>
  </si>
  <si>
    <t xml:space="preserve">  Bureau of Telecommuniactions</t>
  </si>
  <si>
    <t xml:space="preserve">  Agricultural Credit Policy Council</t>
  </si>
  <si>
    <t xml:space="preserve">  UNESCO National Commission of the Phil.</t>
  </si>
  <si>
    <t xml:space="preserve">  Research Institute for Tropical Medicines</t>
  </si>
  <si>
    <t xml:space="preserve">  Regional Office IV-B</t>
  </si>
  <si>
    <t xml:space="preserve">  Statistical Research and Training Center</t>
  </si>
  <si>
    <t xml:space="preserve">  Bureau of Tourism Services</t>
  </si>
  <si>
    <t xml:space="preserve">  Civil Service Commission </t>
  </si>
  <si>
    <t xml:space="preserve">  Philippine Ports Authority</t>
  </si>
  <si>
    <t xml:space="preserve">  Ninoy Aquino International Airport</t>
  </si>
  <si>
    <t xml:space="preserve">  Office of the Regional Governor</t>
  </si>
  <si>
    <t xml:space="preserve">  Nat'l. Unification Commission </t>
  </si>
  <si>
    <t xml:space="preserve">  Natinal Youth Commission</t>
  </si>
  <si>
    <t xml:space="preserve">  Nat'l. Commission on Indigenous People</t>
  </si>
  <si>
    <t xml:space="preserve">  Presidential Com. Devt &amp; Strat tegic Planning Office</t>
  </si>
  <si>
    <t>CY 2010</t>
  </si>
  <si>
    <t>JAN</t>
  </si>
  <si>
    <t>FEB</t>
  </si>
  <si>
    <t>MAR</t>
  </si>
  <si>
    <t>APR</t>
  </si>
  <si>
    <t>MAY</t>
  </si>
  <si>
    <t>JUN</t>
  </si>
  <si>
    <t>JUL</t>
  </si>
  <si>
    <t>AUG</t>
  </si>
  <si>
    <t>SEP</t>
  </si>
  <si>
    <t>OCT</t>
  </si>
  <si>
    <t>NOV</t>
  </si>
  <si>
    <t>DEC</t>
  </si>
  <si>
    <t>Mineral Reservations Development Board</t>
  </si>
  <si>
    <t>Presidential Management Staff</t>
  </si>
  <si>
    <t>Office of the Press Secretary</t>
  </si>
  <si>
    <t>Department of Agriculture (OSEC)</t>
  </si>
  <si>
    <t>Agricultural Credit Policy Council</t>
  </si>
  <si>
    <t>Bu. of Animal Ind. (absorbed the Nat'l. Stud Farm)</t>
  </si>
  <si>
    <t>Bureau of Post Harvest Research and Extension</t>
  </si>
  <si>
    <t>National Agricultural &amp; Fishery Council</t>
  </si>
  <si>
    <t>DEPT.  OF BUDGET AND MANAGEMENT (DBM)</t>
  </si>
  <si>
    <t>Office of the Secretary - Procurement Service</t>
  </si>
  <si>
    <t>DEPT.  OF EDUCATION (DepEd)</t>
  </si>
  <si>
    <t>Energy Industry Administration Bureau</t>
  </si>
  <si>
    <t>Energy Resources Development Bureau</t>
  </si>
  <si>
    <t>Energy Utilization Management Bureau</t>
  </si>
  <si>
    <t>DEPT. OF ENVIRONMENT &amp; NATURAL RES. (DENR)</t>
  </si>
  <si>
    <t>Nat'l Mapping and Resource Information Authority</t>
  </si>
  <si>
    <t>Bureau of Internal Revenue</t>
  </si>
  <si>
    <t>Office of the Secretary - Consular Affairs</t>
  </si>
  <si>
    <t>UNESCO National Commission of the Phil.</t>
  </si>
  <si>
    <t>Bu.of Health Devices &amp; Tech.(Radiation  Serv.)</t>
  </si>
  <si>
    <t>Bu. of Health Facilities and Services (absorbed by</t>
  </si>
  <si>
    <t xml:space="preserve">  the Bu. Of Res. Lab. &amp; Bu. of Licensing Serv.)</t>
  </si>
  <si>
    <t>Bu. of Quarantine &amp; Internat'l. Health Surveillance</t>
  </si>
  <si>
    <t>Research  Institute for Tropical Medicine</t>
  </si>
  <si>
    <t>DEPT. OF INTERIOR &amp; LOCAL GOVT. (DILG)</t>
  </si>
  <si>
    <t>Office of the Solicitor General</t>
  </si>
  <si>
    <t>DEPT. OF LABOR AND EMPLOYMENT (DOLE)</t>
  </si>
  <si>
    <t>Bureau of Labor and Employment Statistics</t>
  </si>
  <si>
    <t>Bureau of Labor Relations</t>
  </si>
  <si>
    <t>Bureau of Local Employment</t>
  </si>
  <si>
    <t>Bureau of Women &amp; Young Workers</t>
  </si>
  <si>
    <t>Bureau of Working Conditions</t>
  </si>
  <si>
    <t>Maritime Training Council</t>
  </si>
  <si>
    <t>National Maritime Polytechnic</t>
  </si>
  <si>
    <t>Technical Education and Skills Dev.  Authority</t>
  </si>
  <si>
    <t>DEPT. OF LAND REFORM (DLR) (formerly DAR)</t>
  </si>
  <si>
    <t>National Commission on Indigenous Peoples</t>
  </si>
  <si>
    <t>DEPT. OF NATIONAL DEFENSE (DND)</t>
  </si>
  <si>
    <t>Military Shrines Service</t>
  </si>
  <si>
    <t>Veterans Memorial Medical Center</t>
  </si>
  <si>
    <t>Office of Civil Defense</t>
  </si>
  <si>
    <t>NATIONAL ECONOMIC DEV.  AUTHORITY (NEDA)</t>
  </si>
  <si>
    <t>Commission on population</t>
  </si>
  <si>
    <t>DEPT. OF PUBLIC WORKS &amp; HIGHWAYS (DPWH)</t>
  </si>
  <si>
    <t>DEPT.  OF SCIENCE AND TECHNOLOGY (DOST)</t>
  </si>
  <si>
    <t>National Research Council of the Philippines</t>
  </si>
  <si>
    <t>Phil. Council for Ind, &amp; Energy Res, &amp; Dev.</t>
  </si>
  <si>
    <t>Phil. Council for Adv. Sc. &amp; Tech. Res. &amp; Dev.</t>
  </si>
  <si>
    <t>Phil. Council for Aquatic &amp; Marines Res. &amp; Dev.</t>
  </si>
  <si>
    <t>Phil. Council for Health Res. &amp; Dev.</t>
  </si>
  <si>
    <t>Phil. Inst. For Volcanology &amp; Seismology</t>
  </si>
  <si>
    <t>Technology Application &amp; Promotion Institute</t>
  </si>
  <si>
    <t>DEPT. OF SOCIAL WELFARE &amp; DEV'T. (DSWD)</t>
  </si>
  <si>
    <t>Office of the Secretary - Standards Bureau</t>
  </si>
  <si>
    <t>Inter-Country Adoption Board</t>
  </si>
  <si>
    <t>OSEC - Office of Tourism Standards</t>
  </si>
  <si>
    <t>Bureau of Export Trade Promotion</t>
  </si>
  <si>
    <t>Bureau of Import Services</t>
  </si>
  <si>
    <t>Bureau of Product Standards</t>
  </si>
  <si>
    <t>Bureau of Trade Reg. &amp; Consumer Protection</t>
  </si>
  <si>
    <t>Construction Manpower Dev.  Foundation</t>
  </si>
  <si>
    <t>Int'l. Coffee Organization - Certifying Agency</t>
  </si>
  <si>
    <t>Philippine Shippers Bureau</t>
  </si>
  <si>
    <t>Product Dev. &amp; Design Center of the Philippines</t>
  </si>
  <si>
    <t>Construction Industry Arbitration Commission</t>
  </si>
  <si>
    <t>Philippine Contractors Accreditation Board</t>
  </si>
  <si>
    <t>Philippine Overseas Construction Board</t>
  </si>
  <si>
    <t>Bureau of Air Transportation</t>
  </si>
  <si>
    <t>Presidential Comission on Good Government</t>
  </si>
  <si>
    <t>Privatization &amp; Management Office</t>
  </si>
  <si>
    <t xml:space="preserve">Mindanao State University </t>
  </si>
  <si>
    <t>Office of Muslim Affairs</t>
  </si>
  <si>
    <t>Office of the Vice President</t>
  </si>
  <si>
    <t>Nat'l. Council for the Welfare of Dis. Person</t>
  </si>
  <si>
    <t>Nat'l. Council for the Welfare of Child &amp; Youth</t>
  </si>
  <si>
    <t xml:space="preserve">Civil Service Commission </t>
  </si>
  <si>
    <t>Phil. School for the Blind, Pasay</t>
  </si>
  <si>
    <t>Special National Public Reconstruction C</t>
  </si>
  <si>
    <t>Gov't. Corp. Monitoring &amp; Coordinating</t>
  </si>
  <si>
    <t xml:space="preserve">                            TOTAL</t>
  </si>
  <si>
    <t xml:space="preserve">  </t>
  </si>
  <si>
    <t>CY 2009</t>
  </si>
  <si>
    <t xml:space="preserve">  Board of Liquidators</t>
  </si>
  <si>
    <t xml:space="preserve">  Intellectual Property Office</t>
  </si>
  <si>
    <t xml:space="preserve">  Mineral Reservations Development Board</t>
  </si>
  <si>
    <t xml:space="preserve">  National Intelligence Coordinating Agency</t>
  </si>
  <si>
    <t xml:space="preserve">  Presidential Management Staff</t>
  </si>
  <si>
    <t xml:space="preserve">     </t>
  </si>
  <si>
    <t xml:space="preserve">  Bureau of Post Harvest Research and Extension</t>
  </si>
  <si>
    <t xml:space="preserve">  National Agricultural &amp; Fishery Council</t>
  </si>
  <si>
    <t xml:space="preserve">  National Meat Inspection Service (formerly </t>
  </si>
  <si>
    <t xml:space="preserve">    National Meat Inspection Commission)</t>
  </si>
  <si>
    <t xml:space="preserve">  Office of the Secretary - Procurement Service</t>
  </si>
  <si>
    <t xml:space="preserve">  Energy Industry Administration Bureau</t>
  </si>
  <si>
    <t xml:space="preserve">  Energy Resources Development Bureau</t>
  </si>
  <si>
    <t xml:space="preserve">  Energy Utilization Management Bureau</t>
  </si>
  <si>
    <t>DEPARTMENT OF ENVIRONMENT &amp; NATURAL RES. (DENR)</t>
  </si>
  <si>
    <t xml:space="preserve">  Bu.of Health Devices &amp; Tech.(Radiation Health Serv.)</t>
  </si>
  <si>
    <t xml:space="preserve">  Bureau of Health Facilities and Services (absorbed</t>
  </si>
  <si>
    <t xml:space="preserve">     the Bu. Of Res. Lab. &amp; Bureau of Licensing Serv.)</t>
  </si>
  <si>
    <t xml:space="preserve">  Research  Institute for Tropical Medicine</t>
  </si>
  <si>
    <t xml:space="preserve">  Office of the Solicitor General</t>
  </si>
  <si>
    <t xml:space="preserve">  Bureau of Labor and Employment Statistics</t>
  </si>
  <si>
    <t xml:space="preserve">  Bureau of Labor Relations</t>
  </si>
  <si>
    <t xml:space="preserve">  Bureau of Local Employment</t>
  </si>
  <si>
    <t xml:space="preserve">  Bureau of Women &amp; Young Workers</t>
  </si>
  <si>
    <t xml:space="preserve">  Bureau of Working Conditions</t>
  </si>
  <si>
    <t xml:space="preserve">  Maritime Training Council</t>
  </si>
  <si>
    <t xml:space="preserve">  National Maritime Polytechnic</t>
  </si>
  <si>
    <t xml:space="preserve">  National Commission on Indigenous Peoples</t>
  </si>
  <si>
    <t xml:space="preserve">  Military Shrines Service</t>
  </si>
  <si>
    <t xml:space="preserve">  Office of Civil Defense</t>
  </si>
  <si>
    <t xml:space="preserve">  Phil. Council for Ind, &amp; Energy Res, &amp; Dev.</t>
  </si>
  <si>
    <t xml:space="preserve">  Phil. Council for Adv. Sc. &amp; Tech. Res. &amp; Dev.</t>
  </si>
  <si>
    <t xml:space="preserve">  Phil. Council for Aquatic &amp; Marines Res. &amp; Dev.</t>
  </si>
  <si>
    <t xml:space="preserve">  Phil. Council for Health Res. &amp; Dev.</t>
  </si>
  <si>
    <t xml:space="preserve">  Phil. Inst. For Volcanology &amp; Seismology</t>
  </si>
  <si>
    <t xml:space="preserve">  Technology Application &amp; Promotion Institute</t>
  </si>
  <si>
    <t xml:space="preserve">  Inter-Country Adoption Board</t>
  </si>
  <si>
    <t xml:space="preserve">  Bureau of Export Trade Promotion</t>
  </si>
  <si>
    <t xml:space="preserve">  Bureau of Import Services</t>
  </si>
  <si>
    <t xml:space="preserve">  Bureau of Product Standards</t>
  </si>
  <si>
    <t xml:space="preserve">  Bureau of Trade Reg. &amp; Consumer Protection</t>
  </si>
  <si>
    <t xml:space="preserve">  International Coffee Organization - Certifying Agency</t>
  </si>
  <si>
    <t xml:space="preserve">  Philippine Shippers Bureau</t>
  </si>
  <si>
    <t xml:space="preserve">  Product Dev. &amp; Design Center of the Philippines</t>
  </si>
  <si>
    <t xml:space="preserve">  Construction Industry Arbitration Commission</t>
  </si>
  <si>
    <t xml:space="preserve">  Philippine Contractors Accreditation Board</t>
  </si>
  <si>
    <t xml:space="preserve">  Philippine Overseas Construction Board</t>
  </si>
  <si>
    <t xml:space="preserve">  Bureau of Air Transportation</t>
  </si>
  <si>
    <t xml:space="preserve">  Pasig River Rehabilitation Commission</t>
  </si>
  <si>
    <t xml:space="preserve">  Privatization &amp; Management Office</t>
  </si>
  <si>
    <t xml:space="preserve">  Mindanao State University </t>
  </si>
  <si>
    <t xml:space="preserve">  Office of Muslim Affairs</t>
  </si>
  <si>
    <t xml:space="preserve">  Office of the Vice President</t>
  </si>
  <si>
    <t xml:space="preserve">  Nat'l. Council for the Welfare of Dis. Person</t>
  </si>
  <si>
    <t xml:space="preserve">  Nat'l. Council for Welfare of Childrens</t>
  </si>
  <si>
    <t>CY 2008</t>
  </si>
  <si>
    <t xml:space="preserve">  Cooperative Development Authority</t>
  </si>
  <si>
    <t xml:space="preserve">  Bureau of Communication Services</t>
  </si>
  <si>
    <t xml:space="preserve">  Presidential Commission on Good Government</t>
  </si>
  <si>
    <t xml:space="preserve">  Career Executive Service Board</t>
  </si>
  <si>
    <t xml:space="preserve">  National Anti-Poverty Commission</t>
  </si>
  <si>
    <t xml:space="preserve">  National Unification Commission</t>
  </si>
  <si>
    <t xml:space="preserve">  National Council for the Welfare of Disabled Person</t>
  </si>
  <si>
    <t xml:space="preserve">  National Youth Commission</t>
  </si>
  <si>
    <t xml:space="preserve">  Kalinga-Apayao State College</t>
  </si>
  <si>
    <t xml:space="preserve">  National Commission for Culture &amp; Arts</t>
  </si>
  <si>
    <t>CY 2007(Revised)</t>
  </si>
  <si>
    <t xml:space="preserve">  Garments &amp; Textile Export Board</t>
  </si>
  <si>
    <t xml:space="preserve">  Metro Manila Development Authority</t>
  </si>
  <si>
    <t>CY 2006</t>
  </si>
  <si>
    <t xml:space="preserve">  Palawan Council for Sustainable Dev. Staff</t>
  </si>
  <si>
    <t>CY 2005</t>
  </si>
  <si>
    <t xml:space="preserve">  Commission on Appointments</t>
  </si>
  <si>
    <t xml:space="preserve">  Philippine Information Agency</t>
  </si>
  <si>
    <t xml:space="preserve">   Bureau of Higher Education</t>
  </si>
  <si>
    <t xml:space="preserve">   Institute of Philippine Language</t>
  </si>
  <si>
    <t xml:space="preserve">   National Historical Institute</t>
  </si>
  <si>
    <t xml:space="preserve">  Bureau of Local Govt Finance</t>
  </si>
  <si>
    <t xml:space="preserve">  National Tax Research Center</t>
  </si>
  <si>
    <t xml:space="preserve">  Foreign Service Institute</t>
  </si>
  <si>
    <t xml:space="preserve">  Bureau of Jail Management &amp; Penology</t>
  </si>
  <si>
    <t xml:space="preserve">  National Commission on the Role of Filipino Women</t>
  </si>
  <si>
    <t xml:space="preserve">  Philippine Military Academy</t>
  </si>
  <si>
    <t xml:space="preserve">  Government Arsenal</t>
  </si>
  <si>
    <t xml:space="preserve">  Armed Forces of the Philippines Medical Center</t>
  </si>
  <si>
    <t xml:space="preserve">  National Defense College of the Philippines</t>
  </si>
  <si>
    <t xml:space="preserve">  Commission on Population</t>
  </si>
  <si>
    <t xml:space="preserve">  National Economic Development Authority</t>
  </si>
  <si>
    <t xml:space="preserve">  Philippine Coast Guard</t>
  </si>
  <si>
    <t xml:space="preserve">  National Nutrition Council</t>
  </si>
  <si>
    <t xml:space="preserve">  Office for North Cultural Communities</t>
  </si>
  <si>
    <t xml:space="preserve">  Presidential Security Group</t>
  </si>
  <si>
    <t xml:space="preserve">  Public Defender's Office</t>
  </si>
  <si>
    <t xml:space="preserve">  Parole &amp; Probation Administration</t>
  </si>
  <si>
    <t xml:space="preserve">  National Wages &amp; Productivity Commission</t>
  </si>
  <si>
    <t xml:space="preserve">  Court of Appeals</t>
  </si>
  <si>
    <t xml:space="preserve">  Cotton Research &amp; Development Institute</t>
  </si>
  <si>
    <t xml:space="preserve">  National Council for the Welfare of Disabled Persons</t>
  </si>
  <si>
    <t xml:space="preserve">  DECS Staff Bureaus</t>
  </si>
  <si>
    <t xml:space="preserve">  Presidential Commission for the Urban Poor</t>
  </si>
  <si>
    <t xml:space="preserve">  Office for Southern Cultural Communities</t>
  </si>
  <si>
    <t xml:space="preserve">  Senate Electoral Tribunal</t>
  </si>
  <si>
    <t xml:space="preserve">  House of Representatives Electoral Tribunal</t>
  </si>
  <si>
    <t xml:space="preserve">  Office of the Ombudsman</t>
  </si>
  <si>
    <t xml:space="preserve">  Philippine Public Safety College</t>
  </si>
  <si>
    <t xml:space="preserve">  UNESCO National Commission of the Philippines</t>
  </si>
  <si>
    <t xml:space="preserve">  Bureau of Elementary Education</t>
  </si>
  <si>
    <t xml:space="preserve">  Hospitals</t>
  </si>
  <si>
    <t xml:space="preserve">  Schools</t>
  </si>
  <si>
    <t>CY 2018</t>
  </si>
  <si>
    <t>Presidential Security Group</t>
  </si>
  <si>
    <t>National Tax Research Center</t>
  </si>
  <si>
    <t>National Institute of Science and Technology</t>
  </si>
  <si>
    <t>National Research Council of the Phils.</t>
  </si>
  <si>
    <t>DEPARTMENT OF TRANSPORTATION (DOTr)</t>
  </si>
  <si>
    <t>Curimao Nat'l HS Ilocos</t>
  </si>
  <si>
    <t>Local Water Utilities Administration</t>
  </si>
  <si>
    <t>Nat'l Climate Change Commission</t>
  </si>
  <si>
    <t>Office of the Regional Governor</t>
  </si>
  <si>
    <t>PSA</t>
  </si>
  <si>
    <t>Notes:</t>
  </si>
  <si>
    <t>Deduction from the LTO collections amounted to P1,116.94 M relative to IT Fees due to STRADCOM Corporation</t>
  </si>
  <si>
    <t>Revised</t>
  </si>
  <si>
    <t>CY 2019</t>
  </si>
  <si>
    <t xml:space="preserve">Revenue Region IV-A </t>
  </si>
  <si>
    <t>Revenue Region V</t>
  </si>
  <si>
    <t>Revenue Region VI</t>
  </si>
  <si>
    <t>Revenue Region VII</t>
  </si>
  <si>
    <t>Revenue Region X-A</t>
  </si>
  <si>
    <t>Revenue Region XI-A</t>
  </si>
  <si>
    <t>Revenue Region XI-B</t>
  </si>
  <si>
    <t>BLGF Regional Office VII</t>
  </si>
  <si>
    <t>DEPARTMENT OF AGRARIAN REFORM (DAR)</t>
  </si>
  <si>
    <t>DPWH- Davao City 2nd DEO Region XI</t>
  </si>
  <si>
    <t>DPWH-REGION VII,  Bohol II DEO</t>
  </si>
  <si>
    <t>Office for Transportation Coop</t>
  </si>
  <si>
    <t>Juvenile Justice &amp; Welfare</t>
  </si>
  <si>
    <t>Southern Leyte State University</t>
  </si>
  <si>
    <t>Deduction amounting to P1,192 M net of IT fees due to STRADCOM Corporations reclassified from General Fund to Trust Fund of LTO</t>
  </si>
  <si>
    <t>CY 2020</t>
  </si>
  <si>
    <t>T0005-NIA, CARAGA REGION</t>
  </si>
  <si>
    <t>Revenue - Cordillera Administrative</t>
  </si>
  <si>
    <t>Revenue Region II</t>
  </si>
  <si>
    <t>Revenue Region VI-A</t>
  </si>
  <si>
    <t>Revenue Region VI-B</t>
  </si>
  <si>
    <t>Revenue Region VIII</t>
  </si>
  <si>
    <t>Revenue Region IX</t>
  </si>
  <si>
    <t>BLGF Regional Office VIII</t>
  </si>
  <si>
    <t>BLGF Regional Office XII</t>
  </si>
  <si>
    <t>Autonomous Regl Govt in Muslim Mindanao</t>
  </si>
  <si>
    <t>Cebu Port Authority</t>
  </si>
  <si>
    <t>Department of Human Settlement &amp; Urban Dev't</t>
  </si>
  <si>
    <t>DHSUD-HSAC</t>
  </si>
  <si>
    <t>Phil Council for Agriculture</t>
  </si>
  <si>
    <t xml:space="preserve">  SDAD-Research Service</t>
  </si>
  <si>
    <t>Presidential Communications Development &amp; Strategic Planning Office</t>
  </si>
  <si>
    <t>Phil. Council for Industry, Energy &amp; Emerging Technology Research and Development</t>
  </si>
  <si>
    <t>Governance Commission for GOCC</t>
  </si>
  <si>
    <t>Presidential Legislative Liason Office</t>
  </si>
  <si>
    <t>OSEC - DOLE</t>
  </si>
  <si>
    <t>OSEC - DPWH</t>
  </si>
  <si>
    <t>Metals Industry Research and Development Center</t>
  </si>
  <si>
    <t>Phil Cncl for Ind., Energy &amp; ETR and Devt</t>
  </si>
  <si>
    <t>CY 2021</t>
  </si>
  <si>
    <t>Information and Communication Technology</t>
  </si>
  <si>
    <t>National Meat Inspection Service</t>
  </si>
  <si>
    <t>Balingasay NHS Pangasinan</t>
  </si>
  <si>
    <t>Benigno Aquino HS Makati</t>
  </si>
  <si>
    <t>Culiat HS QC</t>
  </si>
  <si>
    <t>DepEd- CAR, Div. of Baguio</t>
  </si>
  <si>
    <t>DepEd- Div. of Tandag City</t>
  </si>
  <si>
    <t>DepEd- RO II, Div. of Cagayan</t>
  </si>
  <si>
    <t>E. Rodriguez Jr. HS QC</t>
  </si>
  <si>
    <t>Jose P. Laurel HS MLA</t>
  </si>
  <si>
    <t>Judge Juan Luna HS QC</t>
  </si>
  <si>
    <t>Manuel Roxas HS QC</t>
  </si>
  <si>
    <t>Murcia NHS Negros Occidental</t>
  </si>
  <si>
    <t>Pagalanggang NHS</t>
  </si>
  <si>
    <t>Panan NHS Zambales</t>
  </si>
  <si>
    <t>T. Paez  Integrated HS MLA</t>
  </si>
  <si>
    <t>Tambulig NHS</t>
  </si>
  <si>
    <t>Revenue Region X-B</t>
  </si>
  <si>
    <t>Bureau of Quarantine &amp; International Health Surveillance</t>
  </si>
  <si>
    <t>Treatment &amp; Rehab Center-Albay</t>
  </si>
  <si>
    <t>Office of Political Affairs</t>
  </si>
  <si>
    <t>DOLE - Regional Office IV - B</t>
  </si>
  <si>
    <t>Batangas 4th DEO DPWH Region IV A</t>
  </si>
  <si>
    <t xml:space="preserve">DPWH Cotabato 3rd District Engg </t>
  </si>
  <si>
    <t>Technology Application and Promotion Institute</t>
  </si>
  <si>
    <t>DHSUD-Human Settlement Adjudication Comm.</t>
  </si>
  <si>
    <t>Commission on Elections</t>
  </si>
  <si>
    <t>Commission on the Settlements of Land Problems</t>
  </si>
  <si>
    <t>Governance Commission for GOCCs</t>
  </si>
  <si>
    <t>Kalinga-Apayao State College</t>
  </si>
  <si>
    <t>Phil. Competition Commission</t>
  </si>
  <si>
    <t>Phil. Council for Agriculture</t>
  </si>
  <si>
    <t>Phil. Shippers Council</t>
  </si>
  <si>
    <t>Rizal District Engineering Office</t>
  </si>
  <si>
    <t>Sugar Regulatory Administration</t>
  </si>
  <si>
    <t>Technical Cooperation Council of the Phil.</t>
  </si>
  <si>
    <t>Energy Regulatory Commission (formerly Energy Reg. Bd.)</t>
  </si>
  <si>
    <t>Department of Agriculture - OSEC</t>
  </si>
  <si>
    <t>Department of Education - OSEC</t>
  </si>
  <si>
    <t>Feliciano Belmonte Sr. HS QC</t>
  </si>
  <si>
    <t>DEPARTMENT OF ENVIRONMENT &amp; NATURAL RESOURCES. (DENR)</t>
  </si>
  <si>
    <t>Department of Environment &amp; Natural Resources - OSEC</t>
  </si>
  <si>
    <t>Department of Foreign Affairs - OSEC</t>
  </si>
  <si>
    <t>Department of Justice - OSEC</t>
  </si>
  <si>
    <t>Department of Labor &amp; Employment - OSEC</t>
  </si>
  <si>
    <t>Department of Agrarian Reforms - OSEC</t>
  </si>
  <si>
    <t>Department of Public Works &amp; Highways - OSEC</t>
  </si>
  <si>
    <t>Phil. Atmospheric, Geophysical &amp; Astronomical Services Administration</t>
  </si>
  <si>
    <t>DEPARTMENT OF SOCIAL WELFARE &amp; DEVEVELOPMENT (DSWD)</t>
  </si>
  <si>
    <t>Department of Social Welfare &amp; Development - OSEC</t>
  </si>
  <si>
    <t xml:space="preserve">Department of Tourism - OSEC </t>
  </si>
  <si>
    <t>Department of Transportation - OSEC</t>
  </si>
  <si>
    <t>Phil. Statistics Authority</t>
  </si>
  <si>
    <t>Supreme Court of the Phil. &amp; the Lower Courts</t>
  </si>
  <si>
    <t>Senate</t>
  </si>
  <si>
    <t>Forest Products Research and Development Institute</t>
  </si>
  <si>
    <t>Phil. Council for Health Research and Development</t>
  </si>
  <si>
    <t>Phil. Trade Training Center</t>
  </si>
  <si>
    <t>Land Transportation Franchising &amp; Regulatory Board</t>
  </si>
  <si>
    <t>Araullo HS MLA</t>
  </si>
  <si>
    <t>Bukidnon National School of Home Industries</t>
  </si>
  <si>
    <t>National Commission for Culture &amp; Arts</t>
  </si>
  <si>
    <t>National Commission Indigenous People</t>
  </si>
  <si>
    <t xml:space="preserve">  Housing &amp; Urban Development Coordinating Council</t>
  </si>
  <si>
    <t xml:space="preserve">National Meat Inspection Service </t>
  </si>
  <si>
    <t>Department of Agriculture</t>
  </si>
  <si>
    <t>Bureau of Agricultural Statistics</t>
  </si>
  <si>
    <t>Livestock Development Council</t>
  </si>
  <si>
    <t>Philippine Carabao Center</t>
  </si>
  <si>
    <t>Bureau of Animal Industry (absorbed the Nat'l. Stud Farm)</t>
  </si>
  <si>
    <t>Bureau of Foods and Drugs</t>
  </si>
  <si>
    <t>Research Institute for Tropical Medicine</t>
  </si>
  <si>
    <t xml:space="preserve">  Department of Interior &amp; Local Government - OSEC</t>
  </si>
  <si>
    <t xml:space="preserve">  Office of the Government Corporate Counsel</t>
  </si>
  <si>
    <t xml:space="preserve">  Armed Forces of the Philippines General Headquarters</t>
  </si>
  <si>
    <t xml:space="preserve">  Department of National Defense - OSEC</t>
  </si>
  <si>
    <t>Bureau of Research and Standards - OSEC</t>
  </si>
  <si>
    <t>Philippine Atmospheric, Geophysical &amp; Astronomical Services Administration</t>
  </si>
  <si>
    <t>Philippine Council for Advanced Science &amp; Technology Research &amp; Development</t>
  </si>
  <si>
    <t>Philippine Council for Agricultural Forestry &amp; Natural Resources Research &amp; Development</t>
  </si>
  <si>
    <t>Philippine Council for Aquatic &amp; Marine Research &amp; Development</t>
  </si>
  <si>
    <t>Philippine Science High School</t>
  </si>
  <si>
    <t>Philippine Textile Research Institute</t>
  </si>
  <si>
    <t>Philippine Nuclear Research Institute</t>
  </si>
  <si>
    <t>Philippine Institute for Volcanology &amp; Seismology</t>
  </si>
  <si>
    <t>Philippine Council for Health Research &amp; Development</t>
  </si>
  <si>
    <t>Office of Tourism Standards - OSEC</t>
  </si>
  <si>
    <t xml:space="preserve">  Product Development &amp; Design Center of the Philippines</t>
  </si>
  <si>
    <t xml:space="preserve">  Dept. of Transportation &amp; Communications - OSEC</t>
  </si>
  <si>
    <t xml:space="preserve">  Land Transportation Franchising &amp; Regulatory Board</t>
  </si>
  <si>
    <t xml:space="preserve">  Supreme Court of the Philippines &amp; the Lower Courts</t>
  </si>
  <si>
    <t xml:space="preserve">  Palawan Council for Sustainable Development Staff</t>
  </si>
  <si>
    <t xml:space="preserve">  Construction Industry Authority of the Philippines</t>
  </si>
  <si>
    <t xml:space="preserve">  Energy Regulatory Commission (formerly Energy Reg. Bd.)</t>
  </si>
  <si>
    <t xml:space="preserve">  National Meat Inspection Service</t>
  </si>
  <si>
    <t xml:space="preserve">  Bureau of Animal Industry (absorbed the Nat'l. Stud Farm)</t>
  </si>
  <si>
    <t xml:space="preserve">  Department of Transportation &amp; Communication - OSEC</t>
  </si>
  <si>
    <t>Philippine Council for Industry &amp; Energy Research &amp; Development</t>
  </si>
  <si>
    <t>Philippine Institue For Volcanology &amp; Seismology</t>
  </si>
  <si>
    <t xml:space="preserve"> Military Shrines Service</t>
  </si>
  <si>
    <t xml:space="preserve"> Veterans Memorial Medical Center</t>
  </si>
  <si>
    <t xml:space="preserve">  Department of Transportation &amp; Communication- OSEC</t>
  </si>
  <si>
    <t xml:space="preserve">  Central Visayas Regional Project</t>
  </si>
  <si>
    <t xml:space="preserve">  Philippine School for the Blind, Pasay</t>
  </si>
  <si>
    <t>Central Mindanao Development Task Force</t>
  </si>
  <si>
    <t>Philippine Council for Advance Science &amp; Technology Research &amp; Development</t>
  </si>
  <si>
    <t xml:space="preserve">  Bureau of Quarantine &amp; International Health Surveillance</t>
  </si>
  <si>
    <t>CY 2022</t>
  </si>
  <si>
    <t>Basis: National Government Agencies Report</t>
  </si>
  <si>
    <t>DAR Central Office</t>
  </si>
  <si>
    <t>Bureau of Animal Industry</t>
  </si>
  <si>
    <t>Bureau of Agricultural and Fisheries Engineering</t>
  </si>
  <si>
    <t>Bureau of Agricultural Research</t>
  </si>
  <si>
    <t>Bureau of Postharvest Research Extension</t>
  </si>
  <si>
    <t>National Agricultural and Fishery Council</t>
  </si>
  <si>
    <t>National Livestock Program</t>
  </si>
  <si>
    <t>Phil. Council for Agriculture and Fisheries</t>
  </si>
  <si>
    <t>Phil. Fiber Industry Development Authority</t>
  </si>
  <si>
    <t>DEPARTMENT OF EDUCATION (DEPED)</t>
  </si>
  <si>
    <t>Early Childhood Care and Development Council</t>
  </si>
  <si>
    <t>DEPARTMENT OF ENVIRONMENT &amp; NATURAL RESOURCES (DENR)</t>
  </si>
  <si>
    <t>Palawan Council for Sustainable Development Staff</t>
  </si>
  <si>
    <t>Bureau of Customs</t>
  </si>
  <si>
    <t>Central Board of Assessment Appeals</t>
  </si>
  <si>
    <t>Bureau of Quarantine</t>
  </si>
  <si>
    <t>DEPARTMENT OF HUMAN SETTLEMENTS AND URBAN DEVELOPMENT (DHSUD)</t>
  </si>
  <si>
    <t>Human Settlements Adjudication Commission</t>
  </si>
  <si>
    <t>DEPARTMENT OF INFORMATION AND COMMUNICATION TECHNOLOGY (DICT)</t>
  </si>
  <si>
    <t>DILG - OSEC (N/A)</t>
  </si>
  <si>
    <t>Phil. National Police</t>
  </si>
  <si>
    <t>Public Attorney's Office</t>
  </si>
  <si>
    <t>Office for Alternative Dispute Resolution</t>
  </si>
  <si>
    <t>National Maritime Polytechinic</t>
  </si>
  <si>
    <t>Phil. Overseas Employment Administration</t>
  </si>
  <si>
    <t>DEPARTMENT OF MIGRANT WORKERS (DMW)</t>
  </si>
  <si>
    <t>Department of Migrant Workers - OSEC</t>
  </si>
  <si>
    <t>DND-OSEC</t>
  </si>
  <si>
    <t>AFP Health Service Command</t>
  </si>
  <si>
    <t>Government Arsenal</t>
  </si>
  <si>
    <t>National Defense College of the Phil</t>
  </si>
  <si>
    <t>Phil. Veterans Affairs Office</t>
  </si>
  <si>
    <t>Philippine Air Force</t>
  </si>
  <si>
    <t>DPWH - Regional Office NCR</t>
  </si>
  <si>
    <t>DPWH - Las Pinas-Muntinlupa DEO</t>
  </si>
  <si>
    <t>DPWH - Malabon-Navotas DEO</t>
  </si>
  <si>
    <t>DPWH - Metro Manila 1st DEO</t>
  </si>
  <si>
    <t>DPWH - Metro Manila 2nd DEO</t>
  </si>
  <si>
    <t>DPWH - Metro Manila 3rd DEO</t>
  </si>
  <si>
    <t>DPWH - North Manila DEO</t>
  </si>
  <si>
    <t>DPWH - Quezon City 1st DEO</t>
  </si>
  <si>
    <t>DPWH - South Manila DEO</t>
  </si>
  <si>
    <t>DPWH - Regional Office CAR</t>
  </si>
  <si>
    <t>DPWH - Abra DEO</t>
  </si>
  <si>
    <t>DPWH - Apayao 1st DEO</t>
  </si>
  <si>
    <t>DPWH - Apayao 2nd DEO</t>
  </si>
  <si>
    <t>DPWH - Baguio City DEO</t>
  </si>
  <si>
    <t>DPWH - Benguet 1st DEO</t>
  </si>
  <si>
    <t>DPWH - Ifugao 1st DEO</t>
  </si>
  <si>
    <t>DPWH - Ifugao 2nd DEO</t>
  </si>
  <si>
    <t>DPWH - Kalinga Lower DEO</t>
  </si>
  <si>
    <t>DPWH - Mt. Province 1st DEO</t>
  </si>
  <si>
    <t>DPWH - Regional Office I</t>
  </si>
  <si>
    <t>DPWH - Ilocos Norte 1st DEO</t>
  </si>
  <si>
    <t>DPWH - Ilocos Sur 1st DEO</t>
  </si>
  <si>
    <t>DPWH - La Union 2nd DEO</t>
  </si>
  <si>
    <t>DPWH - Pangasinan 1st DEO</t>
  </si>
  <si>
    <t>DPWH - Pangasinan 2nd DEO</t>
  </si>
  <si>
    <t>DPWH - Pangasinan 4th DEO</t>
  </si>
  <si>
    <t>DPWH - Regional Office II</t>
  </si>
  <si>
    <t>DPWH - Batanes DEO</t>
  </si>
  <si>
    <t>DPWH - Cagayan 1st DEO</t>
  </si>
  <si>
    <t>DPWH - Cagayan 2nd DEO</t>
  </si>
  <si>
    <t>DPWH - Cagayan 3rd DEO</t>
  </si>
  <si>
    <t>DPWH - Isabela 1st DEO</t>
  </si>
  <si>
    <t>DPWH - Isabela 2nd DEO</t>
  </si>
  <si>
    <t>DPWH - Isabela 3rd DEO</t>
  </si>
  <si>
    <t>DPWH - Isabela 4th DEO</t>
  </si>
  <si>
    <t>DPWH - Nueva Vizcaya 1st DEO</t>
  </si>
  <si>
    <t>DPWH - Quirino DEO</t>
  </si>
  <si>
    <t>DPWH - Aurora DEO</t>
  </si>
  <si>
    <t>DPWH - Bataan 1st DEO</t>
  </si>
  <si>
    <t>DPWH - Bataan 2nd DEO</t>
  </si>
  <si>
    <t>DPWH - Nueva Ecija 1st DEO</t>
  </si>
  <si>
    <t>DPWH - Nueva Ecija 2nd DEO</t>
  </si>
  <si>
    <t>DPWH - Pampanga 1st DEO</t>
  </si>
  <si>
    <t>DPWH - Pampanga 2nd DEO</t>
  </si>
  <si>
    <t>DPWH - Pampanga 3rd DEO</t>
  </si>
  <si>
    <t>DPWH - Tarlac 1st DEO</t>
  </si>
  <si>
    <t>DPWH - Tarlac 2nd DEO</t>
  </si>
  <si>
    <t>DPWH - Zambales 1st DEO</t>
  </si>
  <si>
    <t>DPWH - Zambales 2nd DEO</t>
  </si>
  <si>
    <t>DPWH - Regional Office IV-A</t>
  </si>
  <si>
    <t>DPWH - Batangas 1st DEO</t>
  </si>
  <si>
    <t>DPWH - Batangas 2nd DEO</t>
  </si>
  <si>
    <t>DPWH - Batangas 3rd DEO</t>
  </si>
  <si>
    <t>DPWH - Batangas 4th DEO</t>
  </si>
  <si>
    <t>DPWH - Cavite 1st DEO</t>
  </si>
  <si>
    <t>DPWH - Cavite 2nd DEO</t>
  </si>
  <si>
    <t>DPWH - Cavite 3rd DEO</t>
  </si>
  <si>
    <t>DPWH - Laguna 1st DEO</t>
  </si>
  <si>
    <t>DPWH - Laguna 2nd DEO</t>
  </si>
  <si>
    <t>DPWH - Laguna 3rd DEO</t>
  </si>
  <si>
    <t>DPWH - Quezon 1st DEO</t>
  </si>
  <si>
    <t>DPWH - Quezon 2nd DEO</t>
  </si>
  <si>
    <t>DPWH - Quezon 3rd DEO</t>
  </si>
  <si>
    <t>DPWH - Quezon 4th DEO</t>
  </si>
  <si>
    <t>DPWH - Rizal 1st DEO</t>
  </si>
  <si>
    <t>DPWH - Rizal 2nd DEO</t>
  </si>
  <si>
    <t>DPWH - Regional Office IV-B</t>
  </si>
  <si>
    <t>DPWH - Marinduque DEO</t>
  </si>
  <si>
    <t>DPWH - Romblon DEO</t>
  </si>
  <si>
    <t>DPWH - Regional Office V</t>
  </si>
  <si>
    <t>DPWH - Albay 1st DEO</t>
  </si>
  <si>
    <t>DPWH - Albay 2nd DEO</t>
  </si>
  <si>
    <t>DPWH - Albay 3rd DEO</t>
  </si>
  <si>
    <t>DPWH - Camarines Norte DEO</t>
  </si>
  <si>
    <t>DPWH - Camarines Sur 1st DEO</t>
  </si>
  <si>
    <t>DPWH - Camarines Sur 2nd DEO</t>
  </si>
  <si>
    <t>DPWH - Camarines Sur 3rd DEO</t>
  </si>
  <si>
    <t>DPWH - Camarines Sur 4th DEO</t>
  </si>
  <si>
    <t>DPWH - Camarines Sur 5th DEO</t>
  </si>
  <si>
    <t>DPWH - Catanduanes DEO</t>
  </si>
  <si>
    <t>DPWH - Masbate 1st DEO</t>
  </si>
  <si>
    <t>DPWH - Masbate 2nd DEO</t>
  </si>
  <si>
    <t>DPWH - Masbate 3rd DEO</t>
  </si>
  <si>
    <t>DPWH - Sorsogon 1st DEO</t>
  </si>
  <si>
    <t>DPWH - Sorsogon 2nd DEO</t>
  </si>
  <si>
    <t>DPWH - Regional Office VI</t>
  </si>
  <si>
    <t>DPWH - Aklan DEO</t>
  </si>
  <si>
    <t>DPWH - Antique DEO</t>
  </si>
  <si>
    <t>DPWH - Bacolod City DEO</t>
  </si>
  <si>
    <t>DPWH - Capiz 1st DEO</t>
  </si>
  <si>
    <t>DPWH - Capiz 2nd DEO</t>
  </si>
  <si>
    <t>DPWH - Guimaras DEO</t>
  </si>
  <si>
    <t>DPWH - Iloilo 1st DEO</t>
  </si>
  <si>
    <t>DPWH - Iloilo 2nd DEO</t>
  </si>
  <si>
    <t>DPWH - Iloilo 3rd DEO</t>
  </si>
  <si>
    <t>DPWH - Iloilo 4th DEO</t>
  </si>
  <si>
    <t>DPWH - Iloilo City DEO</t>
  </si>
  <si>
    <t>DPWH - Negros Occidental 1st DEO</t>
  </si>
  <si>
    <t>DPWH - Negros Occidental 2nd DEO</t>
  </si>
  <si>
    <t>DPWH - Negros Occidental 3rd DEO</t>
  </si>
  <si>
    <t>DPWH - Negros Occidental 4th DEO</t>
  </si>
  <si>
    <t>DPWH - Regional Office VII</t>
  </si>
  <si>
    <t>DPWH - Bohol 1st DEO</t>
  </si>
  <si>
    <t>DPWH - Bohol 2nd DEO</t>
  </si>
  <si>
    <t>DPWH - Bohol 3rd DEO</t>
  </si>
  <si>
    <t>DPWH - Cebu City DEO</t>
  </si>
  <si>
    <t>DPWH - Cebu 1st DEO</t>
  </si>
  <si>
    <t>DPWH - Cebu 2nd DEO</t>
  </si>
  <si>
    <t>DPWH - Cebu 3rd DEO</t>
  </si>
  <si>
    <t>DPWH - Cebu 4th DEO</t>
  </si>
  <si>
    <t>DPWH - Cebu 5th DEO</t>
  </si>
  <si>
    <t>DPWH - Cebu 6th DEO</t>
  </si>
  <si>
    <t>DPWH - Cebu 7th DEO</t>
  </si>
  <si>
    <t>DPWH - Negros Oriental 1st DEO</t>
  </si>
  <si>
    <t>DPWH - Negros Oriental 2nd DEO</t>
  </si>
  <si>
    <t>DPWH - Negros Oriental 3rd DEO</t>
  </si>
  <si>
    <t>DPWH - Siquijor DEO</t>
  </si>
  <si>
    <t>DPWH - Regional Office VIII</t>
  </si>
  <si>
    <t>DPWH - Biliran DEO</t>
  </si>
  <si>
    <t>DPWH - Eastern Samar DEO</t>
  </si>
  <si>
    <t>DPWH - Leyte 1st DEO</t>
  </si>
  <si>
    <t>DPWH - Leyte 2nd DEO</t>
  </si>
  <si>
    <t>DPWH - Leyte 3rd DEO</t>
  </si>
  <si>
    <t>DPWH - Leyte 4th DEO</t>
  </si>
  <si>
    <t>DPWH - Leyte 5th DEO</t>
  </si>
  <si>
    <t>DPWH - Northern Samar 1st DEO</t>
  </si>
  <si>
    <t>DPWH - Northern Samar 2nd DEO</t>
  </si>
  <si>
    <t>DPWH - Samar 2nd DEO</t>
  </si>
  <si>
    <t>DPWH - Southern Leyte DEO</t>
  </si>
  <si>
    <t>DPWH - Tacloban City DEO</t>
  </si>
  <si>
    <t>DPWH - Regional Office IX</t>
  </si>
  <si>
    <t>DPWH - Isabela City  DEO</t>
  </si>
  <si>
    <t>DPWH - Zamboanga City DEO</t>
  </si>
  <si>
    <t>DPWH - Zamboanga del Norte 1st DEO-Dipolog</t>
  </si>
  <si>
    <t>DPWH - Zamboanga del Norte 2nd DEO-Labason</t>
  </si>
  <si>
    <t>DPWH - Zamboanga del Norte 4th DEO</t>
  </si>
  <si>
    <t>DPWH - Zamboanga del Sur 1st DEO</t>
  </si>
  <si>
    <t>DPWH - Zamboanga del Sur 2nd DEO</t>
  </si>
  <si>
    <t>DPWH - Zamboanga Sibugay 1st DEO</t>
  </si>
  <si>
    <t>DPWH - Zamboanga Sibugay 2nd DEO</t>
  </si>
  <si>
    <t>DPWH - Regional Office X</t>
  </si>
  <si>
    <t>DPWH - Bukidnon 1st DEO</t>
  </si>
  <si>
    <t>DPWH - Bukidnon 2nd DEO</t>
  </si>
  <si>
    <t>DPWH - Bukidnon 3rd DEO</t>
  </si>
  <si>
    <t>DPWH - Cagayan de Oro City 1st DEO</t>
  </si>
  <si>
    <t>DPWH - Camiguin DEO</t>
  </si>
  <si>
    <t>DPWH - Lanao del Norte 2nd DEO</t>
  </si>
  <si>
    <t>DPWH - Misamis Occidental 1st DEO</t>
  </si>
  <si>
    <t>DPWH - Misamis Oriental 2nd DEO</t>
  </si>
  <si>
    <t>DPWH - Regional Office XI</t>
  </si>
  <si>
    <t>DPWH - Davao de Oro 1st DEO</t>
  </si>
  <si>
    <t>DPWH - Davao de Oro 2nd DEO</t>
  </si>
  <si>
    <t>DPWH - Davao City 1st DEO</t>
  </si>
  <si>
    <t>DPWH - Davao City 2nd DEO</t>
  </si>
  <si>
    <t>DPWH - Davao del Norte 1st DEO</t>
  </si>
  <si>
    <t>DPWH - Regional Office XII</t>
  </si>
  <si>
    <t>DPWH - Cotabato 2nd DEO</t>
  </si>
  <si>
    <t>DPWH - Sarangani DEO</t>
  </si>
  <si>
    <t>DPWH - Cotabato 3rd DEO</t>
  </si>
  <si>
    <t>DPWH - South Cotabato 1st DEO</t>
  </si>
  <si>
    <t>DPWH - South Cotabato 2nd DEO</t>
  </si>
  <si>
    <t>DPWH - Sultan Kudarat 1st DEO</t>
  </si>
  <si>
    <t>DPWH - Sultan Kudarat 2nd DEO</t>
  </si>
  <si>
    <t>DPWH - Regional Office XIII</t>
  </si>
  <si>
    <t>DPWH - Agusan del Norte DEO</t>
  </si>
  <si>
    <t>DPWH - Agusan del Sur 1st DEO</t>
  </si>
  <si>
    <t>DPWH - Dinagat Island DEO</t>
  </si>
  <si>
    <t>DPWH - Surigao del Sur 2nd DEO</t>
  </si>
  <si>
    <t>Phil. Institute of Volcanology and Seismology</t>
  </si>
  <si>
    <t>DEPARTMENT OF SOCIAL WELFARE &amp; DEVELOPMENT (DSWD)</t>
  </si>
  <si>
    <t>Construction Industry Authority of the Phil</t>
  </si>
  <si>
    <t>Product Development &amp; Design Center of the Phil.</t>
  </si>
  <si>
    <t>Central Office</t>
  </si>
  <si>
    <t>CAR</t>
  </si>
  <si>
    <t>Caraga</t>
  </si>
  <si>
    <t>Phil. Coast Guard</t>
  </si>
  <si>
    <t>Toll Regulatory Board</t>
  </si>
  <si>
    <t>Phil. Statistical Research and Training Center</t>
  </si>
  <si>
    <t>OTHER EXECUTIVE OFFICES</t>
  </si>
  <si>
    <t>Commission on Filipino Overseas</t>
  </si>
  <si>
    <t>Movie and Televsion Revew and Classification Board</t>
  </si>
  <si>
    <t>National Archives of the Phils.</t>
  </si>
  <si>
    <t>National Library of the Philippines</t>
  </si>
  <si>
    <t>House of Representatives Electoral Tribunal</t>
  </si>
  <si>
    <t>Sandiganbayan</t>
  </si>
  <si>
    <t>BUREAU OF THE TREASURY</t>
  </si>
  <si>
    <t>Dear All: Good day! We would like to extend our appreciation for updating this report. Thank you so much for the assistance! In addition, may we aslo request for your contact details (name and position, email address and contact numbers) for our reference and coordination purposes. Kindly input the data on columns P-R please. Thank you again :)</t>
  </si>
  <si>
    <t>CY 2023</t>
  </si>
  <si>
    <t>Phil. Statistical Research and Training Institute</t>
  </si>
  <si>
    <t>Philippine Racing Commission*</t>
  </si>
  <si>
    <t>*net income</t>
  </si>
  <si>
    <t>Reported in COR March 2023</t>
  </si>
  <si>
    <t>Updated Collections Feb 28, 2024</t>
  </si>
  <si>
    <t>Revised collections as of Feb 28, 2024</t>
  </si>
  <si>
    <t>Adjustment</t>
  </si>
  <si>
    <t>DHSUD - OSEC</t>
  </si>
  <si>
    <t>DICT - OSEC</t>
  </si>
  <si>
    <t>Phil. Commission on Women</t>
  </si>
  <si>
    <t>Armed Forces of the Philippines</t>
  </si>
  <si>
    <t>DPWH - Quezon City 2nd DEO</t>
  </si>
  <si>
    <t>DPWH - Benguet 2nd DEO</t>
  </si>
  <si>
    <t>DPWH - Upper Kalinga DEO</t>
  </si>
  <si>
    <t>DPWH - Mt. Province 2nd DEO</t>
  </si>
  <si>
    <t>DPWH - Ilocos Norte 2nd DEO</t>
  </si>
  <si>
    <t>DPWH - Ilocos Sur 2nd DEO</t>
  </si>
  <si>
    <t>DPWH - La Union 1st DEO</t>
  </si>
  <si>
    <t>DPWH - Pangasinan 3rd DEO</t>
  </si>
  <si>
    <t>DPWH - Nueva Vizcaya 2nd DEO</t>
  </si>
  <si>
    <t>DPWH - Regional Office III</t>
  </si>
  <si>
    <t>DPWH - Bulacan 1st DEO</t>
  </si>
  <si>
    <t>DPWH - Bulacan 2nd DEO</t>
  </si>
  <si>
    <t>DPWH - Mindoro Occidental DEO</t>
  </si>
  <si>
    <t>DPWH - Mindoro Oriental DEO</t>
  </si>
  <si>
    <t>DPWH - Palawan 1st DEO</t>
  </si>
  <si>
    <t>DPWH - Palawan 2nd DEO</t>
  </si>
  <si>
    <t>DPWH - Palawan 3rd DEO</t>
  </si>
  <si>
    <t>DPWH - Southern Mindoro DEO</t>
  </si>
  <si>
    <t>DPWH - Samar 1st DEO</t>
  </si>
  <si>
    <t>DPWH - Zamboanga del Norte 3rd DEO-Segabe</t>
  </si>
  <si>
    <t>DPWH - Cagayan de Oro City 2nd DEO</t>
  </si>
  <si>
    <t>DPWH - Lanao del Norte 1st DEO</t>
  </si>
  <si>
    <t>DPWH - Misamis Occidental 2nd DEO</t>
  </si>
  <si>
    <t>DPWH - Misamis Oriental 1st DEO</t>
  </si>
  <si>
    <t>DPWH - Iligan City DEO</t>
  </si>
  <si>
    <t>DPWH - Davao del Norte Sub  DEO</t>
  </si>
  <si>
    <t>DPWH - Davao del Sur 1st DEO</t>
  </si>
  <si>
    <t>DPWH - Davao Occidental DEO</t>
  </si>
  <si>
    <t>DPWH - Davao Oriental 1st DEO</t>
  </si>
  <si>
    <t>DPWH - Davao Oriental 2nd DEO</t>
  </si>
  <si>
    <t>DPWH - Cotabato 1st DEO</t>
  </si>
  <si>
    <t>DPWH - Cotabato City DEO</t>
  </si>
  <si>
    <t>DPWH - Agusan del Sur 2nd DEO</t>
  </si>
  <si>
    <t>DPWH - Butuan City DEO</t>
  </si>
  <si>
    <t>DPWH - Surigao del Norte 1st DEO</t>
  </si>
  <si>
    <t>DPWH - Surigao del Norte 2nd DEO</t>
  </si>
  <si>
    <t>DPWH - Surigao del Sur 1st DEO</t>
  </si>
  <si>
    <t>Phil.Council for Agriculture, Aquatic and Natural Resources Research and Devt</t>
  </si>
  <si>
    <t>Phil. Science High School System</t>
  </si>
  <si>
    <t>National Authority for Child Care( foremerly Inter-Country Adoption Board)</t>
  </si>
  <si>
    <t>Komisyon sa Wikang Filipino</t>
  </si>
  <si>
    <t>Office of the Ombudsman</t>
  </si>
  <si>
    <t>Court of Appeals</t>
  </si>
  <si>
    <t>PRESIDENTIAL COMMUNICATIONS OFFICE</t>
  </si>
  <si>
    <t>Information and Communications Technology</t>
  </si>
  <si>
    <t>Phil. Information Agency</t>
  </si>
  <si>
    <t>Phil. Carabao Center</t>
  </si>
  <si>
    <t>Phil. Center for Postharvest Development and Mechanism</t>
  </si>
  <si>
    <t>Gov't Procurement Policy Board-Technical Support Office</t>
  </si>
  <si>
    <t>National Council for Children's Television</t>
  </si>
  <si>
    <t>DILG - OSEC</t>
  </si>
  <si>
    <t>Inter-Country Adoption Board/Natl Authority for Child Care</t>
  </si>
  <si>
    <t>defense</t>
  </si>
  <si>
    <t>***No Collections for the year - (Newly Created District Office)***</t>
  </si>
  <si>
    <t>***No Collections for the year - waiting for the approval of RA)</t>
  </si>
  <si>
    <t>NATIONAL GOVERNMENT AGENCIES COLLECTING FEES AND CHARGES</t>
  </si>
  <si>
    <t>CY 2024</t>
  </si>
  <si>
    <t>DHSUD - OSEC  (on a quarterly basis)</t>
  </si>
  <si>
    <t>Human Settlements Adjudication Commission (on a quarterly basis)</t>
  </si>
  <si>
    <t>National Bureau of Investigationcoo</t>
  </si>
  <si>
    <t xml:space="preserve">Professional Regulation Commission </t>
  </si>
  <si>
    <t>Technical Education and Skills Devt Authority</t>
  </si>
  <si>
    <t>AFP Medical Center (formerly AFP Health Service Command)</t>
  </si>
  <si>
    <t>Department of Public Works &amp; Highways - District Offices</t>
  </si>
  <si>
    <t xml:space="preserve">Phil. Science High School System </t>
  </si>
  <si>
    <t>Design Center of the Philippines</t>
  </si>
  <si>
    <t>Department of Transportation - OSEC Proper</t>
  </si>
  <si>
    <t>Generated as of March 17, 2025</t>
  </si>
  <si>
    <t>(in Millions 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</si>
</sst>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
    <numFmt numFmtId="167" formatCode="#,##0,,"/>
  </numFmts>
  <fonts count="47" x14ac:knownFonts="1">
    <font>
      <sz val="10"/>
      <name val="Arial"/>
      <family val="2"/>
    </font>
    <font>
      <sz val="11"/>
      <color theme="1"/>
      <name val="Calibri"/>
      <family val="2"/>
      <scheme val="minor"/>
    </font>
    <font>
      <sz val="10"/>
      <name val="Arial"/>
      <family val="2"/>
    </font>
    <font>
      <sz val="10"/>
      <name val="Arial"/>
      <family val="2"/>
    </font>
    <font>
      <sz val="9"/>
      <color indexed="81"/>
      <name val="Tahoma"/>
      <family val="2"/>
    </font>
    <font>
      <b/>
      <sz val="11"/>
      <name val="Arial"/>
      <family val="2"/>
    </font>
    <font>
      <sz val="11"/>
      <name val="Arial"/>
      <family val="2"/>
    </font>
    <font>
      <b/>
      <i/>
      <sz val="11"/>
      <name val="Arial"/>
      <family val="2"/>
    </font>
    <font>
      <b/>
      <u/>
      <sz val="11"/>
      <name val="Arial"/>
      <family val="2"/>
    </font>
    <font>
      <b/>
      <u val="double"/>
      <sz val="11"/>
      <name val="Arial"/>
      <family val="2"/>
    </font>
    <font>
      <i/>
      <sz val="11"/>
      <name val="Arial"/>
      <family val="2"/>
    </font>
    <font>
      <u/>
      <sz val="11"/>
      <name val="Arial"/>
      <family val="2"/>
    </font>
    <font>
      <sz val="11"/>
      <color theme="1"/>
      <name val="Arial"/>
      <family val="2"/>
    </font>
    <font>
      <i/>
      <sz val="11"/>
      <color rgb="FFFF0000"/>
      <name val="Arial"/>
      <family val="2"/>
    </font>
    <font>
      <sz val="11"/>
      <color rgb="FFFF0000"/>
      <name val="Arial"/>
      <family val="2"/>
    </font>
    <font>
      <sz val="11"/>
      <name val="Calibri"/>
      <family val="2"/>
      <scheme val="minor"/>
    </font>
    <font>
      <b/>
      <i/>
      <sz val="11"/>
      <color theme="0"/>
      <name val="Arial"/>
      <family val="2"/>
    </font>
    <font>
      <sz val="11"/>
      <color theme="0"/>
      <name val="Arial"/>
      <family val="2"/>
    </font>
    <font>
      <b/>
      <sz val="11"/>
      <color theme="0"/>
      <name val="Arial"/>
      <family val="2"/>
    </font>
    <font>
      <i/>
      <sz val="11"/>
      <color theme="0"/>
      <name val="Arial"/>
      <family val="2"/>
    </font>
    <font>
      <sz val="10"/>
      <color rgb="FF000000"/>
      <name val="Calibri"/>
      <family val="2"/>
      <scheme val="minor"/>
    </font>
    <font>
      <sz val="10"/>
      <color rgb="FF000000"/>
      <name val="Calibri"/>
      <family val="2"/>
      <scheme val="minor"/>
    </font>
    <font>
      <b/>
      <sz val="11"/>
      <color theme="1"/>
      <name val="Arial"/>
      <family val="2"/>
    </font>
    <font>
      <i/>
      <sz val="11"/>
      <color theme="1"/>
      <name val="Arial"/>
      <family val="2"/>
    </font>
    <font>
      <sz val="11"/>
      <color rgb="FF000000"/>
      <name val="Arial"/>
      <family val="2"/>
    </font>
    <font>
      <b/>
      <u/>
      <sz val="11"/>
      <color theme="1"/>
      <name val="Arial"/>
      <family val="2"/>
    </font>
    <font>
      <i/>
      <sz val="11"/>
      <color rgb="FF000000"/>
      <name val="Arial"/>
      <family val="2"/>
    </font>
    <font>
      <b/>
      <i/>
      <sz val="11"/>
      <color theme="1"/>
      <name val="Arial"/>
      <family val="2"/>
    </font>
    <font>
      <b/>
      <sz val="11"/>
      <color rgb="FF000000"/>
      <name val="Arial"/>
      <family val="2"/>
    </font>
    <font>
      <sz val="10"/>
      <color theme="1"/>
      <name val="Arial"/>
      <family val="2"/>
    </font>
    <font>
      <b/>
      <sz val="11"/>
      <color theme="1"/>
      <name val="Calibri"/>
      <family val="2"/>
    </font>
    <font>
      <b/>
      <sz val="11"/>
      <color theme="0"/>
      <name val="Arial Narrow"/>
      <family val="2"/>
    </font>
    <font>
      <sz val="11"/>
      <color theme="1"/>
      <name val="Calibri"/>
      <family val="2"/>
    </font>
    <font>
      <i/>
      <sz val="11"/>
      <color theme="1"/>
      <name val="Calibri"/>
      <family val="2"/>
    </font>
    <font>
      <sz val="11"/>
      <color rgb="FF000000"/>
      <name val="Calibri"/>
      <family val="2"/>
    </font>
    <font>
      <sz val="10"/>
      <color rgb="FF000000"/>
      <name val="Arial"/>
      <family val="2"/>
    </font>
    <font>
      <sz val="10"/>
      <color rgb="FF000000"/>
      <name val="Calibri"/>
      <family val="2"/>
    </font>
    <font>
      <sz val="11"/>
      <color theme="0"/>
      <name val="Calibri"/>
      <family val="2"/>
      <scheme val="minor"/>
    </font>
    <font>
      <sz val="11"/>
      <color rgb="FF000000"/>
      <name val="Calibri"/>
      <family val="2"/>
      <scheme val="minor"/>
    </font>
    <font>
      <sz val="9"/>
      <color rgb="FF1F1F1F"/>
      <name val="Arial"/>
      <family val="2"/>
    </font>
    <font>
      <u/>
      <sz val="11"/>
      <color rgb="FF000000"/>
      <name val="Arial"/>
      <family val="2"/>
    </font>
    <font>
      <sz val="12"/>
      <color rgb="FF000000"/>
      <name val="Arial"/>
      <family val="2"/>
    </font>
    <font>
      <sz val="10"/>
      <color rgb="FF222222"/>
      <name val="Arial"/>
      <family val="2"/>
    </font>
    <font>
      <sz val="11"/>
      <color rgb="FF222222"/>
      <name val="Arial"/>
      <family val="2"/>
    </font>
    <font>
      <b/>
      <sz val="11"/>
      <color rgb="FFFFFFFF"/>
      <name val="Arial"/>
      <family val="2"/>
    </font>
    <font>
      <b/>
      <u/>
      <sz val="11"/>
      <color rgb="FF000000"/>
      <name val="Arial"/>
      <family val="2"/>
    </font>
    <font>
      <i/>
      <sz val="10"/>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70C0"/>
        <bgColor indexed="64"/>
      </patternFill>
    </fill>
    <fill>
      <patternFill patternType="solid">
        <fgColor rgb="FF2E75B5"/>
        <bgColor rgb="FF2E75B5"/>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1C232"/>
        <bgColor rgb="FFF1C232"/>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double">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right style="thin">
        <color rgb="FF000000"/>
      </right>
      <top/>
      <bottom/>
      <diagonal/>
    </border>
  </borders>
  <cellStyleXfs count="14">
    <xf numFmtId="0" fontId="0" fillId="0" borderId="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0" fontId="20" fillId="0" borderId="0"/>
    <xf numFmtId="43" fontId="20"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21" fillId="0" borderId="0" applyFont="0" applyFill="0" applyBorder="0" applyAlignment="0" applyProtection="0"/>
    <xf numFmtId="0" fontId="20" fillId="0" borderId="0"/>
    <xf numFmtId="43" fontId="20" fillId="0" borderId="0" applyFont="0" applyFill="0" applyBorder="0" applyAlignment="0" applyProtection="0"/>
  </cellStyleXfs>
  <cellXfs count="354">
    <xf numFmtId="0" fontId="0" fillId="0" borderId="0" xfId="0"/>
    <xf numFmtId="0" fontId="5" fillId="0" borderId="0" xfId="2" applyFont="1"/>
    <xf numFmtId="0" fontId="6" fillId="0" borderId="0" xfId="2" applyFont="1"/>
    <xf numFmtId="0" fontId="5" fillId="2" borderId="0" xfId="2" applyFont="1" applyFill="1"/>
    <xf numFmtId="0" fontId="6" fillId="2" borderId="0" xfId="2" applyFont="1" applyFill="1"/>
    <xf numFmtId="2" fontId="8" fillId="2" borderId="0" xfId="2" applyNumberFormat="1" applyFont="1" applyFill="1"/>
    <xf numFmtId="0" fontId="6" fillId="0" borderId="0" xfId="2" quotePrefix="1" applyFont="1" applyAlignment="1">
      <alignment horizontal="center"/>
    </xf>
    <xf numFmtId="2" fontId="6" fillId="0" borderId="0" xfId="2" applyNumberFormat="1" applyFont="1"/>
    <xf numFmtId="0" fontId="6" fillId="2" borderId="0" xfId="2" quotePrefix="1" applyFont="1" applyFill="1" applyAlignment="1">
      <alignment horizontal="center"/>
    </xf>
    <xf numFmtId="0" fontId="6" fillId="0" borderId="0" xfId="2" applyFont="1" applyAlignment="1">
      <alignment horizontal="center"/>
    </xf>
    <xf numFmtId="2" fontId="6" fillId="0" borderId="0" xfId="2" applyNumberFormat="1" applyFont="1" applyAlignment="1">
      <alignment horizontal="center"/>
    </xf>
    <xf numFmtId="0" fontId="6" fillId="0" borderId="0" xfId="2" quotePrefix="1" applyFont="1"/>
    <xf numFmtId="0" fontId="6" fillId="2" borderId="0" xfId="2" quotePrefix="1" applyFont="1" applyFill="1"/>
    <xf numFmtId="2" fontId="6" fillId="2" borderId="0" xfId="2" applyNumberFormat="1" applyFont="1" applyFill="1"/>
    <xf numFmtId="43" fontId="6" fillId="0" borderId="0" xfId="1" applyFont="1"/>
    <xf numFmtId="43" fontId="5" fillId="0" borderId="0" xfId="1" applyFont="1"/>
    <xf numFmtId="43" fontId="9" fillId="0" borderId="0" xfId="1" applyFont="1"/>
    <xf numFmtId="2" fontId="8" fillId="0" borderId="0" xfId="2" applyNumberFormat="1" applyFont="1"/>
    <xf numFmtId="2" fontId="9" fillId="0" borderId="0" xfId="2" applyNumberFormat="1" applyFont="1"/>
    <xf numFmtId="43" fontId="8" fillId="2" borderId="0" xfId="1" applyFont="1" applyFill="1" applyBorder="1"/>
    <xf numFmtId="0" fontId="10" fillId="0" borderId="0" xfId="2" applyFont="1"/>
    <xf numFmtId="4" fontId="8" fillId="2" borderId="0" xfId="2" applyNumberFormat="1" applyFont="1" applyFill="1"/>
    <xf numFmtId="4" fontId="6" fillId="0" borderId="0" xfId="2" applyNumberFormat="1" applyFont="1"/>
    <xf numFmtId="4" fontId="9" fillId="0" borderId="0" xfId="2" applyNumberFormat="1" applyFont="1"/>
    <xf numFmtId="0" fontId="5" fillId="0" borderId="0" xfId="2" applyFont="1" applyAlignment="1">
      <alignment horizontal="center"/>
    </xf>
    <xf numFmtId="0" fontId="6" fillId="0" borderId="0" xfId="2" applyFont="1" applyAlignment="1">
      <alignment vertical="top"/>
    </xf>
    <xf numFmtId="0" fontId="11" fillId="0" borderId="0" xfId="2" applyFont="1"/>
    <xf numFmtId="3" fontId="6" fillId="0" borderId="0" xfId="2" applyNumberFormat="1" applyFont="1"/>
    <xf numFmtId="43" fontId="6" fillId="0" borderId="0" xfId="5" applyFont="1" applyBorder="1"/>
    <xf numFmtId="43" fontId="8" fillId="2" borderId="0" xfId="5" applyFont="1" applyFill="1" applyBorder="1"/>
    <xf numFmtId="2" fontId="11" fillId="0" borderId="0" xfId="2" applyNumberFormat="1" applyFont="1"/>
    <xf numFmtId="4" fontId="8" fillId="0" borderId="0" xfId="2" applyNumberFormat="1" applyFont="1"/>
    <xf numFmtId="4" fontId="8" fillId="2" borderId="0" xfId="5" applyNumberFormat="1" applyFont="1" applyFill="1" applyBorder="1"/>
    <xf numFmtId="0" fontId="5" fillId="0" borderId="0" xfId="3" applyFont="1"/>
    <xf numFmtId="0" fontId="6" fillId="0" borderId="0" xfId="3" applyFont="1"/>
    <xf numFmtId="4" fontId="6" fillId="0" borderId="0" xfId="3" applyNumberFormat="1" applyFont="1"/>
    <xf numFmtId="4" fontId="6" fillId="0" borderId="0" xfId="4" applyNumberFormat="1" applyFont="1" applyAlignment="1">
      <alignment horizontal="right"/>
    </xf>
    <xf numFmtId="0" fontId="10" fillId="0" borderId="0" xfId="3" applyFont="1"/>
    <xf numFmtId="0" fontId="5" fillId="0" borderId="0" xfId="3" applyFont="1" applyAlignment="1">
      <alignment horizontal="center"/>
    </xf>
    <xf numFmtId="0" fontId="5" fillId="2" borderId="0" xfId="3" applyFont="1" applyFill="1"/>
    <xf numFmtId="0" fontId="6" fillId="2" borderId="0" xfId="3" applyFont="1" applyFill="1"/>
    <xf numFmtId="2" fontId="8" fillId="2" borderId="0" xfId="3" applyNumberFormat="1" applyFont="1" applyFill="1"/>
    <xf numFmtId="4" fontId="8" fillId="2" borderId="0" xfId="4" applyNumberFormat="1" applyFont="1" applyFill="1" applyBorder="1"/>
    <xf numFmtId="4" fontId="8" fillId="2" borderId="0" xfId="4" applyNumberFormat="1" applyFont="1" applyFill="1" applyBorder="1" applyAlignment="1">
      <alignment horizontal="right"/>
    </xf>
    <xf numFmtId="2" fontId="6" fillId="0" borderId="0" xfId="3" applyNumberFormat="1" applyFont="1"/>
    <xf numFmtId="4" fontId="6" fillId="0" borderId="0" xfId="4" applyNumberFormat="1" applyFont="1"/>
    <xf numFmtId="4" fontId="6" fillId="0" borderId="0" xfId="4" applyNumberFormat="1" applyFont="1" applyBorder="1" applyAlignment="1">
      <alignment horizontal="right"/>
    </xf>
    <xf numFmtId="2" fontId="6" fillId="0" borderId="0" xfId="3" applyNumberFormat="1" applyFont="1" applyAlignment="1">
      <alignment horizontal="right" indent="1"/>
    </xf>
    <xf numFmtId="0" fontId="12" fillId="0" borderId="0" xfId="3" applyFont="1"/>
    <xf numFmtId="2" fontId="12" fillId="0" borderId="0" xfId="3" applyNumberFormat="1" applyFont="1"/>
    <xf numFmtId="4" fontId="12" fillId="0" borderId="0" xfId="4" applyNumberFormat="1" applyFont="1"/>
    <xf numFmtId="4" fontId="12" fillId="0" borderId="0" xfId="3" applyNumberFormat="1" applyFont="1"/>
    <xf numFmtId="0" fontId="13" fillId="0" borderId="0" xfId="3" applyFont="1"/>
    <xf numFmtId="0" fontId="6" fillId="0" borderId="0" xfId="3" applyFont="1" applyAlignment="1">
      <alignment horizontal="left"/>
    </xf>
    <xf numFmtId="2" fontId="10" fillId="0" borderId="0" xfId="3" applyNumberFormat="1" applyFont="1"/>
    <xf numFmtId="4" fontId="10" fillId="0" borderId="0" xfId="4" applyNumberFormat="1" applyFont="1"/>
    <xf numFmtId="4" fontId="10" fillId="0" borderId="0" xfId="3" applyNumberFormat="1" applyFont="1"/>
    <xf numFmtId="4" fontId="8" fillId="2" borderId="0" xfId="3" applyNumberFormat="1" applyFont="1" applyFill="1"/>
    <xf numFmtId="164" fontId="6" fillId="0" borderId="0" xfId="3" applyNumberFormat="1" applyFont="1"/>
    <xf numFmtId="0" fontId="14" fillId="0" borderId="0" xfId="3" applyFont="1"/>
    <xf numFmtId="2" fontId="14" fillId="0" borderId="0" xfId="3" applyNumberFormat="1" applyFont="1"/>
    <xf numFmtId="4" fontId="14" fillId="0" borderId="0" xfId="4" applyNumberFormat="1" applyFont="1"/>
    <xf numFmtId="2" fontId="13" fillId="0" borderId="0" xfId="3" applyNumberFormat="1" applyFont="1" applyAlignment="1">
      <alignment horizontal="right" indent="1"/>
    </xf>
    <xf numFmtId="4" fontId="14" fillId="0" borderId="0" xfId="3" applyNumberFormat="1" applyFont="1"/>
    <xf numFmtId="4" fontId="10" fillId="0" borderId="0" xfId="4" applyNumberFormat="1" applyFont="1" applyBorder="1" applyAlignment="1">
      <alignment horizontal="right"/>
    </xf>
    <xf numFmtId="2" fontId="6" fillId="0" borderId="0" xfId="3" applyNumberFormat="1" applyFont="1" applyAlignment="1">
      <alignment horizontal="right"/>
    </xf>
    <xf numFmtId="4" fontId="9" fillId="0" borderId="0" xfId="3" applyNumberFormat="1" applyFont="1"/>
    <xf numFmtId="43" fontId="6" fillId="0" borderId="0" xfId="4" applyFont="1"/>
    <xf numFmtId="4" fontId="6" fillId="0" borderId="0" xfId="1" applyNumberFormat="1" applyFont="1" applyAlignment="1">
      <alignment horizontal="right"/>
    </xf>
    <xf numFmtId="4" fontId="8" fillId="2" borderId="0" xfId="1" applyNumberFormat="1" applyFont="1" applyFill="1" applyBorder="1"/>
    <xf numFmtId="4" fontId="8" fillId="2" borderId="0" xfId="1" applyNumberFormat="1" applyFont="1" applyFill="1" applyBorder="1" applyAlignment="1">
      <alignment horizontal="right"/>
    </xf>
    <xf numFmtId="4" fontId="6" fillId="0" borderId="0" xfId="1" applyNumberFormat="1" applyFont="1"/>
    <xf numFmtId="4" fontId="6" fillId="0" borderId="0" xfId="1" applyNumberFormat="1" applyFont="1" applyBorder="1" applyAlignment="1">
      <alignment horizontal="right"/>
    </xf>
    <xf numFmtId="4" fontId="6" fillId="0" borderId="0" xfId="1" applyNumberFormat="1" applyFont="1" applyBorder="1"/>
    <xf numFmtId="4" fontId="6" fillId="0" borderId="0" xfId="1" applyNumberFormat="1" applyFont="1" applyFill="1" applyBorder="1"/>
    <xf numFmtId="4" fontId="6" fillId="0" borderId="0" xfId="2" applyNumberFormat="1" applyFont="1" applyAlignment="1">
      <alignment horizontal="right"/>
    </xf>
    <xf numFmtId="0" fontId="12" fillId="0" borderId="0" xfId="2" applyFont="1"/>
    <xf numFmtId="2" fontId="12" fillId="0" borderId="0" xfId="2" applyNumberFormat="1" applyFont="1"/>
    <xf numFmtId="4" fontId="12" fillId="0" borderId="0" xfId="1" applyNumberFormat="1" applyFont="1"/>
    <xf numFmtId="4" fontId="12" fillId="0" borderId="0" xfId="2" applyNumberFormat="1" applyFont="1"/>
    <xf numFmtId="2" fontId="6" fillId="0" borderId="0" xfId="2" applyNumberFormat="1" applyFont="1" applyAlignment="1">
      <alignment horizontal="right"/>
    </xf>
    <xf numFmtId="0" fontId="13" fillId="0" borderId="0" xfId="2" applyFont="1"/>
    <xf numFmtId="0" fontId="6" fillId="0" borderId="0" xfId="2" applyFont="1" applyAlignment="1">
      <alignment horizontal="left"/>
    </xf>
    <xf numFmtId="2" fontId="10" fillId="0" borderId="0" xfId="2" applyNumberFormat="1" applyFont="1"/>
    <xf numFmtId="4" fontId="10" fillId="0" borderId="0" xfId="1" applyNumberFormat="1" applyFont="1"/>
    <xf numFmtId="4" fontId="10" fillId="0" borderId="0" xfId="2" applyNumberFormat="1" applyFont="1"/>
    <xf numFmtId="4" fontId="6" fillId="0" borderId="0" xfId="2" applyNumberFormat="1" applyFont="1" applyAlignment="1">
      <alignment horizontal="right" indent="1"/>
    </xf>
    <xf numFmtId="4" fontId="10" fillId="0" borderId="0" xfId="1" applyNumberFormat="1" applyFont="1" applyBorder="1" applyAlignment="1">
      <alignment horizontal="right"/>
    </xf>
    <xf numFmtId="4" fontId="10" fillId="0" borderId="0" xfId="2" applyNumberFormat="1" applyFont="1" applyAlignment="1">
      <alignment horizontal="right"/>
    </xf>
    <xf numFmtId="0" fontId="5" fillId="0" borderId="0" xfId="0" applyFont="1"/>
    <xf numFmtId="0" fontId="6" fillId="0" borderId="0" xfId="0" applyFont="1"/>
    <xf numFmtId="4" fontId="6" fillId="0" borderId="0" xfId="0" applyNumberFormat="1" applyFont="1"/>
    <xf numFmtId="0" fontId="10" fillId="0" borderId="0" xfId="0" applyFont="1"/>
    <xf numFmtId="0" fontId="5" fillId="0" borderId="0" xfId="0" applyFont="1" applyAlignment="1">
      <alignment horizontal="center"/>
    </xf>
    <xf numFmtId="0" fontId="5" fillId="2" borderId="0" xfId="0" applyFont="1" applyFill="1"/>
    <xf numFmtId="0" fontId="6" fillId="2" borderId="0" xfId="0" applyFont="1" applyFill="1"/>
    <xf numFmtId="2" fontId="8" fillId="2" borderId="0" xfId="0" applyNumberFormat="1" applyFont="1" applyFill="1"/>
    <xf numFmtId="2" fontId="6" fillId="0" borderId="0" xfId="0" applyNumberFormat="1" applyFont="1"/>
    <xf numFmtId="0" fontId="6" fillId="3" borderId="0" xfId="0" applyFont="1" applyFill="1"/>
    <xf numFmtId="2" fontId="6" fillId="3" borderId="0" xfId="0" applyNumberFormat="1" applyFont="1" applyFill="1"/>
    <xf numFmtId="4" fontId="6" fillId="3" borderId="0" xfId="1" applyNumberFormat="1" applyFont="1" applyFill="1"/>
    <xf numFmtId="0" fontId="12" fillId="0" borderId="0" xfId="0" applyFont="1"/>
    <xf numFmtId="4" fontId="6" fillId="0" borderId="0" xfId="0" applyNumberFormat="1" applyFont="1" applyAlignment="1">
      <alignment horizontal="right"/>
    </xf>
    <xf numFmtId="0" fontId="13" fillId="0" borderId="0" xfId="0" applyFont="1"/>
    <xf numFmtId="2" fontId="6" fillId="0" borderId="0" xfId="0" applyNumberFormat="1" applyFont="1" applyAlignment="1">
      <alignment horizontal="right"/>
    </xf>
    <xf numFmtId="0" fontId="6" fillId="0" borderId="0" xfId="0" applyFont="1" applyAlignment="1">
      <alignment horizontal="left"/>
    </xf>
    <xf numFmtId="4" fontId="8" fillId="2" borderId="0" xfId="0" applyNumberFormat="1" applyFont="1" applyFill="1"/>
    <xf numFmtId="0" fontId="6" fillId="3" borderId="0" xfId="0" applyFont="1" applyFill="1" applyAlignment="1">
      <alignment horizontal="left"/>
    </xf>
    <xf numFmtId="4" fontId="6" fillId="3" borderId="0" xfId="0" applyNumberFormat="1" applyFont="1" applyFill="1" applyAlignment="1">
      <alignment horizontal="right"/>
    </xf>
    <xf numFmtId="4" fontId="6" fillId="3" borderId="0" xfId="0" applyNumberFormat="1" applyFont="1" applyFill="1"/>
    <xf numFmtId="4" fontId="6" fillId="3" borderId="0" xfId="1" applyNumberFormat="1" applyFont="1" applyFill="1" applyBorder="1" applyAlignment="1">
      <alignment horizontal="right"/>
    </xf>
    <xf numFmtId="4" fontId="9" fillId="0" borderId="0" xfId="0" applyNumberFormat="1" applyFont="1"/>
    <xf numFmtId="0" fontId="6" fillId="0" borderId="0" xfId="0" quotePrefix="1" applyFont="1"/>
    <xf numFmtId="0" fontId="5" fillId="0" borderId="0" xfId="0" applyFont="1" applyAlignment="1">
      <alignment horizontal="left"/>
    </xf>
    <xf numFmtId="43" fontId="6" fillId="0" borderId="0" xfId="1" applyFont="1" applyBorder="1"/>
    <xf numFmtId="43" fontId="8" fillId="2" borderId="0" xfId="1" applyFont="1" applyFill="1" applyBorder="1" applyAlignment="1">
      <alignment horizontal="right"/>
    </xf>
    <xf numFmtId="3" fontId="9" fillId="0" borderId="0" xfId="3" applyNumberFormat="1" applyFont="1"/>
    <xf numFmtId="0" fontId="15" fillId="0" borderId="0" xfId="0" applyFont="1" applyAlignment="1">
      <alignment wrapText="1"/>
    </xf>
    <xf numFmtId="0" fontId="15" fillId="0" borderId="0" xfId="0" applyFont="1"/>
    <xf numFmtId="0" fontId="10" fillId="0" borderId="0" xfId="0" applyFont="1" applyAlignment="1">
      <alignment horizontal="left" wrapText="1"/>
    </xf>
    <xf numFmtId="0" fontId="7" fillId="4" borderId="2" xfId="2" applyFont="1" applyFill="1" applyBorder="1"/>
    <xf numFmtId="0" fontId="7" fillId="4" borderId="7" xfId="2" applyFont="1" applyFill="1" applyBorder="1" applyAlignment="1">
      <alignment horizontal="center"/>
    </xf>
    <xf numFmtId="0" fontId="16" fillId="4" borderId="0" xfId="2" applyFont="1" applyFill="1" applyAlignment="1">
      <alignment horizontal="center"/>
    </xf>
    <xf numFmtId="43" fontId="6" fillId="0" borderId="0" xfId="1" applyFont="1" applyFill="1" applyBorder="1"/>
    <xf numFmtId="0" fontId="6" fillId="0" borderId="0" xfId="2" applyFont="1" applyAlignment="1">
      <alignment horizontal="left" indent="1"/>
    </xf>
    <xf numFmtId="0" fontId="6" fillId="0" borderId="0" xfId="2" applyFont="1" applyAlignment="1">
      <alignment wrapText="1"/>
    </xf>
    <xf numFmtId="0" fontId="16" fillId="4" borderId="2" xfId="2" applyFont="1" applyFill="1" applyBorder="1"/>
    <xf numFmtId="0" fontId="16" fillId="4" borderId="7" xfId="2" applyFont="1" applyFill="1" applyBorder="1" applyAlignment="1">
      <alignment horizontal="center"/>
    </xf>
    <xf numFmtId="0" fontId="17" fillId="4" borderId="2" xfId="2" applyFont="1" applyFill="1" applyBorder="1"/>
    <xf numFmtId="0" fontId="18" fillId="4" borderId="7" xfId="2" applyFont="1" applyFill="1" applyBorder="1" applyAlignment="1">
      <alignment horizontal="center"/>
    </xf>
    <xf numFmtId="0" fontId="17" fillId="4" borderId="1" xfId="2" applyFont="1" applyFill="1" applyBorder="1"/>
    <xf numFmtId="0" fontId="17" fillId="4" borderId="3" xfId="2" applyFont="1" applyFill="1" applyBorder="1"/>
    <xf numFmtId="0" fontId="16" fillId="4" borderId="5" xfId="2" applyFont="1" applyFill="1" applyBorder="1" applyAlignment="1">
      <alignment horizontal="center"/>
    </xf>
    <xf numFmtId="0" fontId="18" fillId="4" borderId="8" xfId="2" applyFont="1" applyFill="1" applyBorder="1" applyAlignment="1">
      <alignment horizontal="center"/>
    </xf>
    <xf numFmtId="0" fontId="18" fillId="4" borderId="11" xfId="2" applyFont="1" applyFill="1" applyBorder="1" applyAlignment="1">
      <alignment horizontal="center"/>
    </xf>
    <xf numFmtId="0" fontId="16" fillId="4" borderId="6" xfId="2" applyFont="1" applyFill="1" applyBorder="1" applyAlignment="1">
      <alignment horizontal="center" vertical="center"/>
    </xf>
    <xf numFmtId="0" fontId="16" fillId="4" borderId="10" xfId="2" applyFont="1" applyFill="1" applyBorder="1" applyAlignment="1">
      <alignment horizontal="center" vertical="center"/>
    </xf>
    <xf numFmtId="0" fontId="16" fillId="4" borderId="2" xfId="2" applyFont="1" applyFill="1" applyBorder="1" applyAlignment="1">
      <alignment horizontal="center" vertical="center"/>
    </xf>
    <xf numFmtId="0" fontId="19" fillId="4" borderId="2"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2" xfId="3" applyFont="1" applyFill="1" applyBorder="1" applyAlignment="1">
      <alignment horizontal="center"/>
    </xf>
    <xf numFmtId="4" fontId="16" fillId="4" borderId="2" xfId="3" applyNumberFormat="1" applyFont="1" applyFill="1" applyBorder="1" applyAlignment="1">
      <alignment horizontal="center"/>
    </xf>
    <xf numFmtId="4" fontId="16" fillId="4" borderId="2" xfId="4" applyNumberFormat="1" applyFont="1" applyFill="1" applyBorder="1" applyAlignment="1">
      <alignment horizontal="right"/>
    </xf>
    <xf numFmtId="4" fontId="16" fillId="4" borderId="3" xfId="3" applyNumberFormat="1" applyFont="1" applyFill="1" applyBorder="1" applyAlignment="1">
      <alignment horizontal="center"/>
    </xf>
    <xf numFmtId="0" fontId="16" fillId="4" borderId="7" xfId="3" applyFont="1" applyFill="1" applyBorder="1" applyAlignment="1">
      <alignment horizontal="center"/>
    </xf>
    <xf numFmtId="4" fontId="16" fillId="4" borderId="7" xfId="3" applyNumberFormat="1" applyFont="1" applyFill="1" applyBorder="1" applyAlignment="1">
      <alignment horizontal="center"/>
    </xf>
    <xf numFmtId="4" fontId="16" fillId="4" borderId="7" xfId="4" applyNumberFormat="1" applyFont="1" applyFill="1" applyBorder="1" applyAlignment="1">
      <alignment horizontal="center"/>
    </xf>
    <xf numFmtId="4" fontId="16" fillId="4" borderId="11" xfId="3" applyNumberFormat="1" applyFont="1" applyFill="1" applyBorder="1" applyAlignment="1">
      <alignment horizontal="center"/>
    </xf>
    <xf numFmtId="4" fontId="16" fillId="4" borderId="2" xfId="1" applyNumberFormat="1" applyFont="1" applyFill="1" applyBorder="1" applyAlignment="1">
      <alignment horizontal="right"/>
    </xf>
    <xf numFmtId="4" fontId="16" fillId="4" borderId="2" xfId="2" applyNumberFormat="1" applyFont="1" applyFill="1" applyBorder="1" applyAlignment="1">
      <alignment horizontal="center" vertical="center"/>
    </xf>
    <xf numFmtId="4" fontId="16" fillId="4" borderId="2" xfId="1" applyNumberFormat="1" applyFont="1" applyFill="1" applyBorder="1" applyAlignment="1">
      <alignment horizontal="right" vertical="center"/>
    </xf>
    <xf numFmtId="4" fontId="16" fillId="4" borderId="3" xfId="2" applyNumberFormat="1" applyFont="1" applyFill="1" applyBorder="1" applyAlignment="1">
      <alignment horizontal="center" vertical="center"/>
    </xf>
    <xf numFmtId="4" fontId="16" fillId="4" borderId="7" xfId="2" applyNumberFormat="1" applyFont="1" applyFill="1" applyBorder="1" applyAlignment="1">
      <alignment horizontal="center" vertical="center"/>
    </xf>
    <xf numFmtId="4" fontId="16" fillId="4" borderId="7" xfId="1" applyNumberFormat="1" applyFont="1" applyFill="1" applyBorder="1" applyAlignment="1">
      <alignment horizontal="center" vertical="center"/>
    </xf>
    <xf numFmtId="4" fontId="16" fillId="4" borderId="11" xfId="2" applyNumberFormat="1" applyFont="1" applyFill="1" applyBorder="1" applyAlignment="1">
      <alignment horizontal="center" vertical="center"/>
    </xf>
    <xf numFmtId="0" fontId="16" fillId="4" borderId="2" xfId="0" applyFont="1" applyFill="1" applyBorder="1" applyAlignment="1">
      <alignment horizontal="center"/>
    </xf>
    <xf numFmtId="4" fontId="16" fillId="4" borderId="2" xfId="0" applyNumberFormat="1" applyFont="1" applyFill="1" applyBorder="1" applyAlignment="1">
      <alignment horizontal="center"/>
    </xf>
    <xf numFmtId="4" fontId="16" fillId="4" borderId="3" xfId="0" applyNumberFormat="1" applyFont="1" applyFill="1" applyBorder="1" applyAlignment="1">
      <alignment horizontal="center"/>
    </xf>
    <xf numFmtId="0" fontId="16" fillId="4" borderId="7" xfId="0" applyFont="1" applyFill="1" applyBorder="1" applyAlignment="1">
      <alignment horizontal="center"/>
    </xf>
    <xf numFmtId="4" fontId="16" fillId="4" borderId="7" xfId="0" applyNumberFormat="1" applyFont="1" applyFill="1" applyBorder="1" applyAlignment="1">
      <alignment horizontal="center"/>
    </xf>
    <xf numFmtId="4" fontId="16" fillId="4" borderId="7" xfId="1" applyNumberFormat="1" applyFont="1" applyFill="1" applyBorder="1" applyAlignment="1">
      <alignment horizontal="center"/>
    </xf>
    <xf numFmtId="4" fontId="16" fillId="4" borderId="11" xfId="0" applyNumberFormat="1" applyFont="1" applyFill="1" applyBorder="1" applyAlignment="1">
      <alignment horizontal="center"/>
    </xf>
    <xf numFmtId="0" fontId="6" fillId="0" borderId="0" xfId="0" applyFont="1" applyAlignment="1">
      <alignment horizontal="left" indent="1"/>
    </xf>
    <xf numFmtId="0" fontId="10" fillId="0" borderId="0" xfId="0" applyFont="1" applyAlignment="1">
      <alignment horizontal="left" indent="1"/>
    </xf>
    <xf numFmtId="4" fontId="10" fillId="0" borderId="0" xfId="0" applyNumberFormat="1" applyFont="1"/>
    <xf numFmtId="3" fontId="10" fillId="0" borderId="0" xfId="0" applyNumberFormat="1" applyFont="1" applyAlignment="1">
      <alignment horizontal="left" indent="1"/>
    </xf>
    <xf numFmtId="0" fontId="18" fillId="4" borderId="12" xfId="0" applyFont="1" applyFill="1" applyBorder="1" applyAlignment="1">
      <alignment horizontal="center"/>
    </xf>
    <xf numFmtId="4" fontId="18" fillId="4" borderId="12" xfId="0" applyNumberFormat="1" applyFont="1" applyFill="1" applyBorder="1" applyAlignment="1">
      <alignment horizontal="center"/>
    </xf>
    <xf numFmtId="0" fontId="18" fillId="4" borderId="13" xfId="0" applyFont="1" applyFill="1" applyBorder="1" applyAlignment="1">
      <alignment horizontal="center"/>
    </xf>
    <xf numFmtId="4" fontId="18" fillId="4" borderId="13" xfId="0" applyNumberFormat="1" applyFont="1" applyFill="1" applyBorder="1" applyAlignment="1">
      <alignment horizontal="center"/>
    </xf>
    <xf numFmtId="0" fontId="16" fillId="4" borderId="3" xfId="0" applyFont="1" applyFill="1" applyBorder="1" applyAlignment="1">
      <alignment horizontal="center"/>
    </xf>
    <xf numFmtId="0" fontId="17" fillId="0" borderId="0" xfId="0" applyFont="1"/>
    <xf numFmtId="0" fontId="16" fillId="4" borderId="11" xfId="0" applyFont="1" applyFill="1" applyBorder="1" applyAlignment="1">
      <alignment horizontal="center"/>
    </xf>
    <xf numFmtId="0" fontId="11" fillId="2" borderId="0" xfId="0" applyFont="1" applyFill="1"/>
    <xf numFmtId="2" fontId="8" fillId="2" borderId="0" xfId="1" applyNumberFormat="1" applyFont="1" applyFill="1" applyBorder="1"/>
    <xf numFmtId="43" fontId="8" fillId="0" borderId="0" xfId="1" applyFont="1" applyBorder="1"/>
    <xf numFmtId="43" fontId="6" fillId="0" borderId="0" xfId="0" applyNumberFormat="1" applyFont="1"/>
    <xf numFmtId="0" fontId="18" fillId="4" borderId="16" xfId="0" applyFont="1" applyFill="1" applyBorder="1" applyAlignment="1">
      <alignment horizontal="center"/>
    </xf>
    <xf numFmtId="165" fontId="10" fillId="0" borderId="0" xfId="0" applyNumberFormat="1" applyFont="1"/>
    <xf numFmtId="0" fontId="7" fillId="0" borderId="0" xfId="0" applyFont="1"/>
    <xf numFmtId="165" fontId="7" fillId="0" borderId="0" xfId="0" applyNumberFormat="1" applyFont="1"/>
    <xf numFmtId="4" fontId="5" fillId="0" borderId="0" xfId="0" applyNumberFormat="1" applyFont="1"/>
    <xf numFmtId="0" fontId="6" fillId="0" borderId="0" xfId="2" applyFont="1" applyAlignment="1">
      <alignment horizontal="left" wrapText="1"/>
    </xf>
    <xf numFmtId="43" fontId="8" fillId="0" borderId="0" xfId="1" applyFont="1" applyFill="1" applyBorder="1"/>
    <xf numFmtId="43" fontId="5" fillId="0" borderId="0" xfId="1" applyFont="1" applyFill="1" applyAlignment="1"/>
    <xf numFmtId="43" fontId="5" fillId="0" borderId="0" xfId="1" applyFont="1" applyFill="1"/>
    <xf numFmtId="43" fontId="5" fillId="0" borderId="0" xfId="1" applyFont="1" applyFill="1" applyAlignment="1">
      <alignment horizontal="left"/>
    </xf>
    <xf numFmtId="0" fontId="6" fillId="0" borderId="0" xfId="0" applyFont="1" applyAlignment="1">
      <alignment wrapText="1"/>
    </xf>
    <xf numFmtId="0" fontId="22" fillId="0" borderId="0" xfId="9" applyFont="1"/>
    <xf numFmtId="0" fontId="12" fillId="0" borderId="0" xfId="9" applyFont="1"/>
    <xf numFmtId="0" fontId="30" fillId="0" borderId="0" xfId="12" applyFont="1"/>
    <xf numFmtId="0" fontId="20" fillId="0" borderId="0" xfId="12"/>
    <xf numFmtId="0" fontId="32" fillId="0" borderId="0" xfId="12" applyFont="1"/>
    <xf numFmtId="0" fontId="33" fillId="0" borderId="0" xfId="12" applyFont="1"/>
    <xf numFmtId="0" fontId="34" fillId="0" borderId="0" xfId="12" applyFont="1"/>
    <xf numFmtId="0" fontId="36" fillId="0" borderId="0" xfId="12" applyFont="1"/>
    <xf numFmtId="0" fontId="24" fillId="0" borderId="0" xfId="12" applyFont="1" applyAlignment="1">
      <alignment vertical="top"/>
    </xf>
    <xf numFmtId="166" fontId="30" fillId="0" borderId="0" xfId="12" applyNumberFormat="1" applyFont="1"/>
    <xf numFmtId="166" fontId="20" fillId="0" borderId="0" xfId="12" applyNumberFormat="1"/>
    <xf numFmtId="166" fontId="30" fillId="0" borderId="0" xfId="12" applyNumberFormat="1" applyFont="1" applyAlignment="1">
      <alignment horizontal="left"/>
    </xf>
    <xf numFmtId="166" fontId="32" fillId="0" borderId="0" xfId="12" applyNumberFormat="1" applyFont="1"/>
    <xf numFmtId="166" fontId="34" fillId="0" borderId="0" xfId="12" applyNumberFormat="1" applyFont="1"/>
    <xf numFmtId="166" fontId="29" fillId="0" borderId="0" xfId="12" applyNumberFormat="1" applyFont="1"/>
    <xf numFmtId="166" fontId="12" fillId="0" borderId="0" xfId="12" applyNumberFormat="1" applyFont="1"/>
    <xf numFmtId="166" fontId="35" fillId="0" borderId="0" xfId="12" applyNumberFormat="1" applyFont="1"/>
    <xf numFmtId="166" fontId="36" fillId="0" borderId="0" xfId="12" applyNumberFormat="1" applyFont="1"/>
    <xf numFmtId="166" fontId="12" fillId="0" borderId="0" xfId="12" applyNumberFormat="1" applyFont="1" applyAlignment="1">
      <alignment horizontal="right"/>
    </xf>
    <xf numFmtId="166" fontId="31" fillId="0" borderId="0" xfId="12" applyNumberFormat="1" applyFont="1" applyAlignment="1">
      <alignment vertical="top" wrapText="1"/>
    </xf>
    <xf numFmtId="166" fontId="37" fillId="0" borderId="0" xfId="12" applyNumberFormat="1" applyFont="1"/>
    <xf numFmtId="0" fontId="38" fillId="0" borderId="0" xfId="12" applyFont="1"/>
    <xf numFmtId="166" fontId="38" fillId="0" borderId="0" xfId="12" applyNumberFormat="1" applyFont="1"/>
    <xf numFmtId="166" fontId="24" fillId="0" borderId="0" xfId="12" applyNumberFormat="1" applyFont="1"/>
    <xf numFmtId="166" fontId="24" fillId="0" borderId="0" xfId="12" applyNumberFormat="1" applyFont="1" applyAlignment="1">
      <alignment horizontal="right"/>
    </xf>
    <xf numFmtId="166" fontId="12" fillId="0" borderId="0" xfId="12" applyNumberFormat="1" applyFont="1" applyAlignment="1">
      <alignment horizontal="center"/>
    </xf>
    <xf numFmtId="166" fontId="5" fillId="0" borderId="0" xfId="12" applyNumberFormat="1" applyFont="1"/>
    <xf numFmtId="166" fontId="22" fillId="0" borderId="0" xfId="12" applyNumberFormat="1" applyFont="1"/>
    <xf numFmtId="0" fontId="22" fillId="6" borderId="0" xfId="12" applyFont="1" applyFill="1"/>
    <xf numFmtId="0" fontId="28" fillId="6" borderId="0" xfId="12" applyFont="1" applyFill="1"/>
    <xf numFmtId="166" fontId="22" fillId="6" borderId="0" xfId="12" applyNumberFormat="1" applyFont="1" applyFill="1"/>
    <xf numFmtId="0" fontId="23" fillId="0" borderId="0" xfId="12" applyFont="1"/>
    <xf numFmtId="0" fontId="24" fillId="0" borderId="0" xfId="12" applyFont="1"/>
    <xf numFmtId="166" fontId="29" fillId="0" borderId="0" xfId="12" applyNumberFormat="1" applyFont="1" applyAlignment="1">
      <alignment horizontal="right"/>
    </xf>
    <xf numFmtId="4" fontId="12" fillId="0" borderId="0" xfId="12" applyNumberFormat="1" applyFont="1"/>
    <xf numFmtId="166" fontId="18" fillId="5" borderId="19" xfId="12" applyNumberFormat="1" applyFont="1" applyFill="1" applyBorder="1" applyAlignment="1">
      <alignment horizontal="center"/>
    </xf>
    <xf numFmtId="0" fontId="35" fillId="0" borderId="0" xfId="12" applyFont="1"/>
    <xf numFmtId="166" fontId="18" fillId="5" borderId="22" xfId="12" applyNumberFormat="1" applyFont="1" applyFill="1" applyBorder="1" applyAlignment="1">
      <alignment horizontal="center"/>
    </xf>
    <xf numFmtId="0" fontId="12" fillId="6" borderId="0" xfId="12" applyFont="1" applyFill="1"/>
    <xf numFmtId="166" fontId="25" fillId="6" borderId="0" xfId="12" applyNumberFormat="1" applyFont="1" applyFill="1"/>
    <xf numFmtId="0" fontId="12" fillId="0" borderId="0" xfId="12" applyFont="1"/>
    <xf numFmtId="166" fontId="25" fillId="0" borderId="0" xfId="12" applyNumberFormat="1" applyFont="1"/>
    <xf numFmtId="0" fontId="24" fillId="6" borderId="0" xfId="12" applyFont="1" applyFill="1"/>
    <xf numFmtId="0" fontId="26" fillId="0" borderId="0" xfId="12" applyFont="1"/>
    <xf numFmtId="0" fontId="22" fillId="0" borderId="0" xfId="12" applyFont="1"/>
    <xf numFmtId="166" fontId="39" fillId="0" borderId="0" xfId="12" applyNumberFormat="1" applyFont="1"/>
    <xf numFmtId="166" fontId="40" fillId="0" borderId="0" xfId="12" applyNumberFormat="1" applyFont="1"/>
    <xf numFmtId="0" fontId="26" fillId="6" borderId="0" xfId="12" applyFont="1" applyFill="1"/>
    <xf numFmtId="0" fontId="24" fillId="0" borderId="0" xfId="12" applyFont="1" applyAlignment="1">
      <alignment horizontal="left"/>
    </xf>
    <xf numFmtId="166" fontId="12" fillId="7" borderId="0" xfId="12" applyNumberFormat="1" applyFont="1" applyFill="1"/>
    <xf numFmtId="0" fontId="23" fillId="0" borderId="0" xfId="12" applyFont="1" applyAlignment="1">
      <alignment horizontal="right"/>
    </xf>
    <xf numFmtId="166" fontId="12" fillId="0" borderId="0" xfId="6" applyNumberFormat="1" applyFont="1" applyAlignment="1">
      <alignment horizontal="right"/>
    </xf>
    <xf numFmtId="0" fontId="27" fillId="0" borderId="0" xfId="12" applyFont="1"/>
    <xf numFmtId="166" fontId="25" fillId="0" borderId="0" xfId="12" applyNumberFormat="1" applyFont="1" applyAlignment="1">
      <alignment horizontal="center"/>
    </xf>
    <xf numFmtId="0" fontId="29" fillId="0" borderId="0" xfId="12" applyFont="1"/>
    <xf numFmtId="0" fontId="12" fillId="0" borderId="0" xfId="12" applyFont="1" applyAlignment="1">
      <alignment vertical="top"/>
    </xf>
    <xf numFmtId="0" fontId="12" fillId="0" borderId="0" xfId="12" applyFont="1" applyAlignment="1">
      <alignment horizontal="center"/>
    </xf>
    <xf numFmtId="0" fontId="12" fillId="0" borderId="0" xfId="12" applyFont="1" applyAlignment="1">
      <alignment wrapText="1"/>
    </xf>
    <xf numFmtId="166" fontId="41" fillId="0" borderId="0" xfId="12" applyNumberFormat="1" applyFont="1"/>
    <xf numFmtId="166" fontId="42" fillId="0" borderId="0" xfId="12" applyNumberFormat="1" applyFont="1"/>
    <xf numFmtId="166" fontId="23" fillId="0" borderId="0" xfId="12" applyNumberFormat="1" applyFont="1"/>
    <xf numFmtId="0" fontId="12" fillId="0" borderId="0" xfId="12" quotePrefix="1" applyFont="1"/>
    <xf numFmtId="0" fontId="23" fillId="0" borderId="0" xfId="12" applyFont="1" applyAlignment="1">
      <alignment wrapText="1"/>
    </xf>
    <xf numFmtId="166" fontId="23" fillId="0" borderId="0" xfId="12" applyNumberFormat="1" applyFont="1" applyAlignment="1">
      <alignment horizontal="left" wrapText="1"/>
    </xf>
    <xf numFmtId="166" fontId="2" fillId="0" borderId="0" xfId="13" applyNumberFormat="1" applyFont="1"/>
    <xf numFmtId="0" fontId="22" fillId="0" borderId="0" xfId="12" applyFont="1" applyAlignment="1">
      <alignment horizontal="center"/>
    </xf>
    <xf numFmtId="166" fontId="22" fillId="0" borderId="0" xfId="12" applyNumberFormat="1" applyFont="1" applyAlignment="1">
      <alignment horizontal="center"/>
    </xf>
    <xf numFmtId="0" fontId="22" fillId="7" borderId="0" xfId="12" applyFont="1" applyFill="1"/>
    <xf numFmtId="0" fontId="24" fillId="7" borderId="0" xfId="12" applyFont="1" applyFill="1"/>
    <xf numFmtId="166" fontId="12" fillId="0" borderId="0" xfId="13" applyNumberFormat="1" applyFont="1" applyFill="1" applyAlignment="1">
      <alignment horizontal="right"/>
    </xf>
    <xf numFmtId="0" fontId="23" fillId="7" borderId="0" xfId="12" applyFont="1" applyFill="1"/>
    <xf numFmtId="0" fontId="12" fillId="7" borderId="0" xfId="12" applyFont="1" applyFill="1"/>
    <xf numFmtId="166" fontId="24" fillId="0" borderId="0" xfId="12" applyNumberFormat="1" applyFont="1" applyAlignment="1">
      <alignment vertical="top"/>
    </xf>
    <xf numFmtId="4" fontId="24" fillId="0" borderId="0" xfId="12" applyNumberFormat="1" applyFont="1" applyAlignment="1">
      <alignment vertical="top"/>
    </xf>
    <xf numFmtId="166" fontId="43" fillId="0" borderId="0" xfId="12" applyNumberFormat="1" applyFont="1"/>
    <xf numFmtId="166" fontId="24" fillId="0" borderId="23" xfId="12" applyNumberFormat="1" applyFont="1" applyBorder="1"/>
    <xf numFmtId="166" fontId="24" fillId="0" borderId="24" xfId="12" applyNumberFormat="1" applyFont="1" applyBorder="1"/>
    <xf numFmtId="166" fontId="12" fillId="0" borderId="0" xfId="10" applyNumberFormat="1" applyFont="1"/>
    <xf numFmtId="166" fontId="18" fillId="5" borderId="19" xfId="12" applyNumberFormat="1" applyFont="1" applyFill="1" applyBorder="1" applyAlignment="1">
      <alignment horizontal="center" vertical="center"/>
    </xf>
    <xf numFmtId="0" fontId="24" fillId="0" borderId="0" xfId="12" applyFont="1" applyAlignment="1">
      <alignment vertical="center"/>
    </xf>
    <xf numFmtId="166" fontId="18" fillId="5" borderId="22" xfId="12" applyNumberFormat="1" applyFont="1" applyFill="1" applyBorder="1" applyAlignment="1">
      <alignment horizontal="center" vertical="center"/>
    </xf>
    <xf numFmtId="0" fontId="28" fillId="0" borderId="0" xfId="12" applyFont="1"/>
    <xf numFmtId="167" fontId="35" fillId="0" borderId="0" xfId="12" applyNumberFormat="1" applyFont="1"/>
    <xf numFmtId="4" fontId="28" fillId="0" borderId="0" xfId="12" applyNumberFormat="1" applyFont="1"/>
    <xf numFmtId="0" fontId="35" fillId="0" borderId="0" xfId="12" applyFont="1" applyAlignment="1">
      <alignment vertical="center"/>
    </xf>
    <xf numFmtId="4" fontId="24" fillId="0" borderId="0" xfId="12" applyNumberFormat="1" applyFont="1"/>
    <xf numFmtId="4" fontId="44" fillId="5" borderId="0" xfId="12" applyNumberFormat="1" applyFont="1" applyFill="1" applyAlignment="1">
      <alignment horizontal="center"/>
    </xf>
    <xf numFmtId="0" fontId="28" fillId="0" borderId="0" xfId="12" applyFont="1" applyAlignment="1">
      <alignment horizontal="center"/>
    </xf>
    <xf numFmtId="4" fontId="28" fillId="0" borderId="0" xfId="12" applyNumberFormat="1" applyFont="1" applyAlignment="1">
      <alignment horizontal="center"/>
    </xf>
    <xf numFmtId="0" fontId="26" fillId="0" borderId="0" xfId="12" applyFont="1" applyAlignment="1">
      <alignment horizontal="right"/>
    </xf>
    <xf numFmtId="0" fontId="24" fillId="0" borderId="0" xfId="12" applyFont="1" applyAlignment="1">
      <alignment wrapText="1"/>
    </xf>
    <xf numFmtId="0" fontId="24" fillId="0" borderId="0" xfId="12" quotePrefix="1" applyFont="1"/>
    <xf numFmtId="0" fontId="26" fillId="0" borderId="0" xfId="12" applyFont="1" applyAlignment="1">
      <alignment wrapText="1"/>
    </xf>
    <xf numFmtId="4" fontId="35" fillId="0" borderId="0" xfId="12" applyNumberFormat="1" applyFont="1" applyAlignment="1">
      <alignment vertical="center"/>
    </xf>
    <xf numFmtId="4" fontId="26" fillId="0" borderId="0" xfId="12" applyNumberFormat="1" applyFont="1"/>
    <xf numFmtId="4" fontId="24" fillId="8" borderId="0" xfId="12" applyNumberFormat="1" applyFont="1" applyFill="1"/>
    <xf numFmtId="4" fontId="12" fillId="0" borderId="0" xfId="12" applyNumberFormat="1" applyFont="1" applyAlignment="1">
      <alignment vertical="center"/>
    </xf>
    <xf numFmtId="0" fontId="28" fillId="0" borderId="0" xfId="12" applyFont="1" applyAlignment="1">
      <alignment horizontal="left"/>
    </xf>
    <xf numFmtId="0" fontId="35" fillId="0" borderId="0" xfId="12" applyFont="1" applyAlignment="1">
      <alignment vertical="center"/>
    </xf>
    <xf numFmtId="0" fontId="44" fillId="5" borderId="0" xfId="12" applyFont="1" applyFill="1" applyAlignment="1">
      <alignment horizontal="center" vertical="center"/>
    </xf>
    <xf numFmtId="0" fontId="18" fillId="5" borderId="17" xfId="12" applyFont="1" applyFill="1" applyBorder="1" applyAlignment="1">
      <alignment horizontal="center" vertical="center"/>
    </xf>
    <xf numFmtId="0" fontId="6" fillId="0" borderId="18" xfId="12" applyFont="1" applyBorder="1" applyAlignment="1">
      <alignment vertical="center"/>
    </xf>
    <xf numFmtId="0" fontId="6" fillId="0" borderId="20" xfId="12" applyFont="1" applyBorder="1" applyAlignment="1">
      <alignment vertical="center"/>
    </xf>
    <xf numFmtId="0" fontId="6" fillId="0" borderId="21" xfId="12" applyFont="1" applyBorder="1" applyAlignment="1">
      <alignment vertical="center"/>
    </xf>
    <xf numFmtId="0" fontId="27" fillId="0" borderId="0" xfId="12" applyFont="1" applyAlignment="1">
      <alignment horizontal="left" wrapText="1"/>
    </xf>
    <xf numFmtId="0" fontId="28" fillId="0" borderId="0" xfId="12" applyFont="1"/>
    <xf numFmtId="14" fontId="23" fillId="0" borderId="0" xfId="12" applyNumberFormat="1" applyFont="1" applyAlignment="1">
      <alignment horizontal="left"/>
    </xf>
    <xf numFmtId="0" fontId="24" fillId="0" borderId="0" xfId="12" applyFont="1"/>
    <xf numFmtId="0" fontId="2" fillId="0" borderId="18" xfId="12" applyFont="1" applyBorder="1"/>
    <xf numFmtId="0" fontId="2" fillId="0" borderId="20" xfId="12" applyFont="1" applyBorder="1"/>
    <xf numFmtId="0" fontId="2" fillId="0" borderId="21" xfId="12" applyFont="1" applyBorder="1"/>
    <xf numFmtId="0" fontId="35" fillId="0" borderId="0" xfId="12" applyFont="1"/>
    <xf numFmtId="0" fontId="5" fillId="0" borderId="0" xfId="0" applyFont="1" applyAlignment="1">
      <alignment horizontal="left"/>
    </xf>
    <xf numFmtId="0" fontId="16" fillId="4" borderId="2" xfId="0" applyFont="1" applyFill="1" applyBorder="1" applyAlignment="1">
      <alignment horizontal="center" vertical="center"/>
    </xf>
    <xf numFmtId="0" fontId="16" fillId="4" borderId="7" xfId="0" applyFont="1" applyFill="1" applyBorder="1" applyAlignment="1">
      <alignment horizontal="center" vertical="center"/>
    </xf>
    <xf numFmtId="14" fontId="10" fillId="0" borderId="0" xfId="0" quotePrefix="1" applyNumberFormat="1" applyFont="1" applyAlignment="1">
      <alignment horizontal="left"/>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left" wrapText="1"/>
    </xf>
    <xf numFmtId="0" fontId="18" fillId="4" borderId="8" xfId="0" applyFont="1" applyFill="1" applyBorder="1" applyAlignment="1">
      <alignment horizontal="center" vertical="center"/>
    </xf>
    <xf numFmtId="0" fontId="18" fillId="4" borderId="7" xfId="0" applyFont="1" applyFill="1" applyBorder="1" applyAlignment="1">
      <alignment horizontal="center" vertical="center"/>
    </xf>
    <xf numFmtId="0" fontId="10" fillId="0" borderId="0" xfId="0" applyFont="1" applyAlignment="1">
      <alignment horizontal="left" wrapText="1" indent="1"/>
    </xf>
    <xf numFmtId="0" fontId="16" fillId="4" borderId="1" xfId="0" applyFont="1" applyFill="1" applyBorder="1" applyAlignment="1">
      <alignment horizontal="center" vertical="center"/>
    </xf>
    <xf numFmtId="0" fontId="16" fillId="4" borderId="8" xfId="0" applyFont="1" applyFill="1" applyBorder="1" applyAlignment="1">
      <alignment horizontal="center" vertical="center"/>
    </xf>
    <xf numFmtId="0" fontId="5" fillId="0" borderId="0" xfId="2" applyFont="1" applyAlignment="1">
      <alignment horizontal="left"/>
    </xf>
    <xf numFmtId="0" fontId="16" fillId="4" borderId="1" xfId="2" applyFont="1" applyFill="1" applyBorder="1" applyAlignment="1">
      <alignment horizontal="center" vertical="center"/>
    </xf>
    <xf numFmtId="0" fontId="16" fillId="4" borderId="2" xfId="2" applyFont="1" applyFill="1" applyBorder="1" applyAlignment="1">
      <alignment horizontal="center" vertical="center"/>
    </xf>
    <xf numFmtId="0" fontId="16" fillId="4" borderId="8" xfId="2" applyFont="1" applyFill="1" applyBorder="1" applyAlignment="1">
      <alignment horizontal="center" vertical="center"/>
    </xf>
    <xf numFmtId="0" fontId="16" fillId="4" borderId="7" xfId="2" applyFont="1" applyFill="1" applyBorder="1" applyAlignment="1">
      <alignment horizontal="center" vertical="center"/>
    </xf>
    <xf numFmtId="0" fontId="5" fillId="0" borderId="0" xfId="3" applyFont="1" applyAlignment="1">
      <alignment horizontal="left"/>
    </xf>
    <xf numFmtId="0" fontId="16" fillId="4" borderId="2" xfId="3" applyFont="1" applyFill="1" applyBorder="1" applyAlignment="1">
      <alignment horizontal="center" vertical="center"/>
    </xf>
    <xf numFmtId="0" fontId="16" fillId="4" borderId="7" xfId="3" applyFont="1" applyFill="1" applyBorder="1" applyAlignment="1">
      <alignment horizontal="center" vertical="center"/>
    </xf>
    <xf numFmtId="0" fontId="16" fillId="4" borderId="2" xfId="2" applyFont="1" applyFill="1" applyBorder="1" applyAlignment="1">
      <alignment horizontal="center"/>
    </xf>
    <xf numFmtId="0" fontId="16" fillId="4" borderId="7" xfId="2" applyFont="1" applyFill="1" applyBorder="1" applyAlignment="1">
      <alignment horizontal="center"/>
    </xf>
    <xf numFmtId="0" fontId="16" fillId="4" borderId="9" xfId="2" applyFont="1" applyFill="1" applyBorder="1" applyAlignment="1">
      <alignment horizontal="center" vertical="center"/>
    </xf>
    <xf numFmtId="0" fontId="16" fillId="4" borderId="6" xfId="2" applyFont="1" applyFill="1" applyBorder="1" applyAlignment="1">
      <alignment horizontal="center" vertical="center"/>
    </xf>
    <xf numFmtId="0" fontId="16" fillId="4" borderId="4" xfId="2" applyFont="1" applyFill="1" applyBorder="1" applyAlignment="1">
      <alignment horizontal="center"/>
    </xf>
    <xf numFmtId="0" fontId="16" fillId="4" borderId="0" xfId="2" applyFont="1" applyFill="1" applyAlignment="1">
      <alignment horizontal="center"/>
    </xf>
    <xf numFmtId="0" fontId="2" fillId="0" borderId="0" xfId="12" applyFont="1" applyAlignment="1">
      <alignment vertical="center"/>
    </xf>
    <xf numFmtId="4" fontId="5" fillId="5" borderId="0" xfId="12" applyNumberFormat="1" applyFont="1" applyFill="1" applyAlignment="1">
      <alignment horizontal="center"/>
    </xf>
    <xf numFmtId="4" fontId="18" fillId="5" borderId="0" xfId="12" applyNumberFormat="1" applyFont="1" applyFill="1" applyAlignment="1">
      <alignment horizontal="center"/>
    </xf>
    <xf numFmtId="4" fontId="5" fillId="0" borderId="0" xfId="12" applyNumberFormat="1" applyFont="1" applyAlignment="1">
      <alignment horizontal="center"/>
    </xf>
    <xf numFmtId="4" fontId="45" fillId="6" borderId="0" xfId="12" applyNumberFormat="1" applyFont="1" applyFill="1"/>
    <xf numFmtId="4" fontId="8" fillId="6" borderId="0" xfId="12" applyNumberFormat="1" applyFont="1" applyFill="1"/>
    <xf numFmtId="4" fontId="45" fillId="0" borderId="0" xfId="12" applyNumberFormat="1" applyFont="1"/>
    <xf numFmtId="4" fontId="6" fillId="0" borderId="0" xfId="12" applyNumberFormat="1" applyFont="1"/>
    <xf numFmtId="4" fontId="28" fillId="6" borderId="0" xfId="12" applyNumberFormat="1" applyFont="1" applyFill="1"/>
    <xf numFmtId="4" fontId="5" fillId="6" borderId="0" xfId="12" applyNumberFormat="1" applyFont="1" applyFill="1"/>
    <xf numFmtId="0" fontId="24" fillId="8" borderId="0" xfId="12" applyFont="1" applyFill="1" applyAlignment="1">
      <alignment horizontal="left"/>
    </xf>
    <xf numFmtId="4" fontId="6" fillId="0" borderId="0" xfId="12" applyNumberFormat="1" applyFont="1" applyAlignment="1">
      <alignment horizontal="right"/>
    </xf>
    <xf numFmtId="0" fontId="6" fillId="0" borderId="0" xfId="12" applyFont="1"/>
    <xf numFmtId="0" fontId="28" fillId="8" borderId="0" xfId="12" applyFont="1" applyFill="1"/>
    <xf numFmtId="0" fontId="24" fillId="8" borderId="0" xfId="12" applyFont="1" applyFill="1"/>
    <xf numFmtId="4" fontId="45" fillId="8" borderId="0" xfId="12" applyNumberFormat="1" applyFont="1" applyFill="1"/>
    <xf numFmtId="4" fontId="8" fillId="8" borderId="0" xfId="12" applyNumberFormat="1" applyFont="1" applyFill="1"/>
    <xf numFmtId="4" fontId="24" fillId="3" borderId="0" xfId="12" applyNumberFormat="1" applyFont="1" applyFill="1"/>
    <xf numFmtId="0" fontId="24" fillId="9" borderId="0" xfId="12" applyFont="1" applyFill="1"/>
    <xf numFmtId="4" fontId="24" fillId="9" borderId="0" xfId="12" applyNumberFormat="1" applyFont="1" applyFill="1"/>
    <xf numFmtId="4" fontId="6" fillId="9" borderId="0" xfId="12" applyNumberFormat="1" applyFont="1" applyFill="1"/>
    <xf numFmtId="4" fontId="8" fillId="0" borderId="0" xfId="12" applyNumberFormat="1" applyFont="1"/>
    <xf numFmtId="4" fontId="2" fillId="0" borderId="0" xfId="12" applyNumberFormat="1" applyFont="1" applyAlignment="1">
      <alignment vertical="center"/>
    </xf>
    <xf numFmtId="4" fontId="10" fillId="0" borderId="0" xfId="12" applyNumberFormat="1" applyFont="1"/>
    <xf numFmtId="0" fontId="46" fillId="0" borderId="0" xfId="12" applyFont="1" applyAlignment="1">
      <alignment vertical="center"/>
    </xf>
  </cellXfs>
  <cellStyles count="14">
    <cellStyle name="Comma" xfId="1" builtinId="3"/>
    <cellStyle name="Comma 2" xfId="4" xr:uid="{00000000-0005-0000-0000-000001000000}"/>
    <cellStyle name="Comma 2 2" xfId="11" xr:uid="{0191AD67-8D85-461A-A89F-F72878C69920}"/>
    <cellStyle name="Comma 2 3" xfId="13" xr:uid="{779B4C8E-38A5-E84E-B7E4-DD24E60E9D9B}"/>
    <cellStyle name="Comma 3" xfId="5" xr:uid="{00000000-0005-0000-0000-000002000000}"/>
    <cellStyle name="Comma 4" xfId="7" xr:uid="{507C27BD-FD22-4F58-9D68-67D5F5B16051}"/>
    <cellStyle name="Comma 5" xfId="8" xr:uid="{261D41EA-605C-4B8F-BD38-6B9B56EE0229}"/>
    <cellStyle name="Comma 6" xfId="10" xr:uid="{F3745CC7-3F1F-4907-8FEF-9A938BD04BEE}"/>
    <cellStyle name="Normal" xfId="0" builtinId="0"/>
    <cellStyle name="Normal 2" xfId="2" xr:uid="{00000000-0005-0000-0000-000004000000}"/>
    <cellStyle name="Normal 2 2" xfId="3" xr:uid="{00000000-0005-0000-0000-000005000000}"/>
    <cellStyle name="Normal 2 3" xfId="9" xr:uid="{20DD6A6F-9B41-46A5-B0B9-AFC50E8FCC53}"/>
    <cellStyle name="Normal 2 4" xfId="12" xr:uid="{9305AB76-1371-E645-9F0D-8B85CA2A109F}"/>
    <cellStyle name="Normal 3" xfId="6" xr:uid="{2BD784DB-C138-4E16-B13C-B18C7F617F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JPSANTIAGO\FEES%20and%20Other%20Collections\Fees%20and%20Charges%20CY2023_as%20of%2001Mar2024.xlsx" TargetMode="External"/><Relationship Id="rId1" Type="http://schemas.openxmlformats.org/officeDocument/2006/relationships/externalLinkPath" Target="file:///Z:\JPSANTIAGO\FEES%20and%20Other%20Collections\Fees%20and%20Charges%20CY2023_as%20of%2001Ma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es and Charges CY2024"/>
      <sheetName val="Fees and Charges CY2023"/>
      <sheetName val="Fees and Charges CY2022"/>
      <sheetName val="Sheet9"/>
      <sheetName val="DENR -Tax on Forest Products (F"/>
      <sheetName val="DENR_FY2023"/>
      <sheetName val="DENR_FY2024"/>
    </sheetNames>
    <sheetDataSet>
      <sheetData sheetId="0"/>
      <sheetData sheetId="1"/>
      <sheetData sheetId="2"/>
      <sheetData sheetId="3"/>
      <sheetData sheetId="4"/>
      <sheetData sheetId="5">
        <row r="10">
          <cell r="C10">
            <v>169353808.11000001</v>
          </cell>
          <cell r="D10">
            <v>41610177.06000001</v>
          </cell>
          <cell r="E10">
            <v>163852411.75</v>
          </cell>
          <cell r="F10">
            <v>127076531.22999999</v>
          </cell>
          <cell r="G10">
            <v>144916682.93000001</v>
          </cell>
          <cell r="H10">
            <v>104375957.81</v>
          </cell>
          <cell r="I10">
            <v>98864069.910000011</v>
          </cell>
          <cell r="J10">
            <v>63892858.999999993</v>
          </cell>
          <cell r="K10">
            <v>97867676.210000023</v>
          </cell>
          <cell r="L10">
            <v>92743712.560000002</v>
          </cell>
          <cell r="M10">
            <v>73142106.229999989</v>
          </cell>
          <cell r="N10">
            <v>154982660.54000002</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1B0A-28E8-4130-A5CC-D3008FB0D5E9}">
  <dimension ref="A1:O1729"/>
  <sheetViews>
    <sheetView tabSelected="1" zoomScaleNormal="100" zoomScaleSheetLayoutView="40" workbookViewId="0">
      <pane xSplit="1" ySplit="8" topLeftCell="B9" activePane="bottomRight" state="frozen"/>
      <selection pane="topRight" activeCell="C1" sqref="C1"/>
      <selection pane="bottomLeft" activeCell="A9" sqref="A9"/>
      <selection pane="bottomRight" activeCell="P43" sqref="P43"/>
    </sheetView>
  </sheetViews>
  <sheetFormatPr defaultColWidth="12.5703125" defaultRowHeight="15" customHeight="1" x14ac:dyDescent="0.2"/>
  <cols>
    <col min="1" max="1" width="4.140625" style="272" customWidth="1"/>
    <col min="2" max="2" width="76.28515625" style="272" bestFit="1" customWidth="1"/>
    <col min="3" max="3" width="18" style="272" bestFit="1" customWidth="1"/>
    <col min="4" max="14" width="16.140625" style="272" bestFit="1" customWidth="1"/>
    <col min="15" max="15" width="19.7109375" style="329" bestFit="1" customWidth="1"/>
    <col min="16" max="16384" width="12.5703125" style="272"/>
  </cols>
  <sheetData>
    <row r="1" spans="1:15" ht="16.5" customHeight="1" x14ac:dyDescent="0.25">
      <c r="A1" s="269" t="s">
        <v>1115</v>
      </c>
      <c r="B1" s="269"/>
      <c r="C1" s="271"/>
    </row>
    <row r="2" spans="1:15" ht="16.5" customHeight="1" x14ac:dyDescent="0.25">
      <c r="A2" s="285" t="s">
        <v>1116</v>
      </c>
      <c r="B2" s="286"/>
      <c r="C2" s="286"/>
    </row>
    <row r="3" spans="1:15" x14ac:dyDescent="0.25">
      <c r="A3" s="269" t="s">
        <v>827</v>
      </c>
      <c r="B3" s="220"/>
      <c r="C3" s="273" t="s">
        <v>6</v>
      </c>
    </row>
    <row r="4" spans="1:15" ht="14.25" x14ac:dyDescent="0.2">
      <c r="A4" s="220" t="s">
        <v>1128</v>
      </c>
      <c r="B4" s="220"/>
      <c r="C4" s="273"/>
    </row>
    <row r="5" spans="1:15" ht="12.75" x14ac:dyDescent="0.2"/>
    <row r="6" spans="1:15" ht="18.75" customHeight="1" x14ac:dyDescent="0.25">
      <c r="A6" s="287" t="s">
        <v>5</v>
      </c>
      <c r="B6" s="286"/>
      <c r="C6" s="274" t="s">
        <v>6</v>
      </c>
      <c r="D6" s="274" t="s">
        <v>6</v>
      </c>
      <c r="E6" s="274" t="s">
        <v>6</v>
      </c>
      <c r="F6" s="274"/>
      <c r="G6" s="274"/>
      <c r="H6" s="274"/>
      <c r="I6" s="274"/>
      <c r="J6" s="274"/>
      <c r="K6" s="274"/>
      <c r="L6" s="274"/>
      <c r="M6" s="274"/>
      <c r="N6" s="274"/>
      <c r="O6" s="330" t="s">
        <v>6</v>
      </c>
    </row>
    <row r="7" spans="1:15" ht="18.75" customHeight="1" x14ac:dyDescent="0.25">
      <c r="A7" s="286"/>
      <c r="B7" s="286"/>
      <c r="C7" s="274" t="s">
        <v>7</v>
      </c>
      <c r="D7" s="274" t="s">
        <v>8</v>
      </c>
      <c r="E7" s="274" t="s">
        <v>9</v>
      </c>
      <c r="F7" s="274" t="s">
        <v>10</v>
      </c>
      <c r="G7" s="274" t="s">
        <v>11</v>
      </c>
      <c r="H7" s="274" t="s">
        <v>12</v>
      </c>
      <c r="I7" s="274" t="s">
        <v>13</v>
      </c>
      <c r="J7" s="274" t="s">
        <v>14</v>
      </c>
      <c r="K7" s="274" t="s">
        <v>237</v>
      </c>
      <c r="L7" s="274" t="s">
        <v>16</v>
      </c>
      <c r="M7" s="274" t="s">
        <v>17</v>
      </c>
      <c r="N7" s="274" t="s">
        <v>18</v>
      </c>
      <c r="O7" s="331" t="s">
        <v>238</v>
      </c>
    </row>
    <row r="8" spans="1:15" x14ac:dyDescent="0.25">
      <c r="A8" s="275"/>
      <c r="B8" s="275"/>
      <c r="C8" s="276"/>
      <c r="D8" s="276"/>
      <c r="E8" s="276"/>
      <c r="F8" s="276"/>
      <c r="G8" s="276"/>
      <c r="H8" s="276"/>
      <c r="I8" s="276"/>
      <c r="J8" s="276"/>
      <c r="K8" s="276"/>
      <c r="L8" s="276"/>
      <c r="M8" s="276"/>
      <c r="N8" s="276"/>
      <c r="O8" s="332"/>
    </row>
    <row r="9" spans="1:15" ht="15.75" customHeight="1" x14ac:dyDescent="0.25">
      <c r="A9" s="217" t="s">
        <v>1103</v>
      </c>
      <c r="B9" s="230"/>
      <c r="C9" s="333">
        <v>0.53252999999999995</v>
      </c>
      <c r="D9" s="333">
        <v>4.9579999999999999E-2</v>
      </c>
      <c r="E9" s="333">
        <v>0.36660500000000001</v>
      </c>
      <c r="F9" s="333">
        <v>0.13041406</v>
      </c>
      <c r="G9" s="333">
        <v>0.31768000000000002</v>
      </c>
      <c r="H9" s="333">
        <v>1.0891999999999999</v>
      </c>
      <c r="I9" s="333">
        <v>0.12565999999999999</v>
      </c>
      <c r="J9" s="333">
        <v>0.391185</v>
      </c>
      <c r="K9" s="333">
        <v>7.356E-2</v>
      </c>
      <c r="L9" s="333">
        <v>0.15160000000000001</v>
      </c>
      <c r="M9" s="333">
        <v>1.16668693</v>
      </c>
      <c r="N9" s="333">
        <v>5.2900000000000003E-2</v>
      </c>
      <c r="O9" s="334">
        <v>4.4476009900000006</v>
      </c>
    </row>
    <row r="10" spans="1:15" ht="15.75" customHeight="1" x14ac:dyDescent="0.2">
      <c r="A10" s="231"/>
      <c r="B10" s="220" t="s">
        <v>47</v>
      </c>
      <c r="C10" s="273">
        <v>0.53252999999999995</v>
      </c>
      <c r="D10" s="273">
        <v>4.9579999999999999E-2</v>
      </c>
      <c r="E10" s="273">
        <v>0.36660500000000001</v>
      </c>
      <c r="F10" s="273">
        <v>0.13041406</v>
      </c>
      <c r="G10" s="273">
        <v>0.31768000000000002</v>
      </c>
      <c r="H10" s="273">
        <v>1.0891999999999999</v>
      </c>
      <c r="I10" s="273">
        <v>0.12565999999999999</v>
      </c>
      <c r="J10" s="273">
        <v>0.391185</v>
      </c>
      <c r="K10" s="273">
        <v>7.356E-2</v>
      </c>
      <c r="L10" s="273">
        <v>0.15160000000000001</v>
      </c>
      <c r="M10" s="273">
        <v>1.16668693</v>
      </c>
      <c r="N10" s="273">
        <v>5.2900000000000003E-2</v>
      </c>
      <c r="O10" s="336">
        <v>4.4476009900000006</v>
      </c>
    </row>
    <row r="11" spans="1:15" ht="15.75" customHeight="1" x14ac:dyDescent="0.25">
      <c r="A11" s="269"/>
      <c r="B11" s="220"/>
      <c r="C11" s="273"/>
      <c r="D11" s="273"/>
      <c r="E11" s="273"/>
      <c r="F11" s="273"/>
      <c r="G11" s="273"/>
      <c r="H11" s="273"/>
      <c r="I11" s="273"/>
      <c r="J11" s="273"/>
      <c r="K11" s="273"/>
      <c r="L11" s="273"/>
      <c r="M11" s="273"/>
      <c r="N11" s="273"/>
      <c r="O11" s="336"/>
    </row>
    <row r="12" spans="1:15" ht="15.75" customHeight="1" x14ac:dyDescent="0.25">
      <c r="A12" s="217" t="s">
        <v>687</v>
      </c>
      <c r="B12" s="217"/>
      <c r="C12" s="337">
        <v>0.39923878999999995</v>
      </c>
      <c r="D12" s="337">
        <v>0.29081678999999999</v>
      </c>
      <c r="E12" s="337">
        <v>0.24088599999999999</v>
      </c>
      <c r="F12" s="337">
        <v>0.44351699999999999</v>
      </c>
      <c r="G12" s="337">
        <v>0.64036400000000004</v>
      </c>
      <c r="H12" s="337">
        <v>0.50102999999999998</v>
      </c>
      <c r="I12" s="337">
        <v>0.51237920000000003</v>
      </c>
      <c r="J12" s="337">
        <v>0.57772900000000005</v>
      </c>
      <c r="K12" s="337">
        <v>0.440168</v>
      </c>
      <c r="L12" s="337">
        <v>0.35644049999999999</v>
      </c>
      <c r="M12" s="337">
        <v>0.64573999999999998</v>
      </c>
      <c r="N12" s="337">
        <v>0.17777000000000001</v>
      </c>
      <c r="O12" s="338">
        <v>5.2260792799999995</v>
      </c>
    </row>
    <row r="13" spans="1:15" ht="15.75" customHeight="1" x14ac:dyDescent="0.2">
      <c r="A13" s="231"/>
      <c r="B13" s="220" t="s">
        <v>828</v>
      </c>
      <c r="C13" s="273">
        <v>0.39923878999999995</v>
      </c>
      <c r="D13" s="273">
        <v>0.29081678999999999</v>
      </c>
      <c r="E13" s="273">
        <v>0.24088599999999999</v>
      </c>
      <c r="F13" s="273">
        <v>0.44351699999999999</v>
      </c>
      <c r="G13" s="273">
        <v>0.64036400000000004</v>
      </c>
      <c r="H13" s="273">
        <v>0.50102999999999998</v>
      </c>
      <c r="I13" s="273">
        <v>0.51237920000000003</v>
      </c>
      <c r="J13" s="273">
        <v>0.57772900000000005</v>
      </c>
      <c r="K13" s="273">
        <v>0.440168</v>
      </c>
      <c r="L13" s="273">
        <v>0.35644049999999999</v>
      </c>
      <c r="M13" s="273">
        <v>0.64573999999999998</v>
      </c>
      <c r="N13" s="273">
        <v>0.17777000000000001</v>
      </c>
      <c r="O13" s="336">
        <v>5.2260792799999995</v>
      </c>
    </row>
    <row r="14" spans="1:15" ht="15.75" customHeight="1" x14ac:dyDescent="0.2">
      <c r="A14" s="220"/>
      <c r="B14" s="220"/>
      <c r="C14" s="273"/>
      <c r="D14" s="273"/>
      <c r="E14" s="273"/>
      <c r="F14" s="273"/>
      <c r="G14" s="273"/>
      <c r="H14" s="273"/>
      <c r="I14" s="273"/>
      <c r="J14" s="273"/>
      <c r="K14" s="273"/>
      <c r="L14" s="273"/>
      <c r="M14" s="273"/>
      <c r="N14" s="273"/>
      <c r="O14" s="336"/>
    </row>
    <row r="15" spans="1:15" ht="15.75" customHeight="1" x14ac:dyDescent="0.25">
      <c r="A15" s="217" t="s">
        <v>54</v>
      </c>
      <c r="B15" s="230"/>
      <c r="C15" s="333">
        <v>61.190085019999998</v>
      </c>
      <c r="D15" s="333">
        <v>68.365781290000001</v>
      </c>
      <c r="E15" s="333">
        <v>76.465711659999997</v>
      </c>
      <c r="F15" s="333">
        <v>68.64653924000001</v>
      </c>
      <c r="G15" s="333">
        <v>81.483606989999998</v>
      </c>
      <c r="H15" s="333">
        <v>76.697351670000003</v>
      </c>
      <c r="I15" s="333">
        <v>80.677852970000004</v>
      </c>
      <c r="J15" s="333">
        <v>83.537140440000002</v>
      </c>
      <c r="K15" s="333">
        <v>427.16925705999995</v>
      </c>
      <c r="L15" s="333">
        <v>93.785534139999996</v>
      </c>
      <c r="M15" s="333">
        <v>92.025897380000004</v>
      </c>
      <c r="N15" s="333">
        <v>1000.8958320300001</v>
      </c>
      <c r="O15" s="334">
        <v>2210.94058989</v>
      </c>
    </row>
    <row r="16" spans="1:15" ht="15.75" customHeight="1" x14ac:dyDescent="0.2">
      <c r="A16" s="231"/>
      <c r="B16" s="220" t="s">
        <v>756</v>
      </c>
      <c r="C16" s="273">
        <v>27.913831120000001</v>
      </c>
      <c r="D16" s="273">
        <v>29.663054690000003</v>
      </c>
      <c r="E16" s="273">
        <v>34.488762430000001</v>
      </c>
      <c r="F16" s="273">
        <v>42.360203090000006</v>
      </c>
      <c r="G16" s="273">
        <v>40.718052700000001</v>
      </c>
      <c r="H16" s="273">
        <v>39.394177899999995</v>
      </c>
      <c r="I16" s="273">
        <v>43.786422100000003</v>
      </c>
      <c r="J16" s="273">
        <v>41.984571409999994</v>
      </c>
      <c r="K16" s="273">
        <v>386.22467876000002</v>
      </c>
      <c r="L16" s="273">
        <v>50.865559310000002</v>
      </c>
      <c r="M16" s="273">
        <v>47.077708020000003</v>
      </c>
      <c r="N16" s="273">
        <v>929.88140959000009</v>
      </c>
      <c r="O16" s="336">
        <v>1714.3584311200002</v>
      </c>
    </row>
    <row r="17" spans="1:15" ht="15.75" customHeight="1" x14ac:dyDescent="0.2">
      <c r="A17" s="231"/>
      <c r="B17" s="220" t="s">
        <v>58</v>
      </c>
      <c r="C17" s="273">
        <v>3.504664</v>
      </c>
      <c r="D17" s="273">
        <v>1.7227435200000001</v>
      </c>
      <c r="E17" s="273">
        <v>2.4752292400000004</v>
      </c>
      <c r="F17" s="273">
        <v>2.2505056299999997</v>
      </c>
      <c r="G17" s="273">
        <v>1.4963782400000001</v>
      </c>
      <c r="H17" s="273">
        <v>0.96604500000000004</v>
      </c>
      <c r="I17" s="273">
        <v>0.91813696</v>
      </c>
      <c r="J17" s="273">
        <v>2.0182929999999999</v>
      </c>
      <c r="K17" s="273">
        <v>1.7650121200000002</v>
      </c>
      <c r="L17" s="273">
        <v>1.8225261000000001</v>
      </c>
      <c r="M17" s="273">
        <v>1.3523849999999999</v>
      </c>
      <c r="N17" s="273">
        <v>1.278227</v>
      </c>
      <c r="O17" s="336">
        <v>21.57014581</v>
      </c>
    </row>
    <row r="18" spans="1:15" ht="15.75" customHeight="1" x14ac:dyDescent="0.2">
      <c r="A18" s="231"/>
      <c r="B18" s="220" t="s">
        <v>63</v>
      </c>
      <c r="C18" s="273">
        <v>6.8441555699999999</v>
      </c>
      <c r="D18" s="273">
        <v>10.306055000000001</v>
      </c>
      <c r="E18" s="273">
        <v>6.9410400000000001</v>
      </c>
      <c r="F18" s="273">
        <v>10.175355060000001</v>
      </c>
      <c r="G18" s="273">
        <v>8.9553550000000008</v>
      </c>
      <c r="H18" s="273">
        <v>9.6435549999999992</v>
      </c>
      <c r="I18" s="273">
        <v>11.754659999999999</v>
      </c>
      <c r="J18" s="273">
        <v>9.5119500000000006</v>
      </c>
      <c r="K18" s="273">
        <v>12.22999049</v>
      </c>
      <c r="L18" s="273">
        <v>10.871865</v>
      </c>
      <c r="M18" s="273">
        <v>11.462442019999999</v>
      </c>
      <c r="N18" s="273">
        <v>10.132463490000001</v>
      </c>
      <c r="O18" s="336">
        <v>118.82888663</v>
      </c>
    </row>
    <row r="19" spans="1:15" ht="15.75" customHeight="1" x14ac:dyDescent="0.2">
      <c r="A19" s="231"/>
      <c r="B19" s="220" t="s">
        <v>720</v>
      </c>
      <c r="C19" s="273">
        <v>22.711999329999998</v>
      </c>
      <c r="D19" s="273">
        <v>26.506898079999999</v>
      </c>
      <c r="E19" s="273">
        <v>32.400787989999998</v>
      </c>
      <c r="F19" s="273">
        <v>13.727645460000002</v>
      </c>
      <c r="G19" s="273">
        <v>30.126713049999999</v>
      </c>
      <c r="H19" s="273">
        <v>26.48270977</v>
      </c>
      <c r="I19" s="273">
        <v>24.095783910000002</v>
      </c>
      <c r="J19" s="273">
        <v>29.917845030000002</v>
      </c>
      <c r="K19" s="273">
        <v>26.857843690000003</v>
      </c>
      <c r="L19" s="273">
        <v>30.22558373</v>
      </c>
      <c r="M19" s="273">
        <v>32.133362339999998</v>
      </c>
      <c r="N19" s="273">
        <v>59.603731950000004</v>
      </c>
      <c r="O19" s="336">
        <v>354.79090433000005</v>
      </c>
    </row>
    <row r="20" spans="1:15" ht="15.75" customHeight="1" x14ac:dyDescent="0.2">
      <c r="A20" s="231"/>
      <c r="B20" s="220" t="s">
        <v>835</v>
      </c>
      <c r="C20" s="273">
        <v>0.15264900000000001</v>
      </c>
      <c r="D20" s="273">
        <v>0</v>
      </c>
      <c r="E20" s="273">
        <v>0</v>
      </c>
      <c r="F20" s="273">
        <v>0</v>
      </c>
      <c r="G20" s="273">
        <v>0</v>
      </c>
      <c r="H20" s="273">
        <v>0</v>
      </c>
      <c r="I20" s="273">
        <v>0</v>
      </c>
      <c r="J20" s="273">
        <v>0</v>
      </c>
      <c r="K20" s="273">
        <v>0</v>
      </c>
      <c r="L20" s="273">
        <v>0</v>
      </c>
      <c r="M20" s="273">
        <v>0</v>
      </c>
      <c r="N20" s="273">
        <v>0</v>
      </c>
      <c r="O20" s="336">
        <v>0.15264900000000001</v>
      </c>
    </row>
    <row r="21" spans="1:15" ht="15.75" customHeight="1" x14ac:dyDescent="0.2">
      <c r="A21" s="231"/>
      <c r="B21" s="220" t="s">
        <v>836</v>
      </c>
      <c r="C21" s="273">
        <v>6.2785999999999995E-2</v>
      </c>
      <c r="D21" s="273">
        <v>0.16703000000000001</v>
      </c>
      <c r="E21" s="273">
        <v>0.15989200000000001</v>
      </c>
      <c r="F21" s="273">
        <v>0.13283</v>
      </c>
      <c r="G21" s="273">
        <v>0.187108</v>
      </c>
      <c r="H21" s="273">
        <v>0.210864</v>
      </c>
      <c r="I21" s="273">
        <v>0.12285</v>
      </c>
      <c r="J21" s="273">
        <v>0.104481</v>
      </c>
      <c r="K21" s="273">
        <v>9.1731999999999994E-2</v>
      </c>
      <c r="L21" s="273">
        <v>0</v>
      </c>
      <c r="M21" s="273">
        <v>0</v>
      </c>
      <c r="N21" s="273">
        <v>0</v>
      </c>
      <c r="O21" s="336">
        <v>1.2395729999999998</v>
      </c>
    </row>
    <row r="22" spans="1:15" ht="15.75" customHeight="1" x14ac:dyDescent="0.2">
      <c r="A22" s="220"/>
      <c r="B22" s="220"/>
      <c r="C22" s="273"/>
      <c r="D22" s="273"/>
      <c r="E22" s="273"/>
      <c r="F22" s="273"/>
      <c r="G22" s="273"/>
      <c r="H22" s="273"/>
      <c r="I22" s="273"/>
      <c r="J22" s="273"/>
      <c r="K22" s="273"/>
      <c r="L22" s="273"/>
      <c r="M22" s="273"/>
      <c r="N22" s="273"/>
      <c r="O22" s="336"/>
    </row>
    <row r="23" spans="1:15" ht="15.75" customHeight="1" x14ac:dyDescent="0.25">
      <c r="A23" s="217" t="s">
        <v>69</v>
      </c>
      <c r="B23" s="230"/>
      <c r="C23" s="333">
        <v>0</v>
      </c>
      <c r="D23" s="333">
        <v>0.02</v>
      </c>
      <c r="E23" s="333">
        <v>2E-3</v>
      </c>
      <c r="F23" s="333">
        <v>0.39400000000000002</v>
      </c>
      <c r="G23" s="333">
        <v>0.24099999999999999</v>
      </c>
      <c r="H23" s="333">
        <v>0.34739999999999999</v>
      </c>
      <c r="I23" s="333">
        <v>0.12839999999999999</v>
      </c>
      <c r="J23" s="333">
        <v>0.68343699999999996</v>
      </c>
      <c r="K23" s="333">
        <v>3.2000000000000001E-2</v>
      </c>
      <c r="L23" s="333">
        <v>7.2999999999999995E-2</v>
      </c>
      <c r="M23" s="333">
        <v>0.79259999999999997</v>
      </c>
      <c r="N23" s="333">
        <v>2.3E-2</v>
      </c>
      <c r="O23" s="334">
        <v>2.736837</v>
      </c>
    </row>
    <row r="24" spans="1:15" ht="15.75" customHeight="1" x14ac:dyDescent="0.2">
      <c r="A24" s="231"/>
      <c r="B24" s="220" t="s">
        <v>1108</v>
      </c>
      <c r="C24" s="273">
        <v>0</v>
      </c>
      <c r="D24" s="273">
        <v>0.02</v>
      </c>
      <c r="E24" s="273">
        <v>2E-3</v>
      </c>
      <c r="F24" s="273">
        <v>0.39400000000000002</v>
      </c>
      <c r="G24" s="273">
        <v>0.24099999999999999</v>
      </c>
      <c r="H24" s="273">
        <v>0.34739999999999999</v>
      </c>
      <c r="I24" s="273">
        <v>0.12839999999999999</v>
      </c>
      <c r="J24" s="273">
        <v>0.68343699999999996</v>
      </c>
      <c r="K24" s="273">
        <v>3.2000000000000001E-2</v>
      </c>
      <c r="L24" s="273">
        <v>7.2999999999999995E-2</v>
      </c>
      <c r="M24" s="273">
        <v>0.79259999999999997</v>
      </c>
      <c r="N24" s="273">
        <v>2.3E-2</v>
      </c>
      <c r="O24" s="336">
        <v>2.736837</v>
      </c>
    </row>
    <row r="25" spans="1:15" ht="15.75" customHeight="1" x14ac:dyDescent="0.2">
      <c r="A25" s="231"/>
      <c r="B25" s="220"/>
      <c r="C25" s="273"/>
      <c r="D25" s="273"/>
      <c r="E25" s="273"/>
      <c r="F25" s="273"/>
      <c r="G25" s="273"/>
      <c r="H25" s="273"/>
      <c r="I25" s="273"/>
      <c r="J25" s="273"/>
      <c r="K25" s="273"/>
      <c r="L25" s="273"/>
      <c r="M25" s="273"/>
      <c r="N25" s="273"/>
      <c r="O25" s="336"/>
    </row>
    <row r="26" spans="1:15" ht="15.75" customHeight="1" x14ac:dyDescent="0.25">
      <c r="A26" s="217" t="s">
        <v>837</v>
      </c>
      <c r="B26" s="230"/>
      <c r="C26" s="333">
        <v>0.33052979999999998</v>
      </c>
      <c r="D26" s="333">
        <v>0.35051515999999999</v>
      </c>
      <c r="E26" s="333">
        <v>0.35821966999999999</v>
      </c>
      <c r="F26" s="333">
        <v>0.40259471000000002</v>
      </c>
      <c r="G26" s="333">
        <v>0.35144134000000005</v>
      </c>
      <c r="H26" s="333">
        <v>0.54189589999999999</v>
      </c>
      <c r="I26" s="333">
        <v>0.57620939999999998</v>
      </c>
      <c r="J26" s="333">
        <v>0.38063068</v>
      </c>
      <c r="K26" s="333">
        <v>0.33177520999999999</v>
      </c>
      <c r="L26" s="333">
        <v>0.60420348999999995</v>
      </c>
      <c r="M26" s="333">
        <v>0.30232092999999999</v>
      </c>
      <c r="N26" s="333">
        <v>0.30250661000000001</v>
      </c>
      <c r="O26" s="334">
        <v>4.8328429000000011</v>
      </c>
    </row>
    <row r="27" spans="1:15" ht="15.75" customHeight="1" x14ac:dyDescent="0.2">
      <c r="A27" s="231"/>
      <c r="B27" s="220" t="s">
        <v>757</v>
      </c>
      <c r="C27" s="273">
        <v>0.33052979999999998</v>
      </c>
      <c r="D27" s="273">
        <v>0.32751515999999997</v>
      </c>
      <c r="E27" s="273">
        <v>0.33301966999999999</v>
      </c>
      <c r="F27" s="273">
        <v>0.33711319000000001</v>
      </c>
      <c r="G27" s="273">
        <v>0.35144134000000005</v>
      </c>
      <c r="H27" s="273">
        <v>0.38107626999999999</v>
      </c>
      <c r="I27" s="273">
        <v>0.37263652000000003</v>
      </c>
      <c r="J27" s="273">
        <v>0.29959099</v>
      </c>
      <c r="K27" s="273">
        <v>0.30434630000000001</v>
      </c>
      <c r="L27" s="273">
        <v>0.60420348999999995</v>
      </c>
      <c r="M27" s="273">
        <v>0.30232092999999999</v>
      </c>
      <c r="N27" s="273">
        <v>0.30250661000000001</v>
      </c>
      <c r="O27" s="336">
        <v>4.2463002700000008</v>
      </c>
    </row>
    <row r="28" spans="1:15" ht="15.75" customHeight="1" x14ac:dyDescent="0.2">
      <c r="A28" s="231"/>
      <c r="B28" s="220" t="s">
        <v>31</v>
      </c>
      <c r="C28" s="273">
        <v>0</v>
      </c>
      <c r="D28" s="273">
        <v>2.3E-2</v>
      </c>
      <c r="E28" s="273">
        <v>2.52E-2</v>
      </c>
      <c r="F28" s="273">
        <v>6.5481520000000001E-2</v>
      </c>
      <c r="G28" s="273">
        <v>0</v>
      </c>
      <c r="H28" s="273">
        <v>0.16081962999999999</v>
      </c>
      <c r="I28" s="273">
        <v>0.20357288000000001</v>
      </c>
      <c r="J28" s="273">
        <v>8.1039689999999998E-2</v>
      </c>
      <c r="K28" s="273">
        <v>2.7428910000000001E-2</v>
      </c>
      <c r="L28" s="273">
        <v>0</v>
      </c>
      <c r="M28" s="273">
        <v>0</v>
      </c>
      <c r="N28" s="273">
        <v>0</v>
      </c>
      <c r="O28" s="336">
        <v>0.58654263000000006</v>
      </c>
    </row>
    <row r="29" spans="1:15" ht="15.75" customHeight="1" x14ac:dyDescent="0.2">
      <c r="A29" s="220"/>
      <c r="B29" s="220"/>
      <c r="C29" s="273"/>
      <c r="D29" s="273"/>
      <c r="E29" s="273"/>
      <c r="F29" s="273"/>
      <c r="G29" s="273"/>
      <c r="H29" s="273"/>
      <c r="I29" s="273"/>
      <c r="J29" s="273"/>
      <c r="K29" s="273"/>
      <c r="L29" s="273"/>
      <c r="M29" s="273"/>
      <c r="N29" s="273"/>
      <c r="O29" s="336"/>
    </row>
    <row r="30" spans="1:15" ht="15.75" customHeight="1" x14ac:dyDescent="0.25">
      <c r="A30" s="217" t="s">
        <v>75</v>
      </c>
      <c r="B30" s="230"/>
      <c r="C30" s="333">
        <v>27.291334969999998</v>
      </c>
      <c r="D30" s="333">
        <v>44.885880340000007</v>
      </c>
      <c r="E30" s="333">
        <v>19.920610809999999</v>
      </c>
      <c r="F30" s="333">
        <v>104.43723540000001</v>
      </c>
      <c r="G30" s="333">
        <v>20.61812441</v>
      </c>
      <c r="H30" s="333">
        <v>22.27314986</v>
      </c>
      <c r="I30" s="333">
        <v>21.095749059999999</v>
      </c>
      <c r="J30" s="333">
        <v>27.39142172</v>
      </c>
      <c r="K30" s="333">
        <v>12.946941970000001</v>
      </c>
      <c r="L30" s="333">
        <v>9.2535549800000005</v>
      </c>
      <c r="M30" s="333">
        <v>10.65668082</v>
      </c>
      <c r="N30" s="333">
        <v>7.7530590799999999</v>
      </c>
      <c r="O30" s="334">
        <v>328.52374342000002</v>
      </c>
    </row>
    <row r="31" spans="1:15" ht="15.75" customHeight="1" x14ac:dyDescent="0.2">
      <c r="A31" s="231"/>
      <c r="B31" s="220" t="s">
        <v>77</v>
      </c>
      <c r="C31" s="273">
        <v>27.291334969999998</v>
      </c>
      <c r="D31" s="273">
        <v>44.885880340000007</v>
      </c>
      <c r="E31" s="273">
        <v>19.920610809999999</v>
      </c>
      <c r="F31" s="273">
        <v>104.43723540000001</v>
      </c>
      <c r="G31" s="273">
        <v>20.61812441</v>
      </c>
      <c r="H31" s="273">
        <v>22.27314986</v>
      </c>
      <c r="I31" s="273">
        <v>21.095749059999999</v>
      </c>
      <c r="J31" s="273">
        <v>27.39142172</v>
      </c>
      <c r="K31" s="273">
        <v>12.946941970000001</v>
      </c>
      <c r="L31" s="273">
        <v>9.2535549800000005</v>
      </c>
      <c r="M31" s="273">
        <v>10.65668082</v>
      </c>
      <c r="N31" s="273">
        <v>7.7530590799999999</v>
      </c>
      <c r="O31" s="336">
        <v>328.52374342000002</v>
      </c>
    </row>
    <row r="32" spans="1:15" ht="15.75" customHeight="1" x14ac:dyDescent="0.2">
      <c r="A32" s="220"/>
      <c r="B32" s="220"/>
      <c r="C32" s="273"/>
      <c r="D32" s="273"/>
      <c r="E32" s="273"/>
      <c r="F32" s="273"/>
      <c r="G32" s="273"/>
      <c r="H32" s="273"/>
      <c r="I32" s="273"/>
      <c r="J32" s="273"/>
      <c r="K32" s="273"/>
      <c r="L32" s="273"/>
      <c r="M32" s="273"/>
      <c r="N32" s="273"/>
      <c r="O32" s="336"/>
    </row>
    <row r="33" spans="1:15" ht="15.75" customHeight="1" x14ac:dyDescent="0.25">
      <c r="A33" s="217" t="s">
        <v>839</v>
      </c>
      <c r="B33" s="230"/>
      <c r="C33" s="333">
        <v>164.81281485</v>
      </c>
      <c r="D33" s="333">
        <v>151.33989527999995</v>
      </c>
      <c r="E33" s="333">
        <v>305.85898364000002</v>
      </c>
      <c r="F33" s="333">
        <v>1429.3963882099997</v>
      </c>
      <c r="G33" s="333">
        <v>553.14749155999993</v>
      </c>
      <c r="H33" s="333">
        <v>358.85657001000004</v>
      </c>
      <c r="I33" s="333">
        <v>381.09069126999998</v>
      </c>
      <c r="J33" s="333">
        <v>626.40549338999995</v>
      </c>
      <c r="K33" s="333">
        <v>452.35961315101099</v>
      </c>
      <c r="L33" s="333">
        <v>439.53307373999996</v>
      </c>
      <c r="M33" s="333">
        <v>190.26309962999994</v>
      </c>
      <c r="N33" s="333">
        <v>166.91930164299995</v>
      </c>
      <c r="O33" s="334">
        <v>5219.9834163740115</v>
      </c>
    </row>
    <row r="34" spans="1:15" ht="19.5" customHeight="1" x14ac:dyDescent="0.2">
      <c r="A34" s="231"/>
      <c r="B34" s="220" t="s">
        <v>79</v>
      </c>
      <c r="C34" s="273">
        <v>118.81354394</v>
      </c>
      <c r="D34" s="273">
        <v>110.40318629999997</v>
      </c>
      <c r="E34" s="273">
        <v>208.98803845</v>
      </c>
      <c r="F34" s="273">
        <v>91.373287770000005</v>
      </c>
      <c r="G34" s="273">
        <v>212.83187914999993</v>
      </c>
      <c r="H34" s="273">
        <v>49.734699710000001</v>
      </c>
      <c r="I34" s="273">
        <v>61.420952330000013</v>
      </c>
      <c r="J34" s="273">
        <v>132.62466363000001</v>
      </c>
      <c r="K34" s="273">
        <v>51.902431201011012</v>
      </c>
      <c r="L34" s="273">
        <v>102.41413567999999</v>
      </c>
      <c r="M34" s="273">
        <v>139.90647602999996</v>
      </c>
      <c r="N34" s="273">
        <v>113.00798974999998</v>
      </c>
      <c r="O34" s="336">
        <v>1393.4212839410109</v>
      </c>
    </row>
    <row r="35" spans="1:15" ht="15.75" customHeight="1" x14ac:dyDescent="0.2">
      <c r="A35" s="231"/>
      <c r="B35" s="220" t="s">
        <v>82</v>
      </c>
      <c r="C35" s="273">
        <v>9.1527671599999998</v>
      </c>
      <c r="D35" s="273">
        <v>11.521139160000001</v>
      </c>
      <c r="E35" s="273">
        <v>12.182982580000001</v>
      </c>
      <c r="F35" s="273">
        <v>10.8877814</v>
      </c>
      <c r="G35" s="273">
        <v>13.612870789999999</v>
      </c>
      <c r="H35" s="273">
        <v>3.7154660000000002</v>
      </c>
      <c r="I35" s="273">
        <v>17.274380499999999</v>
      </c>
      <c r="J35" s="273">
        <v>12.6463435</v>
      </c>
      <c r="K35" s="273">
        <v>5.0505535000000004</v>
      </c>
      <c r="L35" s="273">
        <v>20.89040189</v>
      </c>
      <c r="M35" s="273">
        <v>11.32044958</v>
      </c>
      <c r="N35" s="273">
        <v>9.7740985830000007</v>
      </c>
      <c r="O35" s="336">
        <v>138.02923464300002</v>
      </c>
    </row>
    <row r="36" spans="1:15" ht="15.75" customHeight="1" x14ac:dyDescent="0.2">
      <c r="A36" s="277"/>
      <c r="B36" s="339" t="s">
        <v>84</v>
      </c>
      <c r="C36" s="273">
        <v>20.7051795</v>
      </c>
      <c r="D36" s="273">
        <v>16.28511902</v>
      </c>
      <c r="E36" s="273">
        <v>73.461207229999999</v>
      </c>
      <c r="F36" s="273">
        <v>1319.0433536099999</v>
      </c>
      <c r="G36" s="273">
        <v>315.52639786000003</v>
      </c>
      <c r="H36" s="273">
        <v>292.35939129000002</v>
      </c>
      <c r="I36" s="273">
        <v>285.85746820999998</v>
      </c>
      <c r="J36" s="273">
        <v>436.25675706999999</v>
      </c>
      <c r="K36" s="273">
        <v>347.78669100999997</v>
      </c>
      <c r="L36" s="273">
        <v>289.19044427</v>
      </c>
      <c r="M36" s="273">
        <v>30.975382960000001</v>
      </c>
      <c r="N36" s="273">
        <v>36.643660099999998</v>
      </c>
      <c r="O36" s="340">
        <v>3464.0910521300002</v>
      </c>
    </row>
    <row r="37" spans="1:15" ht="15.75" customHeight="1" x14ac:dyDescent="0.2">
      <c r="A37" s="231"/>
      <c r="B37" s="220" t="s">
        <v>131</v>
      </c>
      <c r="C37" s="273">
        <v>15.22369935</v>
      </c>
      <c r="D37" s="273">
        <v>11.9026865</v>
      </c>
      <c r="E37" s="273">
        <v>9.4058935800000008</v>
      </c>
      <c r="F37" s="273">
        <v>6.83270103</v>
      </c>
      <c r="G37" s="273">
        <v>9.2925835600000006</v>
      </c>
      <c r="H37" s="273">
        <v>11.48088201</v>
      </c>
      <c r="I37" s="273">
        <v>14.854446429999999</v>
      </c>
      <c r="J37" s="273">
        <v>43.037849489999999</v>
      </c>
      <c r="K37" s="273">
        <v>46.201858739999999</v>
      </c>
      <c r="L37" s="273">
        <v>25.733455299999999</v>
      </c>
      <c r="M37" s="273">
        <v>6.7103769299999998</v>
      </c>
      <c r="N37" s="273">
        <v>6.36348001</v>
      </c>
      <c r="O37" s="336">
        <v>207.03991292999999</v>
      </c>
    </row>
    <row r="38" spans="1:15" ht="15.75" customHeight="1" x14ac:dyDescent="0.2">
      <c r="A38" s="231"/>
      <c r="B38" s="220" t="s">
        <v>840</v>
      </c>
      <c r="C38" s="273">
        <v>0.91762490000000008</v>
      </c>
      <c r="D38" s="273">
        <v>1.2277643</v>
      </c>
      <c r="E38" s="273">
        <v>1.8208618000000001</v>
      </c>
      <c r="F38" s="273">
        <v>1.2592644</v>
      </c>
      <c r="G38" s="273">
        <v>1.8837602</v>
      </c>
      <c r="H38" s="273">
        <v>1.5661309999999999</v>
      </c>
      <c r="I38" s="273">
        <v>1.6834438</v>
      </c>
      <c r="J38" s="273">
        <v>1.8398797</v>
      </c>
      <c r="K38" s="273">
        <v>1.4180786999999999</v>
      </c>
      <c r="L38" s="273">
        <v>1.3046366</v>
      </c>
      <c r="M38" s="273">
        <v>1.3504141299999999</v>
      </c>
      <c r="N38" s="273">
        <v>1.1300732</v>
      </c>
      <c r="O38" s="336">
        <v>17.401932730000006</v>
      </c>
    </row>
    <row r="39" spans="1:15" ht="15.75" customHeight="1" x14ac:dyDescent="0.2">
      <c r="A39" s="220"/>
      <c r="B39" s="220"/>
      <c r="C39" s="273"/>
      <c r="D39" s="273"/>
      <c r="E39" s="273"/>
      <c r="F39" s="273"/>
      <c r="G39" s="273"/>
      <c r="H39" s="273"/>
      <c r="I39" s="273"/>
      <c r="J39" s="273"/>
      <c r="K39" s="273"/>
      <c r="L39" s="273"/>
      <c r="M39" s="273"/>
      <c r="N39" s="273"/>
      <c r="O39" s="336"/>
    </row>
    <row r="40" spans="1:15" ht="15.75" customHeight="1" x14ac:dyDescent="0.25">
      <c r="A40" s="217" t="s">
        <v>88</v>
      </c>
      <c r="B40" s="230"/>
      <c r="C40" s="333">
        <v>227.81847710333335</v>
      </c>
      <c r="D40" s="333">
        <v>108.68649731333332</v>
      </c>
      <c r="E40" s="333">
        <v>47.818407103333335</v>
      </c>
      <c r="F40" s="333">
        <v>223.66472028333334</v>
      </c>
      <c r="G40" s="333">
        <v>146.72160607333333</v>
      </c>
      <c r="H40" s="333">
        <v>71.77310443333333</v>
      </c>
      <c r="I40" s="333">
        <v>72.174434623333326</v>
      </c>
      <c r="J40" s="333">
        <v>2808.3476762833334</v>
      </c>
      <c r="K40" s="333">
        <v>54.909856913333336</v>
      </c>
      <c r="L40" s="333">
        <v>260.44378874666671</v>
      </c>
      <c r="M40" s="333">
        <v>113.73871383666668</v>
      </c>
      <c r="N40" s="333">
        <v>147.92240002666665</v>
      </c>
      <c r="O40" s="334">
        <v>4284.0196827399996</v>
      </c>
    </row>
    <row r="41" spans="1:15" ht="15.75" customHeight="1" x14ac:dyDescent="0.2">
      <c r="A41" s="231"/>
      <c r="B41" s="236" t="s">
        <v>89</v>
      </c>
      <c r="C41" s="273">
        <v>0.22427333333333335</v>
      </c>
      <c r="D41" s="273">
        <v>0.22427333333333335</v>
      </c>
      <c r="E41" s="273">
        <v>0.22427333333333335</v>
      </c>
      <c r="F41" s="273">
        <v>0.25770333333333334</v>
      </c>
      <c r="G41" s="273">
        <v>0.25770333333333334</v>
      </c>
      <c r="H41" s="273">
        <v>0.25770333333333334</v>
      </c>
      <c r="I41" s="273">
        <v>0.31536333333333333</v>
      </c>
      <c r="J41" s="273">
        <v>0.31536333333333333</v>
      </c>
      <c r="K41" s="273">
        <v>0.31536333333333333</v>
      </c>
      <c r="L41" s="273">
        <v>0.2750866666666667</v>
      </c>
      <c r="M41" s="273">
        <v>0.2750866666666667</v>
      </c>
      <c r="N41" s="273">
        <v>0.2750866666666667</v>
      </c>
      <c r="O41" s="336">
        <v>3.2172800000000006</v>
      </c>
    </row>
    <row r="42" spans="1:15" ht="15.75" customHeight="1" x14ac:dyDescent="0.2">
      <c r="A42" s="231"/>
      <c r="B42" s="236" t="s">
        <v>842</v>
      </c>
      <c r="C42" s="273">
        <v>0</v>
      </c>
      <c r="D42" s="273">
        <v>3.5000000000000003E-2</v>
      </c>
      <c r="E42" s="273">
        <v>0.01</v>
      </c>
      <c r="F42" s="273">
        <v>0</v>
      </c>
      <c r="G42" s="273">
        <v>5.0000000000000001E-4</v>
      </c>
      <c r="H42" s="273">
        <v>0.13916100000000001</v>
      </c>
      <c r="I42" s="273">
        <v>0</v>
      </c>
      <c r="J42" s="273">
        <v>5.9800000000000001E-4</v>
      </c>
      <c r="K42" s="273">
        <v>6.4105629999999997E-2</v>
      </c>
      <c r="L42" s="273">
        <v>5.0000000000000001E-4</v>
      </c>
      <c r="M42" s="273">
        <v>5.0000000000000001E-4</v>
      </c>
      <c r="N42" s="273">
        <v>5.0000000000000001E-4</v>
      </c>
      <c r="O42" s="336">
        <v>0.25086462999999998</v>
      </c>
    </row>
    <row r="43" spans="1:15" ht="15.75" customHeight="1" x14ac:dyDescent="0.2">
      <c r="A43" s="231"/>
      <c r="B43" s="236" t="s">
        <v>90</v>
      </c>
      <c r="C43" s="273">
        <v>40.116999039999996</v>
      </c>
      <c r="D43" s="273">
        <v>63.954259999999998</v>
      </c>
      <c r="E43" s="273">
        <v>42.741150140000002</v>
      </c>
      <c r="F43" s="273">
        <v>38.73401947</v>
      </c>
      <c r="G43" s="273">
        <v>42.0889934</v>
      </c>
      <c r="H43" s="273">
        <v>34.3393795</v>
      </c>
      <c r="I43" s="273">
        <v>41.663313039999998</v>
      </c>
      <c r="J43" s="273">
        <v>35.475728630000006</v>
      </c>
      <c r="K43" s="273">
        <v>38.704093130000004</v>
      </c>
      <c r="L43" s="273">
        <v>53.783206110000002</v>
      </c>
      <c r="M43" s="273">
        <v>84.350157790000011</v>
      </c>
      <c r="N43" s="273">
        <v>65.931863210000003</v>
      </c>
      <c r="O43" s="336">
        <v>581.88316345999988</v>
      </c>
    </row>
    <row r="44" spans="1:15" ht="15.75" customHeight="1" x14ac:dyDescent="0.2">
      <c r="A44" s="231"/>
      <c r="B44" s="236" t="s">
        <v>214</v>
      </c>
      <c r="C44" s="273">
        <v>186.91504935</v>
      </c>
      <c r="D44" s="273">
        <v>44.375013979999999</v>
      </c>
      <c r="E44" s="273">
        <v>3.44804982</v>
      </c>
      <c r="F44" s="273">
        <v>158.66622425999998</v>
      </c>
      <c r="G44" s="273">
        <v>81.935244150000003</v>
      </c>
      <c r="H44" s="273">
        <v>12.218627300000001</v>
      </c>
      <c r="I44" s="273">
        <v>17.966288239999997</v>
      </c>
      <c r="J44" s="273">
        <v>2684.22802929</v>
      </c>
      <c r="K44" s="273">
        <v>6.4449516500000001</v>
      </c>
      <c r="L44" s="273">
        <v>146.45247736000002</v>
      </c>
      <c r="M44" s="273">
        <v>18.325278040000001</v>
      </c>
      <c r="N44" s="273">
        <v>63.929739240000004</v>
      </c>
      <c r="O44" s="336">
        <v>3424.9049726799994</v>
      </c>
    </row>
    <row r="45" spans="1:15" ht="15.75" customHeight="1" x14ac:dyDescent="0.2">
      <c r="A45" s="231"/>
      <c r="B45" s="236" t="s">
        <v>91</v>
      </c>
      <c r="C45" s="273">
        <v>0.56215537999999998</v>
      </c>
      <c r="D45" s="273">
        <v>9.7949999999999995E-2</v>
      </c>
      <c r="E45" s="273">
        <v>1.3949338100000002</v>
      </c>
      <c r="F45" s="273">
        <v>26.006773219999999</v>
      </c>
      <c r="G45" s="273">
        <v>22.439165190000001</v>
      </c>
      <c r="H45" s="273">
        <v>24.818233299999999</v>
      </c>
      <c r="I45" s="273">
        <v>12.22947001</v>
      </c>
      <c r="J45" s="273">
        <v>88.327957030000007</v>
      </c>
      <c r="K45" s="273">
        <v>9.3813431699999992</v>
      </c>
      <c r="L45" s="273">
        <v>59.932518610000002</v>
      </c>
      <c r="M45" s="273">
        <v>10.78769134</v>
      </c>
      <c r="N45" s="273">
        <v>17.78521091</v>
      </c>
      <c r="O45" s="336">
        <v>273.76340197000007</v>
      </c>
    </row>
    <row r="46" spans="1:15" ht="15.75" customHeight="1" x14ac:dyDescent="0.2">
      <c r="A46" s="220"/>
      <c r="B46" s="220"/>
      <c r="C46" s="273"/>
      <c r="D46" s="273"/>
      <c r="E46" s="273"/>
      <c r="F46" s="273"/>
      <c r="G46" s="273"/>
      <c r="H46" s="273"/>
      <c r="I46" s="273"/>
      <c r="J46" s="273"/>
      <c r="K46" s="273"/>
      <c r="L46" s="273"/>
      <c r="M46" s="273"/>
      <c r="N46" s="273"/>
      <c r="O46" s="336"/>
    </row>
    <row r="47" spans="1:15" ht="15.75" customHeight="1" x14ac:dyDescent="0.25">
      <c r="A47" s="217" t="s">
        <v>92</v>
      </c>
      <c r="B47" s="230"/>
      <c r="C47" s="333">
        <v>298.52602652999997</v>
      </c>
      <c r="D47" s="333">
        <v>246.10213274</v>
      </c>
      <c r="E47" s="333">
        <v>221.19509644999999</v>
      </c>
      <c r="F47" s="333">
        <v>0</v>
      </c>
      <c r="G47" s="333">
        <v>0</v>
      </c>
      <c r="H47" s="333">
        <v>0</v>
      </c>
      <c r="I47" s="333">
        <v>0</v>
      </c>
      <c r="J47" s="333">
        <v>0</v>
      </c>
      <c r="K47" s="333">
        <v>0</v>
      </c>
      <c r="L47" s="333">
        <v>0</v>
      </c>
      <c r="M47" s="333">
        <v>0</v>
      </c>
      <c r="N47" s="333">
        <v>0</v>
      </c>
      <c r="O47" s="334">
        <v>765.82325571999991</v>
      </c>
    </row>
    <row r="48" spans="1:15" ht="15.75" customHeight="1" x14ac:dyDescent="0.2">
      <c r="A48" s="231"/>
      <c r="B48" s="220" t="s">
        <v>761</v>
      </c>
      <c r="C48" s="273">
        <v>298.52602652999997</v>
      </c>
      <c r="D48" s="273">
        <v>246.10213274</v>
      </c>
      <c r="E48" s="273">
        <v>221.19509644999999</v>
      </c>
      <c r="F48" s="273">
        <v>0</v>
      </c>
      <c r="G48" s="273">
        <v>0</v>
      </c>
      <c r="H48" s="273">
        <v>0</v>
      </c>
      <c r="I48" s="273">
        <v>0</v>
      </c>
      <c r="J48" s="273">
        <v>0</v>
      </c>
      <c r="K48" s="273">
        <v>0</v>
      </c>
      <c r="L48" s="273">
        <v>0</v>
      </c>
      <c r="M48" s="273">
        <v>0</v>
      </c>
      <c r="N48" s="273">
        <v>0</v>
      </c>
      <c r="O48" s="336">
        <v>765.82325571999991</v>
      </c>
    </row>
    <row r="49" spans="1:15" ht="15.75" customHeight="1" x14ac:dyDescent="0.2">
      <c r="A49" s="220"/>
      <c r="B49" s="220"/>
      <c r="C49" s="273"/>
      <c r="D49" s="273"/>
      <c r="E49" s="273"/>
      <c r="F49" s="273"/>
      <c r="G49" s="273"/>
      <c r="H49" s="273"/>
      <c r="I49" s="273"/>
      <c r="J49" s="273"/>
      <c r="K49" s="273"/>
      <c r="L49" s="273"/>
      <c r="M49" s="273"/>
      <c r="N49" s="273"/>
      <c r="O49" s="336"/>
    </row>
    <row r="50" spans="1:15" ht="15.75" customHeight="1" x14ac:dyDescent="0.25">
      <c r="A50" s="217" t="s">
        <v>96</v>
      </c>
      <c r="B50" s="230"/>
      <c r="C50" s="333">
        <v>139.47932191999999</v>
      </c>
      <c r="D50" s="333">
        <v>90.855352359999998</v>
      </c>
      <c r="E50" s="333">
        <v>122.13537418</v>
      </c>
      <c r="F50" s="333">
        <v>18.186098569999999</v>
      </c>
      <c r="G50" s="333">
        <v>13.800964159999999</v>
      </c>
      <c r="H50" s="333">
        <v>24.005067879999999</v>
      </c>
      <c r="I50" s="333">
        <v>23.205159269999999</v>
      </c>
      <c r="J50" s="333">
        <v>18.110444149999999</v>
      </c>
      <c r="K50" s="333">
        <v>287.21846776000001</v>
      </c>
      <c r="L50" s="333">
        <v>24.819772690000001</v>
      </c>
      <c r="M50" s="333">
        <v>57.083250149999998</v>
      </c>
      <c r="N50" s="333">
        <v>25.221760189999998</v>
      </c>
      <c r="O50" s="334">
        <v>844.12103328000001</v>
      </c>
    </row>
    <row r="51" spans="1:15" ht="15.75" customHeight="1" x14ac:dyDescent="0.2">
      <c r="A51" s="231"/>
      <c r="B51" s="220" t="s">
        <v>97</v>
      </c>
      <c r="C51" s="273">
        <v>17.279397719999999</v>
      </c>
      <c r="D51" s="273">
        <v>16.86731159</v>
      </c>
      <c r="E51" s="273">
        <v>9.1818648700000001</v>
      </c>
      <c r="F51" s="273">
        <v>17.231226149999998</v>
      </c>
      <c r="G51" s="273">
        <v>12.753638759999999</v>
      </c>
      <c r="H51" s="273">
        <v>22.855528399999997</v>
      </c>
      <c r="I51" s="273">
        <v>21.779942569999999</v>
      </c>
      <c r="J51" s="273">
        <v>16.891476040000001</v>
      </c>
      <c r="K51" s="273">
        <v>21.015771899999997</v>
      </c>
      <c r="L51" s="273">
        <v>23.393789390000002</v>
      </c>
      <c r="M51" s="273">
        <v>31.22416256</v>
      </c>
      <c r="N51" s="273">
        <v>24.165115489999998</v>
      </c>
      <c r="O51" s="336">
        <v>234.63922543999999</v>
      </c>
    </row>
    <row r="52" spans="1:15" ht="15.75" customHeight="1" x14ac:dyDescent="0.2">
      <c r="A52" s="220"/>
      <c r="B52" s="220" t="s">
        <v>98</v>
      </c>
      <c r="C52" s="273">
        <v>121.2080052</v>
      </c>
      <c r="D52" s="273">
        <v>73.001640769999995</v>
      </c>
      <c r="E52" s="273">
        <v>112.07495581000001</v>
      </c>
      <c r="F52" s="273">
        <v>0</v>
      </c>
      <c r="G52" s="273">
        <v>0</v>
      </c>
      <c r="H52" s="273">
        <v>0</v>
      </c>
      <c r="I52" s="273">
        <v>0</v>
      </c>
      <c r="J52" s="273">
        <v>0</v>
      </c>
      <c r="K52" s="273">
        <v>263.94649256000002</v>
      </c>
      <c r="L52" s="273">
        <v>0</v>
      </c>
      <c r="M52" s="273">
        <v>24.51414729</v>
      </c>
      <c r="N52" s="273">
        <v>0</v>
      </c>
      <c r="O52" s="336">
        <v>594.74524163000001</v>
      </c>
    </row>
    <row r="53" spans="1:15" ht="16.5" customHeight="1" x14ac:dyDescent="0.2">
      <c r="A53" s="220"/>
      <c r="B53" s="220" t="s">
        <v>843</v>
      </c>
      <c r="C53" s="273">
        <v>0.991919</v>
      </c>
      <c r="D53" s="273">
        <v>0.98640000000000005</v>
      </c>
      <c r="E53" s="273">
        <v>0.87855349999999999</v>
      </c>
      <c r="F53" s="273">
        <v>0.95487242000000006</v>
      </c>
      <c r="G53" s="273">
        <v>1.0473254000000001</v>
      </c>
      <c r="H53" s="273">
        <v>1.1495394800000001</v>
      </c>
      <c r="I53" s="273">
        <v>1.4252167</v>
      </c>
      <c r="J53" s="273">
        <v>1.21896811</v>
      </c>
      <c r="K53" s="273">
        <v>2.2562032999999997</v>
      </c>
      <c r="L53" s="273">
        <v>1.4259833</v>
      </c>
      <c r="M53" s="273">
        <v>1.3449403</v>
      </c>
      <c r="N53" s="273">
        <v>1.0566446999999999</v>
      </c>
      <c r="O53" s="336">
        <v>14.736566209999999</v>
      </c>
    </row>
    <row r="54" spans="1:15" ht="15.75" customHeight="1" x14ac:dyDescent="0.2">
      <c r="A54" s="220"/>
      <c r="B54" s="220"/>
      <c r="C54" s="273"/>
      <c r="D54" s="273"/>
      <c r="E54" s="273"/>
      <c r="F54" s="273"/>
      <c r="G54" s="273"/>
      <c r="H54" s="273"/>
      <c r="I54" s="273"/>
      <c r="J54" s="273"/>
      <c r="K54" s="273"/>
      <c r="L54" s="273"/>
      <c r="M54" s="273"/>
      <c r="N54" s="273"/>
      <c r="O54" s="336"/>
    </row>
    <row r="55" spans="1:15" ht="15.75" customHeight="1" x14ac:dyDescent="0.25">
      <c r="A55" s="217" t="s">
        <v>844</v>
      </c>
      <c r="B55" s="230"/>
      <c r="C55" s="333">
        <v>41.340065389999999</v>
      </c>
      <c r="D55" s="333">
        <v>41.340065389999999</v>
      </c>
      <c r="E55" s="333">
        <v>41.340065389999999</v>
      </c>
      <c r="F55" s="333">
        <v>35.533082496666673</v>
      </c>
      <c r="G55" s="333">
        <v>35.533082496666673</v>
      </c>
      <c r="H55" s="333">
        <v>35.533082496666673</v>
      </c>
      <c r="I55" s="333">
        <v>49.828103149999997</v>
      </c>
      <c r="J55" s="333">
        <v>49.828103149999997</v>
      </c>
      <c r="K55" s="333">
        <v>49.828103149999997</v>
      </c>
      <c r="L55" s="333">
        <v>37.716911963333331</v>
      </c>
      <c r="M55" s="333">
        <v>37.716911963333331</v>
      </c>
      <c r="N55" s="333">
        <v>37.716911963333331</v>
      </c>
      <c r="O55" s="334">
        <v>493.25448900000009</v>
      </c>
    </row>
    <row r="56" spans="1:15" ht="15.75" customHeight="1" x14ac:dyDescent="0.2">
      <c r="A56" s="231"/>
      <c r="B56" s="220" t="s">
        <v>1117</v>
      </c>
      <c r="C56" s="273">
        <v>39.863090759999999</v>
      </c>
      <c r="D56" s="273">
        <v>39.863090759999999</v>
      </c>
      <c r="E56" s="273">
        <v>39.863090759999999</v>
      </c>
      <c r="F56" s="273">
        <v>33.907410333333338</v>
      </c>
      <c r="G56" s="273">
        <v>33.907410333333338</v>
      </c>
      <c r="H56" s="273">
        <v>33.907410333333338</v>
      </c>
      <c r="I56" s="273">
        <v>48.253273573333331</v>
      </c>
      <c r="J56" s="273">
        <v>48.253273573333331</v>
      </c>
      <c r="K56" s="273">
        <v>48.253273573333331</v>
      </c>
      <c r="L56" s="273">
        <v>37.716911963333331</v>
      </c>
      <c r="M56" s="273">
        <v>37.716911963333331</v>
      </c>
      <c r="N56" s="273">
        <v>37.716911963333331</v>
      </c>
      <c r="O56" s="336">
        <v>479.22205989000008</v>
      </c>
    </row>
    <row r="57" spans="1:15" ht="15.75" customHeight="1" x14ac:dyDescent="0.2">
      <c r="A57" s="231"/>
      <c r="B57" s="220" t="s">
        <v>1118</v>
      </c>
      <c r="C57" s="273">
        <v>1.47697463</v>
      </c>
      <c r="D57" s="273">
        <v>1.47697463</v>
      </c>
      <c r="E57" s="273">
        <v>1.47697463</v>
      </c>
      <c r="F57" s="273">
        <v>1.6256721633333333</v>
      </c>
      <c r="G57" s="273">
        <v>1.6256721633333333</v>
      </c>
      <c r="H57" s="273">
        <v>1.6256721633333333</v>
      </c>
      <c r="I57" s="273">
        <v>1.5748295766666669</v>
      </c>
      <c r="J57" s="273">
        <v>1.5748295766666669</v>
      </c>
      <c r="K57" s="273">
        <v>1.5748295766666669</v>
      </c>
      <c r="L57" s="273">
        <v>0</v>
      </c>
      <c r="M57" s="273">
        <v>0</v>
      </c>
      <c r="N57" s="273">
        <v>0</v>
      </c>
      <c r="O57" s="336">
        <v>14.032429110000002</v>
      </c>
    </row>
    <row r="58" spans="1:15" ht="15.75" customHeight="1" x14ac:dyDescent="0.2">
      <c r="A58" s="220"/>
      <c r="B58" s="220"/>
      <c r="C58" s="273"/>
      <c r="D58" s="273"/>
      <c r="E58" s="273"/>
      <c r="F58" s="273"/>
      <c r="G58" s="273"/>
      <c r="H58" s="273"/>
      <c r="I58" s="273"/>
      <c r="J58" s="273"/>
      <c r="K58" s="273"/>
      <c r="L58" s="273"/>
      <c r="M58" s="273"/>
      <c r="N58" s="273"/>
      <c r="O58" s="336"/>
    </row>
    <row r="59" spans="1:15" ht="15.75" customHeight="1" x14ac:dyDescent="0.25">
      <c r="A59" s="217" t="s">
        <v>846</v>
      </c>
      <c r="B59" s="230"/>
      <c r="C59" s="333">
        <v>1125.1464046499998</v>
      </c>
      <c r="D59" s="333">
        <v>503.31290225999999</v>
      </c>
      <c r="E59" s="333">
        <v>413.77737672000001</v>
      </c>
      <c r="F59" s="333">
        <v>400.05368249000003</v>
      </c>
      <c r="G59" s="333">
        <v>392.14718923000004</v>
      </c>
      <c r="H59" s="333">
        <v>898.52920452000001</v>
      </c>
      <c r="I59" s="333">
        <v>1141.2910025599999</v>
      </c>
      <c r="J59" s="333">
        <v>677.41285732000006</v>
      </c>
      <c r="K59" s="333">
        <v>2351.3017521799998</v>
      </c>
      <c r="L59" s="333">
        <v>506.97379381000002</v>
      </c>
      <c r="M59" s="333">
        <v>793.74786924999989</v>
      </c>
      <c r="N59" s="333">
        <v>320.48572987</v>
      </c>
      <c r="O59" s="334">
        <v>9524.1797648600004</v>
      </c>
    </row>
    <row r="60" spans="1:15" ht="15.75" customHeight="1" x14ac:dyDescent="0.2">
      <c r="A60" s="231"/>
      <c r="B60" s="220" t="s">
        <v>1057</v>
      </c>
      <c r="C60" s="273">
        <v>5.1080838099999992</v>
      </c>
      <c r="D60" s="273">
        <v>2.3644564799999999</v>
      </c>
      <c r="E60" s="273">
        <v>3.0232102999999997</v>
      </c>
      <c r="F60" s="273">
        <v>2.4596356099999999</v>
      </c>
      <c r="G60" s="273">
        <v>2.6683210699999997</v>
      </c>
      <c r="H60" s="273">
        <v>2.3765220499999997</v>
      </c>
      <c r="I60" s="273">
        <v>2.7337744700000002</v>
      </c>
      <c r="J60" s="273">
        <v>1.1507424499999999</v>
      </c>
      <c r="K60" s="273">
        <v>2.2679971800000001</v>
      </c>
      <c r="L60" s="273">
        <v>3.1321495699999997</v>
      </c>
      <c r="M60" s="273">
        <v>2.6515775699999997</v>
      </c>
      <c r="N60" s="273">
        <v>1.9726818500000001</v>
      </c>
      <c r="O60" s="336">
        <v>31.909152410000001</v>
      </c>
    </row>
    <row r="61" spans="1:15" ht="15.75" customHeight="1" x14ac:dyDescent="0.2">
      <c r="A61" s="231"/>
      <c r="B61" s="220" t="s">
        <v>37</v>
      </c>
      <c r="C61" s="273">
        <v>1120.0383208399999</v>
      </c>
      <c r="D61" s="273">
        <v>500.94844577999999</v>
      </c>
      <c r="E61" s="273">
        <v>410.75416641999999</v>
      </c>
      <c r="F61" s="273">
        <v>397.59404688000001</v>
      </c>
      <c r="G61" s="273">
        <v>389.47886816000005</v>
      </c>
      <c r="H61" s="273">
        <v>896.15268247000006</v>
      </c>
      <c r="I61" s="273">
        <v>1138.5572280899999</v>
      </c>
      <c r="J61" s="273">
        <v>676.26211487</v>
      </c>
      <c r="K61" s="273">
        <v>2349.0337549999999</v>
      </c>
      <c r="L61" s="273">
        <v>503.84164423999999</v>
      </c>
      <c r="M61" s="273">
        <v>791.09629167999992</v>
      </c>
      <c r="N61" s="273">
        <v>318.51304801999999</v>
      </c>
      <c r="O61" s="336">
        <v>9492.27061245</v>
      </c>
    </row>
    <row r="62" spans="1:15" ht="15.75" customHeight="1" x14ac:dyDescent="0.2">
      <c r="A62" s="220"/>
      <c r="B62" s="220"/>
      <c r="C62" s="273"/>
      <c r="D62" s="273"/>
      <c r="E62" s="273"/>
      <c r="F62" s="273"/>
      <c r="G62" s="273"/>
      <c r="H62" s="273"/>
      <c r="I62" s="273"/>
      <c r="J62" s="273"/>
      <c r="K62" s="273"/>
      <c r="L62" s="273"/>
      <c r="M62" s="273"/>
      <c r="N62" s="273"/>
      <c r="O62" s="336"/>
    </row>
    <row r="63" spans="1:15" ht="15.75" customHeight="1" x14ac:dyDescent="0.25">
      <c r="A63" s="217" t="s">
        <v>102</v>
      </c>
      <c r="B63" s="230"/>
      <c r="C63" s="333">
        <v>0.13973808288574219</v>
      </c>
      <c r="D63" s="333">
        <v>0.13554739952087402</v>
      </c>
      <c r="E63" s="333">
        <v>0.33713734149932861</v>
      </c>
      <c r="F63" s="333">
        <v>0.12192928791046143</v>
      </c>
      <c r="G63" s="333">
        <v>0.19318279623985291</v>
      </c>
      <c r="H63" s="333">
        <v>8.3525210618972778E-2</v>
      </c>
      <c r="I63" s="333">
        <v>0.5018618106842041</v>
      </c>
      <c r="J63" s="333">
        <v>0.50229561328887939</v>
      </c>
      <c r="K63" s="333">
        <v>0.4081561267375946</v>
      </c>
      <c r="L63" s="333">
        <v>0.6081680953502655</v>
      </c>
      <c r="M63" s="333">
        <v>7.8720003366470337E-2</v>
      </c>
      <c r="N63" s="333">
        <v>0.18117263913154602</v>
      </c>
      <c r="O63" s="334">
        <v>3.2914342880249023</v>
      </c>
    </row>
    <row r="64" spans="1:15" ht="15.75" customHeight="1" x14ac:dyDescent="0.2">
      <c r="A64" s="231"/>
      <c r="B64" s="220" t="s">
        <v>105</v>
      </c>
      <c r="C64" s="273">
        <v>0.13973802999999999</v>
      </c>
      <c r="D64" s="273">
        <v>0.13554735999999998</v>
      </c>
      <c r="E64" s="273">
        <v>0.33713733000000001</v>
      </c>
      <c r="F64" s="273">
        <v>0.12192927000000001</v>
      </c>
      <c r="G64" s="273">
        <v>0.19318279999999999</v>
      </c>
      <c r="H64" s="273">
        <v>8.3525210000000003E-2</v>
      </c>
      <c r="I64" s="273">
        <v>0.50186182000000001</v>
      </c>
      <c r="J64" s="273">
        <v>0.50229564000000004</v>
      </c>
      <c r="K64" s="273">
        <v>0.40815612000000001</v>
      </c>
      <c r="L64" s="273">
        <v>0.60816808999999994</v>
      </c>
      <c r="M64" s="273">
        <v>7.8719999999999998E-2</v>
      </c>
      <c r="N64" s="273">
        <v>0.18117263</v>
      </c>
      <c r="O64" s="336">
        <v>3.2914342999999997</v>
      </c>
    </row>
    <row r="65" spans="1:15" ht="15.75" customHeight="1" x14ac:dyDescent="0.2">
      <c r="A65" s="220"/>
      <c r="B65" s="220"/>
      <c r="C65" s="273"/>
      <c r="D65" s="273"/>
      <c r="E65" s="273"/>
      <c r="F65" s="273"/>
      <c r="G65" s="273"/>
      <c r="H65" s="273"/>
      <c r="I65" s="273"/>
      <c r="J65" s="273"/>
      <c r="K65" s="273"/>
      <c r="L65" s="273"/>
      <c r="M65" s="273"/>
      <c r="N65" s="273"/>
      <c r="O65" s="336"/>
    </row>
    <row r="66" spans="1:15" ht="15.75" customHeight="1" x14ac:dyDescent="0.25">
      <c r="A66" s="217" t="s">
        <v>107</v>
      </c>
      <c r="B66" s="230"/>
      <c r="C66" s="333">
        <v>1455.5905994500001</v>
      </c>
      <c r="D66" s="333">
        <v>1401.1793433599998</v>
      </c>
      <c r="E66" s="333">
        <v>1523.438776</v>
      </c>
      <c r="F66" s="333">
        <v>1495.3387254199999</v>
      </c>
      <c r="G66" s="333">
        <v>1688.9477584499998</v>
      </c>
      <c r="H66" s="333">
        <v>2170.22382659</v>
      </c>
      <c r="I66" s="333">
        <v>1678.0275232399999</v>
      </c>
      <c r="J66" s="333">
        <v>1725.3610460699999</v>
      </c>
      <c r="K66" s="333">
        <v>1579.78670766</v>
      </c>
      <c r="L66" s="333">
        <v>1774.8301766200002</v>
      </c>
      <c r="M66" s="333">
        <v>1582.0921311900001</v>
      </c>
      <c r="N66" s="333">
        <v>1535.9771600199997</v>
      </c>
      <c r="O66" s="334">
        <v>19610.793774070004</v>
      </c>
    </row>
    <row r="67" spans="1:15" ht="15.75" customHeight="1" x14ac:dyDescent="0.2">
      <c r="A67" s="231"/>
      <c r="B67" s="220" t="s">
        <v>110</v>
      </c>
      <c r="C67" s="273">
        <v>536.61667215</v>
      </c>
      <c r="D67" s="273">
        <v>477.08028424999998</v>
      </c>
      <c r="E67" s="273">
        <v>446.62528563999996</v>
      </c>
      <c r="F67" s="273">
        <v>501.60223206000001</v>
      </c>
      <c r="G67" s="273">
        <v>519.95191494999995</v>
      </c>
      <c r="H67" s="273">
        <v>446.90389773000004</v>
      </c>
      <c r="I67" s="273">
        <v>549.35197842999992</v>
      </c>
      <c r="J67" s="273">
        <v>456.65826974999999</v>
      </c>
      <c r="K67" s="273">
        <v>475.60489555000004</v>
      </c>
      <c r="L67" s="273">
        <v>498.23253879000004</v>
      </c>
      <c r="M67" s="273">
        <v>443.0931162</v>
      </c>
      <c r="N67" s="273">
        <v>395.82337952999995</v>
      </c>
      <c r="O67" s="336">
        <v>5747.5444650299996</v>
      </c>
    </row>
    <row r="68" spans="1:15" ht="15.75" customHeight="1" x14ac:dyDescent="0.2">
      <c r="A68" s="231"/>
      <c r="B68" s="220" t="s">
        <v>762</v>
      </c>
      <c r="C68" s="273">
        <v>2.8390868899999999</v>
      </c>
      <c r="D68" s="273">
        <v>2.182617</v>
      </c>
      <c r="E68" s="273">
        <v>2.0395289999999999</v>
      </c>
      <c r="F68" s="273">
        <v>2.49541893</v>
      </c>
      <c r="G68" s="273">
        <v>2.4009469999999999</v>
      </c>
      <c r="H68" s="273">
        <v>2.6302368500000002</v>
      </c>
      <c r="I68" s="273">
        <v>2.0767302700000001</v>
      </c>
      <c r="J68" s="273">
        <v>2.3918350899999998</v>
      </c>
      <c r="K68" s="273">
        <v>2.2385236099999997</v>
      </c>
      <c r="L68" s="273">
        <v>2.9668233599999998</v>
      </c>
      <c r="M68" s="273">
        <v>2.0925051699999999</v>
      </c>
      <c r="N68" s="273">
        <v>0.96429628000000001</v>
      </c>
      <c r="O68" s="336">
        <v>27.318549449999995</v>
      </c>
    </row>
    <row r="69" spans="1:15" ht="15.75" customHeight="1" x14ac:dyDescent="0.2">
      <c r="A69" s="231"/>
      <c r="B69" s="220" t="s">
        <v>111</v>
      </c>
      <c r="C69" s="273">
        <v>833.78937371000006</v>
      </c>
      <c r="D69" s="273">
        <v>849.48299986999996</v>
      </c>
      <c r="E69" s="273">
        <v>1018.1165718200001</v>
      </c>
      <c r="F69" s="273">
        <v>932.43583688000001</v>
      </c>
      <c r="G69" s="273">
        <v>1103.5183916199999</v>
      </c>
      <c r="H69" s="273">
        <v>908.15200686000003</v>
      </c>
      <c r="I69" s="273">
        <v>1064.32557754</v>
      </c>
      <c r="J69" s="273">
        <v>1208.8982341400001</v>
      </c>
      <c r="K69" s="273">
        <v>1046.89566904</v>
      </c>
      <c r="L69" s="273">
        <v>1220.55752469</v>
      </c>
      <c r="M69" s="273">
        <v>1089.1230388199999</v>
      </c>
      <c r="N69" s="273">
        <v>1102.82858197</v>
      </c>
      <c r="O69" s="336">
        <v>12378.123806960002</v>
      </c>
    </row>
    <row r="70" spans="1:15" ht="15.75" customHeight="1" x14ac:dyDescent="0.2">
      <c r="A70" s="231"/>
      <c r="B70" s="220" t="s">
        <v>1119</v>
      </c>
      <c r="C70" s="273">
        <v>79.044162999999998</v>
      </c>
      <c r="D70" s="273">
        <v>62.369686000000002</v>
      </c>
      <c r="E70" s="273">
        <v>51.535007999999998</v>
      </c>
      <c r="F70" s="273">
        <v>53.931092999999997</v>
      </c>
      <c r="G70" s="273">
        <v>58.191792599999999</v>
      </c>
      <c r="H70" s="273">
        <v>55.345444000000001</v>
      </c>
      <c r="I70" s="273">
        <v>61.500607000000002</v>
      </c>
      <c r="J70" s="273">
        <v>56.802380999999997</v>
      </c>
      <c r="K70" s="273">
        <v>54.681277999999999</v>
      </c>
      <c r="L70" s="273">
        <v>52.686332999999998</v>
      </c>
      <c r="M70" s="273">
        <v>47.037695999999997</v>
      </c>
      <c r="N70" s="273">
        <v>35.383070289999999</v>
      </c>
      <c r="O70" s="336">
        <v>668.50855188999992</v>
      </c>
    </row>
    <row r="71" spans="1:15" ht="15.75" customHeight="1" x14ac:dyDescent="0.2">
      <c r="A71" s="231"/>
      <c r="B71" s="220" t="s">
        <v>498</v>
      </c>
      <c r="C71" s="273">
        <v>1.214575</v>
      </c>
      <c r="D71" s="273">
        <v>5.4884364400000001</v>
      </c>
      <c r="E71" s="273">
        <v>3.925745</v>
      </c>
      <c r="F71" s="273">
        <v>1.354835</v>
      </c>
      <c r="G71" s="273">
        <v>0.21962999999999999</v>
      </c>
      <c r="H71" s="273">
        <v>756.33724114999995</v>
      </c>
      <c r="I71" s="273">
        <v>0.22423000000000001</v>
      </c>
      <c r="J71" s="273">
        <v>0.14086000000000001</v>
      </c>
      <c r="K71" s="273">
        <v>0.20974145999999999</v>
      </c>
      <c r="L71" s="273">
        <v>0.37895678000000005</v>
      </c>
      <c r="M71" s="273">
        <v>0.24937500000000001</v>
      </c>
      <c r="N71" s="273">
        <v>5.7145000000000001E-2</v>
      </c>
      <c r="O71" s="336">
        <v>769.80077082999992</v>
      </c>
    </row>
    <row r="72" spans="1:15" ht="15.75" customHeight="1" x14ac:dyDescent="0.2">
      <c r="A72" s="231"/>
      <c r="B72" s="220" t="s">
        <v>849</v>
      </c>
      <c r="C72" s="273">
        <v>2.0577286999999997</v>
      </c>
      <c r="D72" s="273">
        <v>4.54323678</v>
      </c>
      <c r="E72" s="273">
        <v>1.1820365400000001</v>
      </c>
      <c r="F72" s="273">
        <v>3.1731095499999999</v>
      </c>
      <c r="G72" s="273">
        <v>4.2994822800000003</v>
      </c>
      <c r="H72" s="273">
        <v>0</v>
      </c>
      <c r="I72" s="273">
        <v>0</v>
      </c>
      <c r="J72" s="273">
        <v>0</v>
      </c>
      <c r="K72" s="273">
        <v>0</v>
      </c>
      <c r="L72" s="273">
        <v>0</v>
      </c>
      <c r="M72" s="273">
        <v>0</v>
      </c>
      <c r="N72" s="273">
        <v>0</v>
      </c>
      <c r="O72" s="336">
        <v>15.25559385</v>
      </c>
    </row>
    <row r="73" spans="1:15" ht="15.75" customHeight="1" x14ac:dyDescent="0.2">
      <c r="A73" s="231"/>
      <c r="B73" s="220" t="s">
        <v>850</v>
      </c>
      <c r="C73" s="273">
        <v>2.9000000000000001E-2</v>
      </c>
      <c r="D73" s="273">
        <v>3.2083020000000004E-2</v>
      </c>
      <c r="E73" s="273">
        <v>1.46E-2</v>
      </c>
      <c r="F73" s="273">
        <v>0.34620000000000001</v>
      </c>
      <c r="G73" s="273">
        <v>0.36559999999999998</v>
      </c>
      <c r="H73" s="273">
        <v>0.85499999999999998</v>
      </c>
      <c r="I73" s="273">
        <v>0.5484</v>
      </c>
      <c r="J73" s="273">
        <v>0.46946609</v>
      </c>
      <c r="K73" s="273">
        <v>0.15659999999999999</v>
      </c>
      <c r="L73" s="273">
        <v>8.0000000000000002E-3</v>
      </c>
      <c r="M73" s="273">
        <v>0.49640000000000001</v>
      </c>
      <c r="N73" s="273">
        <v>0.92068695</v>
      </c>
      <c r="O73" s="336">
        <v>4.2420360600000002</v>
      </c>
    </row>
    <row r="74" spans="1:15" ht="15.75" customHeight="1" x14ac:dyDescent="0.2">
      <c r="A74" s="220"/>
      <c r="B74" s="220"/>
      <c r="C74" s="273"/>
      <c r="D74" s="273"/>
      <c r="E74" s="273"/>
      <c r="F74" s="273"/>
      <c r="G74" s="273"/>
      <c r="H74" s="284"/>
      <c r="I74" s="284"/>
      <c r="J74" s="284"/>
      <c r="K74" s="284"/>
      <c r="L74" s="273"/>
      <c r="M74" s="273"/>
      <c r="N74" s="273"/>
      <c r="O74" s="336"/>
    </row>
    <row r="75" spans="1:15" ht="15.75" customHeight="1" x14ac:dyDescent="0.25">
      <c r="A75" s="217" t="s">
        <v>113</v>
      </c>
      <c r="B75" s="230"/>
      <c r="C75" s="333">
        <v>229.18789718666665</v>
      </c>
      <c r="D75" s="333">
        <v>232.74910217666664</v>
      </c>
      <c r="E75" s="333">
        <v>246.22582628666666</v>
      </c>
      <c r="F75" s="333">
        <v>243.75576011000001</v>
      </c>
      <c r="G75" s="333">
        <v>272.28186714000003</v>
      </c>
      <c r="H75" s="333">
        <v>252.18946749000003</v>
      </c>
      <c r="I75" s="333">
        <v>279.07555784333334</v>
      </c>
      <c r="J75" s="333">
        <v>230.44313470333336</v>
      </c>
      <c r="K75" s="333">
        <v>225.82038933333334</v>
      </c>
      <c r="L75" s="333">
        <v>207.51695519</v>
      </c>
      <c r="M75" s="333">
        <v>211.07405091000001</v>
      </c>
      <c r="N75" s="333">
        <v>195.56319053000001</v>
      </c>
      <c r="O75" s="334">
        <v>2825.8831989</v>
      </c>
    </row>
    <row r="76" spans="1:15" s="329" customFormat="1" ht="15.75" customHeight="1" x14ac:dyDescent="0.2">
      <c r="A76" s="341"/>
      <c r="B76" s="341" t="s">
        <v>763</v>
      </c>
      <c r="C76" s="336">
        <v>80.989958370000011</v>
      </c>
      <c r="D76" s="336">
        <v>84.549663359999997</v>
      </c>
      <c r="E76" s="336">
        <v>98.021305089999998</v>
      </c>
      <c r="F76" s="336">
        <v>121.44226085</v>
      </c>
      <c r="G76" s="336">
        <v>149.97213858000001</v>
      </c>
      <c r="H76" s="336">
        <v>129.87718893000002</v>
      </c>
      <c r="I76" s="336">
        <v>142.02063071999999</v>
      </c>
      <c r="J76" s="336">
        <v>93.390207579999995</v>
      </c>
      <c r="K76" s="336">
        <v>88.769912209999987</v>
      </c>
      <c r="L76" s="336">
        <v>84.134664959999995</v>
      </c>
      <c r="M76" s="336">
        <v>87.688260680000013</v>
      </c>
      <c r="N76" s="336">
        <v>72.182700299999993</v>
      </c>
      <c r="O76" s="336">
        <v>1233.0388916300001</v>
      </c>
    </row>
    <row r="77" spans="1:15" s="329" customFormat="1" ht="15.75" customHeight="1" x14ac:dyDescent="0.2">
      <c r="A77" s="341"/>
      <c r="B77" s="341" t="s">
        <v>114</v>
      </c>
      <c r="C77" s="336">
        <v>2.1000000000000001E-2</v>
      </c>
      <c r="D77" s="336">
        <v>3.2000000000000001E-2</v>
      </c>
      <c r="E77" s="336">
        <v>2.451238E-2</v>
      </c>
      <c r="F77" s="336">
        <v>3.5470699999999994E-2</v>
      </c>
      <c r="G77" s="336">
        <v>3.1E-2</v>
      </c>
      <c r="H77" s="336">
        <v>2.4E-2</v>
      </c>
      <c r="I77" s="336">
        <v>4.4999999999999998E-2</v>
      </c>
      <c r="J77" s="336">
        <v>4.1000000000000002E-2</v>
      </c>
      <c r="K77" s="336">
        <v>4.1000000000000002E-2</v>
      </c>
      <c r="L77" s="336">
        <v>4.7E-2</v>
      </c>
      <c r="M77" s="336">
        <v>4.5999999999999999E-2</v>
      </c>
      <c r="N77" s="336">
        <v>3.5999999999999997E-2</v>
      </c>
      <c r="O77" s="336">
        <v>0.4239830799999999</v>
      </c>
    </row>
    <row r="78" spans="1:15" s="329" customFormat="1" ht="15.75" customHeight="1" x14ac:dyDescent="0.2">
      <c r="A78" s="341"/>
      <c r="B78" s="341" t="s">
        <v>1120</v>
      </c>
      <c r="C78" s="336">
        <v>148.16673881666665</v>
      </c>
      <c r="D78" s="336">
        <v>148.16673881666665</v>
      </c>
      <c r="E78" s="336">
        <v>148.16673881666665</v>
      </c>
      <c r="F78" s="336">
        <v>122.26335856</v>
      </c>
      <c r="G78" s="336">
        <v>122.26335856</v>
      </c>
      <c r="H78" s="336">
        <v>122.26335856</v>
      </c>
      <c r="I78" s="336">
        <v>136.99230712333335</v>
      </c>
      <c r="J78" s="336">
        <v>136.99230712333335</v>
      </c>
      <c r="K78" s="336">
        <v>136.99230712333335</v>
      </c>
      <c r="L78" s="336">
        <v>123.31877023</v>
      </c>
      <c r="M78" s="336">
        <v>123.31877023</v>
      </c>
      <c r="N78" s="336">
        <v>123.31877023</v>
      </c>
      <c r="O78" s="336">
        <v>1592.2235241899998</v>
      </c>
    </row>
    <row r="79" spans="1:15" s="329" customFormat="1" ht="15.75" customHeight="1" x14ac:dyDescent="0.2">
      <c r="A79" s="341"/>
      <c r="B79" s="341" t="s">
        <v>1121</v>
      </c>
      <c r="C79" s="336">
        <v>1.0200000000000001E-2</v>
      </c>
      <c r="D79" s="336">
        <v>6.9999999999999999E-4</v>
      </c>
      <c r="E79" s="336">
        <v>1.3270000000000001E-2</v>
      </c>
      <c r="F79" s="336">
        <v>1.4670000000000001E-2</v>
      </c>
      <c r="G79" s="336">
        <v>1.537E-2</v>
      </c>
      <c r="H79" s="336">
        <v>2.4920000000000001E-2</v>
      </c>
      <c r="I79" s="336">
        <v>1.762E-2</v>
      </c>
      <c r="J79" s="336">
        <v>1.9619999999999999E-2</v>
      </c>
      <c r="K79" s="336">
        <v>1.7170000000000001E-2</v>
      </c>
      <c r="L79" s="336">
        <v>1.652E-2</v>
      </c>
      <c r="M79" s="336">
        <v>2.102E-2</v>
      </c>
      <c r="N79" s="336">
        <v>2.572E-2</v>
      </c>
      <c r="O79" s="336">
        <v>0.1968</v>
      </c>
    </row>
    <row r="80" spans="1:15" ht="15.75" customHeight="1" x14ac:dyDescent="0.25">
      <c r="A80" s="342"/>
      <c r="B80" s="343"/>
      <c r="C80" s="344"/>
      <c r="D80" s="344"/>
      <c r="E80" s="344"/>
      <c r="F80" s="344"/>
      <c r="G80" s="344"/>
      <c r="H80" s="344"/>
      <c r="I80" s="344"/>
      <c r="J80" s="344"/>
      <c r="K80" s="344"/>
      <c r="L80" s="344"/>
      <c r="M80" s="344"/>
      <c r="N80" s="344"/>
      <c r="O80" s="345"/>
    </row>
    <row r="81" spans="1:15" ht="15.75" customHeight="1" x14ac:dyDescent="0.25">
      <c r="A81" s="217" t="s">
        <v>853</v>
      </c>
      <c r="B81" s="230"/>
      <c r="C81" s="333">
        <v>0</v>
      </c>
      <c r="D81" s="333">
        <v>0</v>
      </c>
      <c r="E81" s="333">
        <v>21.452546850000001</v>
      </c>
      <c r="F81" s="333">
        <v>22.620735499999999</v>
      </c>
      <c r="G81" s="333">
        <v>51.43088685</v>
      </c>
      <c r="H81" s="333">
        <v>15.203278699999998</v>
      </c>
      <c r="I81" s="333">
        <v>12.830144000000001</v>
      </c>
      <c r="J81" s="333">
        <v>17.536973</v>
      </c>
      <c r="K81" s="333">
        <v>22.204570059999998</v>
      </c>
      <c r="L81" s="333">
        <v>11.9296945</v>
      </c>
      <c r="M81" s="333">
        <v>11.453186000000001</v>
      </c>
      <c r="N81" s="333">
        <v>199.37787564999999</v>
      </c>
      <c r="O81" s="334">
        <v>386.03989110999999</v>
      </c>
    </row>
    <row r="82" spans="1:15" ht="15.75" customHeight="1" x14ac:dyDescent="0.2">
      <c r="A82" s="220"/>
      <c r="B82" s="220" t="s">
        <v>854</v>
      </c>
      <c r="C82" s="273">
        <v>0</v>
      </c>
      <c r="D82" s="273">
        <v>0</v>
      </c>
      <c r="E82" s="273">
        <v>21.452546850000001</v>
      </c>
      <c r="F82" s="273">
        <v>22.620735499999999</v>
      </c>
      <c r="G82" s="273">
        <v>51.43088685</v>
      </c>
      <c r="H82" s="273">
        <v>15.203278699999998</v>
      </c>
      <c r="I82" s="273">
        <v>12.830144000000001</v>
      </c>
      <c r="J82" s="273">
        <v>17.536973</v>
      </c>
      <c r="K82" s="273">
        <v>22.204570059999998</v>
      </c>
      <c r="L82" s="273">
        <v>11.9296945</v>
      </c>
      <c r="M82" s="273">
        <v>11.453186000000001</v>
      </c>
      <c r="N82" s="273">
        <v>199.37787564999999</v>
      </c>
      <c r="O82" s="336">
        <v>386.03989110999999</v>
      </c>
    </row>
    <row r="83" spans="1:15" ht="15.75" customHeight="1" x14ac:dyDescent="0.2">
      <c r="A83" s="220"/>
      <c r="B83" s="220"/>
      <c r="C83" s="273"/>
      <c r="D83" s="273"/>
      <c r="E83" s="273"/>
      <c r="F83" s="273"/>
      <c r="G83" s="273"/>
      <c r="H83" s="273"/>
      <c r="I83" s="273"/>
      <c r="J83" s="273"/>
      <c r="K83" s="273"/>
      <c r="L83" s="273"/>
      <c r="M83" s="273"/>
      <c r="N83" s="273"/>
      <c r="O83" s="336"/>
    </row>
    <row r="84" spans="1:15" ht="15.75" customHeight="1" x14ac:dyDescent="0.25">
      <c r="A84" s="217" t="s">
        <v>324</v>
      </c>
      <c r="B84" s="230"/>
      <c r="C84" s="333">
        <v>21.572142540000002</v>
      </c>
      <c r="D84" s="333">
        <v>10.887816880000001</v>
      </c>
      <c r="E84" s="333">
        <v>23.504892179999999</v>
      </c>
      <c r="F84" s="333">
        <v>22.453635459999997</v>
      </c>
      <c r="G84" s="333">
        <v>8.5195291600000012</v>
      </c>
      <c r="H84" s="333">
        <v>37.079509520000002</v>
      </c>
      <c r="I84" s="333">
        <v>17.06404324</v>
      </c>
      <c r="J84" s="333">
        <v>22.113783680000001</v>
      </c>
      <c r="K84" s="333">
        <v>22.953246890000003</v>
      </c>
      <c r="L84" s="333">
        <v>33.674209230000002</v>
      </c>
      <c r="M84" s="333">
        <v>11.39185715</v>
      </c>
      <c r="N84" s="333">
        <v>264.69733558000001</v>
      </c>
      <c r="O84" s="334">
        <v>495.91200151000004</v>
      </c>
    </row>
    <row r="85" spans="1:15" ht="15.75" customHeight="1" x14ac:dyDescent="0.2">
      <c r="A85" s="231"/>
      <c r="B85" s="220" t="s">
        <v>855</v>
      </c>
      <c r="C85" s="273">
        <v>4.3499999999999997E-2</v>
      </c>
      <c r="D85" s="273">
        <v>2.3E-2</v>
      </c>
      <c r="E85" s="273">
        <v>5.4999999999999997E-3</v>
      </c>
      <c r="F85" s="273">
        <v>5.0000000000000001E-4</v>
      </c>
      <c r="G85" s="273">
        <v>5.4999999999999997E-3</v>
      </c>
      <c r="H85" s="273">
        <v>0</v>
      </c>
      <c r="I85" s="273">
        <v>0</v>
      </c>
      <c r="J85" s="273">
        <v>0</v>
      </c>
      <c r="K85" s="273">
        <v>0</v>
      </c>
      <c r="L85" s="273">
        <v>0</v>
      </c>
      <c r="M85" s="273">
        <v>0</v>
      </c>
      <c r="N85" s="273">
        <v>0</v>
      </c>
      <c r="O85" s="336">
        <v>7.8000000000000014E-2</v>
      </c>
    </row>
    <row r="86" spans="1:15" ht="15.75" customHeight="1" x14ac:dyDescent="0.2">
      <c r="A86" s="231"/>
      <c r="B86" s="220" t="s">
        <v>1059</v>
      </c>
      <c r="C86" s="273">
        <v>0.42017790000000005</v>
      </c>
      <c r="D86" s="273">
        <v>0.32061631000000002</v>
      </c>
      <c r="E86" s="273">
        <v>0.21556332</v>
      </c>
      <c r="F86" s="273">
        <v>0.49683847999999997</v>
      </c>
      <c r="G86" s="273">
        <v>0.22739497</v>
      </c>
      <c r="H86" s="273">
        <v>0.32103748999999998</v>
      </c>
      <c r="I86" s="273">
        <v>0.31308122999999999</v>
      </c>
      <c r="J86" s="273">
        <v>0.33025209</v>
      </c>
      <c r="K86" s="273">
        <v>0.33397414000000003</v>
      </c>
      <c r="L86" s="273">
        <v>0.36814247999999999</v>
      </c>
      <c r="M86" s="273">
        <v>0.47678582000000003</v>
      </c>
      <c r="N86" s="273">
        <v>0.12590788999999999</v>
      </c>
      <c r="O86" s="336">
        <v>3.94977212</v>
      </c>
    </row>
    <row r="87" spans="1:15" ht="15.75" customHeight="1" x14ac:dyDescent="0.2">
      <c r="A87" s="231"/>
      <c r="B87" s="220" t="s">
        <v>1122</v>
      </c>
      <c r="C87" s="273">
        <v>2.3595666</v>
      </c>
      <c r="D87" s="273">
        <v>1.3838743899999999</v>
      </c>
      <c r="E87" s="273">
        <v>1.2636707</v>
      </c>
      <c r="F87" s="273">
        <v>1.23661146</v>
      </c>
      <c r="G87" s="273">
        <v>1.46663232</v>
      </c>
      <c r="H87" s="273">
        <v>1.38603765</v>
      </c>
      <c r="I87" s="273">
        <v>0.6073096</v>
      </c>
      <c r="J87" s="273">
        <v>0.81158514000000004</v>
      </c>
      <c r="K87" s="273">
        <v>1.24966434</v>
      </c>
      <c r="L87" s="273">
        <v>1.1079644099999999</v>
      </c>
      <c r="M87" s="273">
        <v>0.88510288000000004</v>
      </c>
      <c r="N87" s="273">
        <v>0.96177933999999998</v>
      </c>
      <c r="O87" s="336">
        <v>14.71979883</v>
      </c>
    </row>
    <row r="88" spans="1:15" ht="15.75" customHeight="1" x14ac:dyDescent="0.2">
      <c r="A88" s="231"/>
      <c r="B88" s="220" t="s">
        <v>857</v>
      </c>
      <c r="C88" s="273">
        <v>8.4574190000000007E-2</v>
      </c>
      <c r="D88" s="273">
        <v>3.2650000000000001E-3</v>
      </c>
      <c r="E88" s="273">
        <v>0.10653264</v>
      </c>
      <c r="F88" s="273">
        <v>9.6414219999999995E-2</v>
      </c>
      <c r="G88" s="273">
        <v>0.13930018999999999</v>
      </c>
      <c r="H88" s="273">
        <v>2.6062410000000001E-2</v>
      </c>
      <c r="I88" s="273">
        <v>8.7568259999999995E-2</v>
      </c>
      <c r="J88" s="273">
        <v>6.4465739999999994E-2</v>
      </c>
      <c r="K88" s="273">
        <v>0.10900294000000001</v>
      </c>
      <c r="L88" s="273">
        <v>0.12601534</v>
      </c>
      <c r="M88" s="273">
        <v>0</v>
      </c>
      <c r="N88" s="273">
        <v>4.2499999999999998E-4</v>
      </c>
      <c r="O88" s="336">
        <v>0.84362593000000008</v>
      </c>
    </row>
    <row r="89" spans="1:15" ht="15.75" customHeight="1" x14ac:dyDescent="0.2">
      <c r="A89" s="231"/>
      <c r="B89" s="220" t="s">
        <v>858</v>
      </c>
      <c r="C89" s="273">
        <v>0</v>
      </c>
      <c r="D89" s="273">
        <v>0</v>
      </c>
      <c r="E89" s="273">
        <v>0</v>
      </c>
      <c r="F89" s="273">
        <v>0</v>
      </c>
      <c r="G89" s="273">
        <v>0</v>
      </c>
      <c r="H89" s="273">
        <v>0</v>
      </c>
      <c r="I89" s="273">
        <v>0</v>
      </c>
      <c r="J89" s="273">
        <v>0</v>
      </c>
      <c r="K89" s="273">
        <v>0</v>
      </c>
      <c r="L89" s="273">
        <v>0</v>
      </c>
      <c r="M89" s="273">
        <v>0</v>
      </c>
      <c r="N89" s="273">
        <v>0</v>
      </c>
      <c r="O89" s="336">
        <v>0</v>
      </c>
    </row>
    <row r="90" spans="1:15" ht="15.75" customHeight="1" x14ac:dyDescent="0.2">
      <c r="A90" s="231"/>
      <c r="B90" s="220" t="s">
        <v>859</v>
      </c>
      <c r="C90" s="273">
        <v>8.0999999999999996E-3</v>
      </c>
      <c r="D90" s="273">
        <v>9.1500000000000001E-3</v>
      </c>
      <c r="E90" s="273">
        <v>8.8500000000000002E-3</v>
      </c>
      <c r="F90" s="273">
        <v>1.155E-2</v>
      </c>
      <c r="G90" s="273">
        <v>1.14E-2</v>
      </c>
      <c r="H90" s="273">
        <v>8.9999999999999993E-3</v>
      </c>
      <c r="I90" s="273">
        <v>1.2149999999999999E-2</v>
      </c>
      <c r="J90" s="273">
        <v>1.2749999999999999E-2</v>
      </c>
      <c r="K90" s="273">
        <v>1.0500000000000001E-2</v>
      </c>
      <c r="L90" s="273">
        <v>1.47E-2</v>
      </c>
      <c r="M90" s="273">
        <v>0</v>
      </c>
      <c r="N90" s="273">
        <v>0</v>
      </c>
      <c r="O90" s="336">
        <v>0.10815</v>
      </c>
    </row>
    <row r="91" spans="1:15" ht="15.75" customHeight="1" x14ac:dyDescent="0.2">
      <c r="A91" s="231"/>
      <c r="B91" s="220" t="s">
        <v>512</v>
      </c>
      <c r="C91" s="273">
        <v>7.44792158</v>
      </c>
      <c r="D91" s="273">
        <v>6.8564599599999996</v>
      </c>
      <c r="E91" s="273">
        <v>21.629304359999999</v>
      </c>
      <c r="F91" s="273">
        <v>20.486959039999999</v>
      </c>
      <c r="G91" s="273">
        <v>6.3346043600000002</v>
      </c>
      <c r="H91" s="273">
        <v>35.162490990000002</v>
      </c>
      <c r="I91" s="273">
        <v>15.227021449999999</v>
      </c>
      <c r="J91" s="273">
        <v>14.6075938</v>
      </c>
      <c r="K91" s="273">
        <v>20.82233467</v>
      </c>
      <c r="L91" s="273">
        <v>10.837598939999999</v>
      </c>
      <c r="M91" s="273">
        <v>9.2478103800000007</v>
      </c>
      <c r="N91" s="273">
        <v>262.07106778000002</v>
      </c>
      <c r="O91" s="336">
        <v>430.73116731000005</v>
      </c>
    </row>
    <row r="92" spans="1:15" ht="15.75" customHeight="1" x14ac:dyDescent="0.2">
      <c r="A92" s="231"/>
      <c r="B92" s="220" t="s">
        <v>860</v>
      </c>
      <c r="C92" s="273">
        <v>11.208302269999999</v>
      </c>
      <c r="D92" s="273">
        <v>2.2914512200000003</v>
      </c>
      <c r="E92" s="273">
        <v>0.27547115999999999</v>
      </c>
      <c r="F92" s="273">
        <v>0.12476226</v>
      </c>
      <c r="G92" s="273">
        <v>0.33469732000000002</v>
      </c>
      <c r="H92" s="273">
        <v>0.17488098000000002</v>
      </c>
      <c r="I92" s="273">
        <v>0.81691269999999994</v>
      </c>
      <c r="J92" s="273">
        <v>6.2871369100000001</v>
      </c>
      <c r="K92" s="273">
        <v>0.42777080000000001</v>
      </c>
      <c r="L92" s="273">
        <v>21.219788059999999</v>
      </c>
      <c r="M92" s="273">
        <v>0.78215806999999993</v>
      </c>
      <c r="N92" s="273">
        <v>1.53815557</v>
      </c>
      <c r="O92" s="336">
        <v>45.481487320000006</v>
      </c>
    </row>
    <row r="93" spans="1:15" ht="15.75" customHeight="1" x14ac:dyDescent="0.2">
      <c r="A93" s="220"/>
      <c r="B93" s="220"/>
      <c r="C93" s="273"/>
      <c r="D93" s="273"/>
      <c r="E93" s="273"/>
      <c r="F93" s="273"/>
      <c r="G93" s="273"/>
      <c r="H93" s="273"/>
      <c r="I93" s="346"/>
      <c r="J93" s="346"/>
      <c r="K93" s="346"/>
      <c r="L93" s="346"/>
      <c r="M93" s="346"/>
      <c r="N93" s="346"/>
      <c r="O93" s="336"/>
    </row>
    <row r="94" spans="1:15" ht="15.75" customHeight="1" x14ac:dyDescent="0.25">
      <c r="A94" s="217" t="s">
        <v>128</v>
      </c>
      <c r="B94" s="230"/>
      <c r="C94" s="333">
        <v>126.47846673999999</v>
      </c>
      <c r="D94" s="333">
        <v>72.839918640000008</v>
      </c>
      <c r="E94" s="333">
        <v>84.2487414</v>
      </c>
      <c r="F94" s="333">
        <v>92.68478174000002</v>
      </c>
      <c r="G94" s="333">
        <v>73.826734950000002</v>
      </c>
      <c r="H94" s="333">
        <v>58.980921590000008</v>
      </c>
      <c r="I94" s="333">
        <v>70.495861769999962</v>
      </c>
      <c r="J94" s="333">
        <v>46.610503650000012</v>
      </c>
      <c r="K94" s="333">
        <v>86.525449329999958</v>
      </c>
      <c r="L94" s="333">
        <v>80.882631059999994</v>
      </c>
      <c r="M94" s="333">
        <v>60.746043409999999</v>
      </c>
      <c r="N94" s="333">
        <v>301.82974816000007</v>
      </c>
      <c r="O94" s="334">
        <v>1156.14980244</v>
      </c>
    </row>
    <row r="95" spans="1:15" ht="15.75" customHeight="1" x14ac:dyDescent="0.2">
      <c r="A95" s="220">
        <v>1</v>
      </c>
      <c r="B95" s="220" t="s">
        <v>765</v>
      </c>
      <c r="C95" s="273">
        <v>0.18081</v>
      </c>
      <c r="D95" s="273">
        <v>0.46106000000000003</v>
      </c>
      <c r="E95" s="273">
        <v>0.20086999999999999</v>
      </c>
      <c r="F95" s="273">
        <v>0.31358000000000003</v>
      </c>
      <c r="G95" s="273">
        <v>0.37790000000000001</v>
      </c>
      <c r="H95" s="273">
        <v>0.30032999999999999</v>
      </c>
      <c r="I95" s="273">
        <v>0.41493000000000002</v>
      </c>
      <c r="J95" s="273">
        <v>0.48923</v>
      </c>
      <c r="K95" s="273">
        <v>0.90427999999999997</v>
      </c>
      <c r="L95" s="273">
        <v>0.48482999999999998</v>
      </c>
      <c r="M95" s="273">
        <v>0.80647999999999997</v>
      </c>
      <c r="N95" s="273">
        <v>0.48585</v>
      </c>
      <c r="O95" s="336">
        <v>5.4201499999999996</v>
      </c>
    </row>
    <row r="96" spans="1:15" ht="15.75" customHeight="1" x14ac:dyDescent="0.2">
      <c r="A96" s="220">
        <v>2</v>
      </c>
      <c r="B96" s="220" t="s">
        <v>1123</v>
      </c>
      <c r="C96" s="273">
        <v>126.29765673999999</v>
      </c>
      <c r="D96" s="273">
        <v>72.378858640000004</v>
      </c>
      <c r="E96" s="273">
        <v>84.047871400000005</v>
      </c>
      <c r="F96" s="273">
        <v>92.371201740000018</v>
      </c>
      <c r="G96" s="273">
        <v>73.448834950000006</v>
      </c>
      <c r="H96" s="273">
        <v>58.680591590000006</v>
      </c>
      <c r="I96" s="273">
        <v>70.080931769999964</v>
      </c>
      <c r="J96" s="273">
        <v>46.121273650000013</v>
      </c>
      <c r="K96" s="273">
        <v>85.621169329999958</v>
      </c>
      <c r="L96" s="273">
        <v>80.397801059999992</v>
      </c>
      <c r="M96" s="273">
        <v>59.939563409999998</v>
      </c>
      <c r="N96" s="273">
        <v>301.34389816000004</v>
      </c>
      <c r="O96" s="336">
        <v>1150.7296524400001</v>
      </c>
    </row>
    <row r="97" spans="1:15" ht="15.75" customHeight="1" x14ac:dyDescent="0.25">
      <c r="A97" s="275"/>
      <c r="B97" s="343"/>
      <c r="C97" s="273"/>
      <c r="D97" s="276"/>
      <c r="E97" s="273"/>
      <c r="F97" s="276"/>
      <c r="G97" s="276"/>
      <c r="H97" s="276"/>
      <c r="I97" s="276"/>
      <c r="J97" s="276"/>
      <c r="K97" s="276"/>
      <c r="L97" s="276"/>
      <c r="M97" s="276"/>
      <c r="N97" s="276"/>
      <c r="O97" s="336"/>
    </row>
    <row r="98" spans="1:15" ht="15.75" customHeight="1" x14ac:dyDescent="0.25">
      <c r="A98" s="217" t="s">
        <v>140</v>
      </c>
      <c r="B98" s="230"/>
      <c r="C98" s="333">
        <v>12.550642569999999</v>
      </c>
      <c r="D98" s="333">
        <v>13.559572039999997</v>
      </c>
      <c r="E98" s="333">
        <v>15.370374669999999</v>
      </c>
      <c r="F98" s="333">
        <v>13.866559369999999</v>
      </c>
      <c r="G98" s="333">
        <v>15.294239799999998</v>
      </c>
      <c r="H98" s="333">
        <v>10.83341368</v>
      </c>
      <c r="I98" s="333">
        <v>14.541999360000002</v>
      </c>
      <c r="J98" s="333">
        <v>11.614697690000002</v>
      </c>
      <c r="K98" s="333">
        <v>13.135662149999998</v>
      </c>
      <c r="L98" s="333">
        <v>14.981703770000001</v>
      </c>
      <c r="M98" s="333">
        <v>14.951593659999999</v>
      </c>
      <c r="N98" s="333">
        <v>6.9534653999999998</v>
      </c>
      <c r="O98" s="334">
        <v>157.65392416000003</v>
      </c>
    </row>
    <row r="99" spans="1:15" ht="15.75" customHeight="1" x14ac:dyDescent="0.2">
      <c r="A99" s="231"/>
      <c r="B99" s="220" t="s">
        <v>142</v>
      </c>
      <c r="C99" s="273">
        <v>1.7881325299999999</v>
      </c>
      <c r="D99" s="273">
        <v>0.40182037999999998</v>
      </c>
      <c r="E99" s="273">
        <v>1.6052431599999999</v>
      </c>
      <c r="F99" s="273">
        <v>0.92739485999999993</v>
      </c>
      <c r="G99" s="273">
        <v>0.66465828999999987</v>
      </c>
      <c r="H99" s="273">
        <v>0.68485767999999991</v>
      </c>
      <c r="I99" s="273">
        <v>3.0737755199999999</v>
      </c>
      <c r="J99" s="273">
        <v>0.75380151000000006</v>
      </c>
      <c r="K99" s="273">
        <v>0.95689485000000007</v>
      </c>
      <c r="L99" s="273">
        <v>1.6070424099999998</v>
      </c>
      <c r="M99" s="273">
        <v>0.89797219000000006</v>
      </c>
      <c r="N99" s="273">
        <v>0.90112464000000003</v>
      </c>
      <c r="O99" s="336">
        <v>14.262718020000001</v>
      </c>
    </row>
    <row r="100" spans="1:15" ht="15.75" customHeight="1" x14ac:dyDescent="0.2">
      <c r="A100" s="231"/>
      <c r="B100" s="220" t="s">
        <v>141</v>
      </c>
      <c r="C100" s="273">
        <v>5.0000000000000001E-4</v>
      </c>
      <c r="D100" s="273">
        <v>0.44124408000000004</v>
      </c>
      <c r="E100" s="273">
        <v>0.35532556999999998</v>
      </c>
      <c r="F100" s="273">
        <v>9.3260400000000007E-3</v>
      </c>
      <c r="G100" s="273">
        <v>0.15161258999999999</v>
      </c>
      <c r="H100" s="273">
        <v>5.5838190000000003E-2</v>
      </c>
      <c r="I100" s="273">
        <v>0.22940853</v>
      </c>
      <c r="J100" s="273">
        <v>0</v>
      </c>
      <c r="K100" s="273">
        <v>0</v>
      </c>
      <c r="L100" s="273">
        <v>0</v>
      </c>
      <c r="M100" s="273">
        <v>0</v>
      </c>
      <c r="N100" s="273">
        <v>0</v>
      </c>
      <c r="O100" s="336">
        <v>1.243255</v>
      </c>
    </row>
    <row r="101" spans="1:15" ht="15.75" customHeight="1" x14ac:dyDescent="0.2">
      <c r="A101" s="231"/>
      <c r="B101" s="220" t="s">
        <v>143</v>
      </c>
      <c r="C101" s="273">
        <v>0.39691905999999999</v>
      </c>
      <c r="D101" s="273">
        <v>0.200598</v>
      </c>
      <c r="E101" s="273">
        <v>0.35924974999999998</v>
      </c>
      <c r="F101" s="273">
        <v>1.8814990700000001</v>
      </c>
      <c r="G101" s="273">
        <v>0.77094697000000001</v>
      </c>
      <c r="H101" s="273">
        <v>0.88205216000000009</v>
      </c>
      <c r="I101" s="273">
        <v>0.68862445999999999</v>
      </c>
      <c r="J101" s="273">
        <v>0.17341100000000001</v>
      </c>
      <c r="K101" s="273">
        <v>0.16209999999999999</v>
      </c>
      <c r="L101" s="273">
        <v>1.05714</v>
      </c>
      <c r="M101" s="273">
        <v>0.38872662000000002</v>
      </c>
      <c r="N101" s="273">
        <v>0.33846590000000004</v>
      </c>
      <c r="O101" s="336">
        <v>7.2997329899999981</v>
      </c>
    </row>
    <row r="102" spans="1:15" ht="15.75" customHeight="1" x14ac:dyDescent="0.2">
      <c r="A102" s="231"/>
      <c r="B102" s="220" t="s">
        <v>144</v>
      </c>
      <c r="C102" s="273">
        <v>0</v>
      </c>
      <c r="D102" s="273">
        <v>0</v>
      </c>
      <c r="E102" s="273">
        <v>0</v>
      </c>
      <c r="F102" s="273">
        <v>0</v>
      </c>
      <c r="G102" s="273">
        <v>0</v>
      </c>
      <c r="H102" s="273">
        <v>0</v>
      </c>
      <c r="I102" s="273">
        <v>0</v>
      </c>
      <c r="J102" s="273">
        <v>0</v>
      </c>
      <c r="K102" s="273">
        <v>0</v>
      </c>
      <c r="L102" s="273">
        <v>0</v>
      </c>
      <c r="M102" s="273">
        <v>0</v>
      </c>
      <c r="N102" s="273">
        <v>0</v>
      </c>
      <c r="O102" s="336">
        <v>0</v>
      </c>
    </row>
    <row r="103" spans="1:15" ht="15.75" customHeight="1" x14ac:dyDescent="0.2">
      <c r="A103" s="231"/>
      <c r="B103" s="220" t="s">
        <v>145</v>
      </c>
      <c r="C103" s="273">
        <v>2.7990854999999999</v>
      </c>
      <c r="D103" s="273">
        <v>3.1227999999999998</v>
      </c>
      <c r="E103" s="273">
        <v>3.6137176200000001</v>
      </c>
      <c r="F103" s="273">
        <v>2.6209500000000001</v>
      </c>
      <c r="G103" s="273">
        <v>3.0969251200000003</v>
      </c>
      <c r="H103" s="273">
        <v>2.3501159999999999</v>
      </c>
      <c r="I103" s="273">
        <v>1.9003920000000001</v>
      </c>
      <c r="J103" s="273">
        <v>1.9154389999999999</v>
      </c>
      <c r="K103" s="273">
        <v>2.729905</v>
      </c>
      <c r="L103" s="273">
        <v>2.8348930000000001</v>
      </c>
      <c r="M103" s="273">
        <v>4.15989963</v>
      </c>
      <c r="N103" s="273">
        <v>1.298467</v>
      </c>
      <c r="O103" s="336">
        <v>32.442589869999999</v>
      </c>
    </row>
    <row r="104" spans="1:15" ht="15.75" customHeight="1" x14ac:dyDescent="0.2">
      <c r="A104" s="231"/>
      <c r="B104" s="220" t="s">
        <v>716</v>
      </c>
      <c r="C104" s="273">
        <v>1.7781860900000002</v>
      </c>
      <c r="D104" s="273">
        <v>2.6109669100000001</v>
      </c>
      <c r="E104" s="273">
        <v>2.5823876499999998</v>
      </c>
      <c r="F104" s="273">
        <v>2.8120218299999999</v>
      </c>
      <c r="G104" s="273">
        <v>3.0064217599999998</v>
      </c>
      <c r="H104" s="273">
        <v>2.1290193399999997</v>
      </c>
      <c r="I104" s="273">
        <v>2.5947463700000002</v>
      </c>
      <c r="J104" s="273">
        <v>2.72087141</v>
      </c>
      <c r="K104" s="273">
        <v>2.5695123999999998</v>
      </c>
      <c r="L104" s="273">
        <v>3.2841799300000001</v>
      </c>
      <c r="M104" s="273">
        <v>2.6857355899999997</v>
      </c>
      <c r="N104" s="273">
        <v>1.58657537</v>
      </c>
      <c r="O104" s="336">
        <v>30.360624650000002</v>
      </c>
    </row>
    <row r="105" spans="1:15" ht="15.75" customHeight="1" x14ac:dyDescent="0.2">
      <c r="A105" s="231"/>
      <c r="B105" s="220" t="s">
        <v>147</v>
      </c>
      <c r="C105" s="273">
        <v>0</v>
      </c>
      <c r="D105" s="273">
        <v>0</v>
      </c>
      <c r="E105" s="273">
        <v>0</v>
      </c>
      <c r="F105" s="273">
        <v>0</v>
      </c>
      <c r="G105" s="273">
        <v>0</v>
      </c>
      <c r="H105" s="273">
        <v>0</v>
      </c>
      <c r="I105" s="273">
        <v>6.8199999999999997E-3</v>
      </c>
      <c r="J105" s="273">
        <v>0</v>
      </c>
      <c r="K105" s="273">
        <v>0</v>
      </c>
      <c r="L105" s="273">
        <v>0</v>
      </c>
      <c r="M105" s="273">
        <v>0</v>
      </c>
      <c r="N105" s="273">
        <v>0</v>
      </c>
      <c r="O105" s="336">
        <v>6.8199999999999997E-3</v>
      </c>
    </row>
    <row r="106" spans="1:15" ht="29.25" customHeight="1" x14ac:dyDescent="0.2">
      <c r="A106" s="231"/>
      <c r="B106" s="278" t="s">
        <v>766</v>
      </c>
      <c r="C106" s="273">
        <v>1.064335</v>
      </c>
      <c r="D106" s="273">
        <v>1.7544014999999999</v>
      </c>
      <c r="E106" s="273">
        <v>1.852139</v>
      </c>
      <c r="F106" s="273">
        <v>1.118727</v>
      </c>
      <c r="G106" s="273">
        <v>1.15387635</v>
      </c>
      <c r="H106" s="273">
        <v>0.76035850000000005</v>
      </c>
      <c r="I106" s="273">
        <v>0.70904699999999998</v>
      </c>
      <c r="J106" s="273">
        <v>1.2782720000000001</v>
      </c>
      <c r="K106" s="273">
        <v>1.4441805000000001</v>
      </c>
      <c r="L106" s="273">
        <v>1.5504065</v>
      </c>
      <c r="M106" s="273">
        <v>1.4631775</v>
      </c>
      <c r="N106" s="273">
        <v>1.7684869999999999</v>
      </c>
      <c r="O106" s="336">
        <v>15.917407849999998</v>
      </c>
    </row>
    <row r="107" spans="1:15" ht="15.75" customHeight="1" x14ac:dyDescent="0.2">
      <c r="A107" s="231"/>
      <c r="B107" s="220" t="s">
        <v>775</v>
      </c>
      <c r="C107" s="273">
        <v>1.2999999999999999E-2</v>
      </c>
      <c r="D107" s="273">
        <v>8.0000000000000002E-3</v>
      </c>
      <c r="E107" s="273">
        <v>2.9000000000000001E-2</v>
      </c>
      <c r="F107" s="273">
        <v>1.9E-2</v>
      </c>
      <c r="G107" s="273">
        <v>1.4E-2</v>
      </c>
      <c r="H107" s="273">
        <v>1.4E-2</v>
      </c>
      <c r="I107" s="273">
        <v>8.9999999999999993E-3</v>
      </c>
      <c r="J107" s="273">
        <v>2.3E-2</v>
      </c>
      <c r="K107" s="273">
        <v>4.9000000000000002E-2</v>
      </c>
      <c r="L107" s="273">
        <v>2.1000000000000001E-2</v>
      </c>
      <c r="M107" s="273">
        <v>7.1999999999999995E-2</v>
      </c>
      <c r="N107" s="273">
        <v>1.7000000000000001E-2</v>
      </c>
      <c r="O107" s="336">
        <v>0.28799999999999998</v>
      </c>
    </row>
    <row r="108" spans="1:15" ht="15.75" customHeight="1" x14ac:dyDescent="0.2">
      <c r="A108" s="231"/>
      <c r="B108" s="220" t="s">
        <v>150</v>
      </c>
      <c r="C108" s="273">
        <v>3.5529600000000001</v>
      </c>
      <c r="D108" s="273">
        <v>3.7756400000000001</v>
      </c>
      <c r="E108" s="273">
        <v>3.4573299999999998</v>
      </c>
      <c r="F108" s="273">
        <v>3.3032279999999998</v>
      </c>
      <c r="G108" s="273">
        <v>4.4761418700000002</v>
      </c>
      <c r="H108" s="273">
        <v>2.9636849999999999</v>
      </c>
      <c r="I108" s="273">
        <v>4.0691750000000004</v>
      </c>
      <c r="J108" s="273">
        <v>3.7437749999999999</v>
      </c>
      <c r="K108" s="273">
        <v>3.3862999999999999</v>
      </c>
      <c r="L108" s="273">
        <v>3.1097125000000001</v>
      </c>
      <c r="M108" s="273">
        <v>3.7657880000000001</v>
      </c>
      <c r="N108" s="273">
        <v>0</v>
      </c>
      <c r="O108" s="336">
        <v>39.603735370000003</v>
      </c>
    </row>
    <row r="109" spans="1:15" ht="15.75" customHeight="1" x14ac:dyDescent="0.2">
      <c r="A109" s="231"/>
      <c r="B109" s="220" t="s">
        <v>151</v>
      </c>
      <c r="C109" s="273">
        <v>0.40170620000000001</v>
      </c>
      <c r="D109" s="273">
        <v>0.51777355000000003</v>
      </c>
      <c r="E109" s="273">
        <v>0.37069412000000002</v>
      </c>
      <c r="F109" s="273">
        <v>0.45544565000000004</v>
      </c>
      <c r="G109" s="273">
        <v>0.50889980000000001</v>
      </c>
      <c r="H109" s="273">
        <v>0.37225350000000001</v>
      </c>
      <c r="I109" s="273">
        <v>0.45646199999999998</v>
      </c>
      <c r="J109" s="273">
        <v>0.42199599999999998</v>
      </c>
      <c r="K109" s="273">
        <v>0</v>
      </c>
      <c r="L109" s="273">
        <v>0</v>
      </c>
      <c r="M109" s="273">
        <v>0</v>
      </c>
      <c r="N109" s="273">
        <v>0</v>
      </c>
      <c r="O109" s="336">
        <v>3.5052308200000004</v>
      </c>
    </row>
    <row r="110" spans="1:15" ht="15.75" customHeight="1" x14ac:dyDescent="0.2">
      <c r="A110" s="231"/>
      <c r="B110" s="220" t="s">
        <v>1124</v>
      </c>
      <c r="C110" s="273">
        <v>0.75581818999999995</v>
      </c>
      <c r="D110" s="273">
        <v>0.72632761999999995</v>
      </c>
      <c r="E110" s="273">
        <v>1.1452878</v>
      </c>
      <c r="F110" s="273">
        <v>0.71896692000000006</v>
      </c>
      <c r="G110" s="273">
        <v>1.45075705</v>
      </c>
      <c r="H110" s="273">
        <v>0.62123331000000004</v>
      </c>
      <c r="I110" s="273">
        <v>0.80454848000000001</v>
      </c>
      <c r="J110" s="273">
        <v>0.58413177000000005</v>
      </c>
      <c r="K110" s="273">
        <v>1.8377694</v>
      </c>
      <c r="L110" s="273">
        <v>1.51732943</v>
      </c>
      <c r="M110" s="273">
        <v>1.5182941299999999</v>
      </c>
      <c r="N110" s="273">
        <v>1.0433454900000001</v>
      </c>
      <c r="O110" s="336">
        <v>12.72380959</v>
      </c>
    </row>
    <row r="111" spans="1:15" ht="15.75" customHeight="1" x14ac:dyDescent="0.2">
      <c r="A111" s="220"/>
      <c r="B111" s="220"/>
      <c r="C111" s="273"/>
      <c r="D111" s="273"/>
      <c r="E111" s="273"/>
      <c r="F111" s="273"/>
      <c r="G111" s="273"/>
      <c r="H111" s="273"/>
      <c r="I111" s="273"/>
      <c r="J111" s="273"/>
      <c r="K111" s="273"/>
      <c r="L111" s="273"/>
      <c r="M111" s="273"/>
      <c r="N111" s="273"/>
      <c r="O111" s="336"/>
    </row>
    <row r="112" spans="1:15" ht="15.75" customHeight="1" x14ac:dyDescent="0.25">
      <c r="A112" s="217" t="s">
        <v>1030</v>
      </c>
      <c r="B112" s="230"/>
      <c r="C112" s="333">
        <v>1.40601756</v>
      </c>
      <c r="D112" s="333">
        <v>1.41211877</v>
      </c>
      <c r="E112" s="333">
        <v>2.6571111699999999</v>
      </c>
      <c r="F112" s="333">
        <v>1.3331953999999999</v>
      </c>
      <c r="G112" s="333">
        <v>3.4430124200000001</v>
      </c>
      <c r="H112" s="333">
        <v>3.5929943300000002</v>
      </c>
      <c r="I112" s="333">
        <v>2.0292341</v>
      </c>
      <c r="J112" s="333">
        <v>2.3245653699999997</v>
      </c>
      <c r="K112" s="333">
        <v>2.9920260499999998</v>
      </c>
      <c r="L112" s="333">
        <v>7.3062434099999995</v>
      </c>
      <c r="M112" s="333">
        <v>5.4087251299999997</v>
      </c>
      <c r="N112" s="333">
        <v>6.5503993600000001</v>
      </c>
      <c r="O112" s="334">
        <v>40.455643070000001</v>
      </c>
    </row>
    <row r="113" spans="1:15" ht="15.75" customHeight="1" x14ac:dyDescent="0.2">
      <c r="A113" s="231"/>
      <c r="B113" s="220" t="s">
        <v>768</v>
      </c>
      <c r="C113" s="273">
        <v>1.11251221</v>
      </c>
      <c r="D113" s="273">
        <v>1.1079682200000001</v>
      </c>
      <c r="E113" s="273">
        <v>1.9517430099999999</v>
      </c>
      <c r="F113" s="273">
        <v>1.3217953999999998</v>
      </c>
      <c r="G113" s="273">
        <v>2.76343943</v>
      </c>
      <c r="H113" s="273">
        <v>2.0974693700000002</v>
      </c>
      <c r="I113" s="273">
        <v>1.6121611100000002</v>
      </c>
      <c r="J113" s="273">
        <v>1.9074923799999999</v>
      </c>
      <c r="K113" s="273">
        <v>1.6184945800000001</v>
      </c>
      <c r="L113" s="273">
        <v>5.6078466599999999</v>
      </c>
      <c r="M113" s="273">
        <v>4.7536955299999999</v>
      </c>
      <c r="N113" s="273">
        <v>6.3223993600000004</v>
      </c>
      <c r="O113" s="336">
        <v>32.17701726</v>
      </c>
    </row>
    <row r="114" spans="1:15" ht="15.75" customHeight="1" x14ac:dyDescent="0.2">
      <c r="A114" s="231"/>
      <c r="B114" s="220" t="s">
        <v>1111</v>
      </c>
      <c r="C114" s="273">
        <v>0.29350535</v>
      </c>
      <c r="D114" s="273">
        <v>0.30415054999999996</v>
      </c>
      <c r="E114" s="273">
        <v>0.70536816000000002</v>
      </c>
      <c r="F114" s="273">
        <v>1.14E-2</v>
      </c>
      <c r="G114" s="273">
        <v>0.67957299000000004</v>
      </c>
      <c r="H114" s="273">
        <v>1.49552496</v>
      </c>
      <c r="I114" s="273">
        <v>0.41707298999999998</v>
      </c>
      <c r="J114" s="273">
        <v>0.41707298999999998</v>
      </c>
      <c r="K114" s="273">
        <v>1.3735314699999999</v>
      </c>
      <c r="L114" s="273">
        <v>1.6983967499999999</v>
      </c>
      <c r="M114" s="273">
        <v>0.65502959999999999</v>
      </c>
      <c r="N114" s="273">
        <v>0.22800000000000001</v>
      </c>
      <c r="O114" s="336">
        <v>8.2786258099999994</v>
      </c>
    </row>
    <row r="115" spans="1:15" ht="15.75" customHeight="1" x14ac:dyDescent="0.2">
      <c r="A115" s="220"/>
      <c r="B115" s="220"/>
      <c r="C115" s="273"/>
      <c r="D115" s="273"/>
      <c r="E115" s="273"/>
      <c r="F115" s="273"/>
      <c r="G115" s="273"/>
      <c r="H115" s="273"/>
      <c r="I115" s="273"/>
      <c r="J115" s="273"/>
      <c r="K115" s="273"/>
      <c r="L115" s="273"/>
      <c r="M115" s="273"/>
      <c r="N115" s="273"/>
      <c r="O115" s="336"/>
    </row>
    <row r="116" spans="1:15" ht="15.75" customHeight="1" x14ac:dyDescent="0.25">
      <c r="A116" s="217" t="s">
        <v>161</v>
      </c>
      <c r="B116" s="230"/>
      <c r="C116" s="333">
        <v>1.09366856</v>
      </c>
      <c r="D116" s="333">
        <v>1.19824708</v>
      </c>
      <c r="E116" s="333">
        <v>5.0959530100000006</v>
      </c>
      <c r="F116" s="333">
        <v>4.1430562999999996</v>
      </c>
      <c r="G116" s="333">
        <v>0.58252943000000001</v>
      </c>
      <c r="H116" s="333">
        <v>0.39606314000000004</v>
      </c>
      <c r="I116" s="333">
        <v>0.99883752000000003</v>
      </c>
      <c r="J116" s="333">
        <v>0.3476011</v>
      </c>
      <c r="K116" s="333">
        <v>0.52095064000000002</v>
      </c>
      <c r="L116" s="333">
        <v>0.11208053999999999</v>
      </c>
      <c r="M116" s="333">
        <v>2.1160027000000001</v>
      </c>
      <c r="N116" s="333">
        <v>0.21028135000000001</v>
      </c>
      <c r="O116" s="334">
        <v>16.815271369999998</v>
      </c>
    </row>
    <row r="117" spans="1:15" ht="15.75" customHeight="1" x14ac:dyDescent="0.2">
      <c r="A117" s="231"/>
      <c r="B117" s="220" t="s">
        <v>769</v>
      </c>
      <c r="C117" s="273">
        <v>0</v>
      </c>
      <c r="D117" s="273">
        <v>0</v>
      </c>
      <c r="E117" s="273">
        <v>1.01E-2</v>
      </c>
      <c r="F117" s="273">
        <v>0</v>
      </c>
      <c r="G117" s="273">
        <v>0</v>
      </c>
      <c r="H117" s="273">
        <v>1.2774549999999999E-2</v>
      </c>
      <c r="I117" s="273">
        <v>0</v>
      </c>
      <c r="J117" s="273">
        <v>0</v>
      </c>
      <c r="K117" s="273">
        <v>0</v>
      </c>
      <c r="L117" s="273">
        <v>0</v>
      </c>
      <c r="M117" s="273">
        <v>0</v>
      </c>
      <c r="N117" s="273">
        <v>8.0000000000000004E-4</v>
      </c>
      <c r="O117" s="336">
        <v>2.3674549999999999E-2</v>
      </c>
    </row>
    <row r="118" spans="1:15" ht="15.75" customHeight="1" x14ac:dyDescent="0.2">
      <c r="A118" s="231"/>
      <c r="B118" s="220" t="s">
        <v>165</v>
      </c>
      <c r="C118" s="273">
        <v>1.09366856</v>
      </c>
      <c r="D118" s="273">
        <v>1.19824708</v>
      </c>
      <c r="E118" s="273">
        <v>5.0858530100000001</v>
      </c>
      <c r="F118" s="273">
        <v>4.1430562999999996</v>
      </c>
      <c r="G118" s="273">
        <v>0.58252943000000001</v>
      </c>
      <c r="H118" s="273">
        <v>0.38328859000000004</v>
      </c>
      <c r="I118" s="273">
        <v>0.99883752000000003</v>
      </c>
      <c r="J118" s="273">
        <v>0.3476011</v>
      </c>
      <c r="K118" s="273">
        <v>0.52095064000000002</v>
      </c>
      <c r="L118" s="273">
        <v>0.11208053999999999</v>
      </c>
      <c r="M118" s="273">
        <v>2.1160027000000001</v>
      </c>
      <c r="N118" s="273">
        <v>0.20948135000000001</v>
      </c>
      <c r="O118" s="336">
        <v>16.791596819999999</v>
      </c>
    </row>
    <row r="119" spans="1:15" ht="15.75" customHeight="1" x14ac:dyDescent="0.2">
      <c r="A119" s="220"/>
      <c r="B119" s="220"/>
      <c r="C119" s="273"/>
      <c r="D119" s="273"/>
      <c r="E119" s="273"/>
      <c r="F119" s="273"/>
      <c r="G119" s="273"/>
      <c r="H119" s="273"/>
      <c r="I119" s="273"/>
      <c r="J119" s="273"/>
      <c r="K119" s="273"/>
      <c r="L119" s="273"/>
      <c r="M119" s="273"/>
      <c r="N119" s="273"/>
      <c r="O119" s="336"/>
    </row>
    <row r="120" spans="1:15" ht="15.75" customHeight="1" x14ac:dyDescent="0.25">
      <c r="A120" s="217" t="s">
        <v>166</v>
      </c>
      <c r="B120" s="230"/>
      <c r="C120" s="333">
        <v>145.22509142000001</v>
      </c>
      <c r="D120" s="333">
        <v>106.02657446999999</v>
      </c>
      <c r="E120" s="333">
        <v>81.803763199999992</v>
      </c>
      <c r="F120" s="333">
        <v>80.219028429999995</v>
      </c>
      <c r="G120" s="333">
        <v>79.860728060000014</v>
      </c>
      <c r="H120" s="333">
        <v>71.183242030000002</v>
      </c>
      <c r="I120" s="333">
        <v>87.236797459999991</v>
      </c>
      <c r="J120" s="333">
        <v>77.920912779999981</v>
      </c>
      <c r="K120" s="333">
        <v>80.689738679999991</v>
      </c>
      <c r="L120" s="333">
        <v>75.950146389999986</v>
      </c>
      <c r="M120" s="333">
        <v>71.28142708</v>
      </c>
      <c r="N120" s="333">
        <v>53.898070320000002</v>
      </c>
      <c r="O120" s="334">
        <v>1011.29552032</v>
      </c>
    </row>
    <row r="121" spans="1:15" ht="15.75" customHeight="1" x14ac:dyDescent="0.2">
      <c r="A121" s="231"/>
      <c r="B121" s="220" t="s">
        <v>168</v>
      </c>
      <c r="C121" s="273">
        <v>2.7209897999999999</v>
      </c>
      <c r="D121" s="273">
        <v>4.5915421500000004</v>
      </c>
      <c r="E121" s="273">
        <v>2.7602381600000001</v>
      </c>
      <c r="F121" s="273">
        <v>3.1929657000000002</v>
      </c>
      <c r="G121" s="273">
        <v>5.6315188799999998</v>
      </c>
      <c r="H121" s="273">
        <v>3.0677293300000001</v>
      </c>
      <c r="I121" s="273">
        <v>6.2489877199999997</v>
      </c>
      <c r="J121" s="273">
        <v>4.4055374800000004</v>
      </c>
      <c r="K121" s="273">
        <v>6.0253600800000005</v>
      </c>
      <c r="L121" s="273">
        <v>3.6301728799999999</v>
      </c>
      <c r="M121" s="273">
        <v>4.5185949599999997</v>
      </c>
      <c r="N121" s="273">
        <v>3.1615700899999997</v>
      </c>
      <c r="O121" s="336">
        <v>49.955207229999999</v>
      </c>
    </row>
    <row r="122" spans="1:15" ht="15.75" customHeight="1" x14ac:dyDescent="0.2">
      <c r="A122" s="231"/>
      <c r="B122" s="220" t="s">
        <v>1031</v>
      </c>
      <c r="C122" s="273">
        <v>11.068392320000001</v>
      </c>
      <c r="D122" s="273">
        <v>12.98185544</v>
      </c>
      <c r="E122" s="273">
        <v>3.3604096000000001</v>
      </c>
      <c r="F122" s="273">
        <v>1.3390519999999999</v>
      </c>
      <c r="G122" s="273">
        <v>1.87429439</v>
      </c>
      <c r="H122" s="273">
        <v>2.6739852400000004</v>
      </c>
      <c r="I122" s="273">
        <v>1.6957739999999999</v>
      </c>
      <c r="J122" s="273">
        <v>1.451794</v>
      </c>
      <c r="K122" s="273">
        <v>1.19465077</v>
      </c>
      <c r="L122" s="273">
        <v>1.5221359999999999</v>
      </c>
      <c r="M122" s="273">
        <v>2.1899519999999999</v>
      </c>
      <c r="N122" s="273">
        <v>4.08764708</v>
      </c>
      <c r="O122" s="336">
        <v>45.439942840000001</v>
      </c>
    </row>
    <row r="123" spans="1:15" ht="15.75" customHeight="1" x14ac:dyDescent="0.2">
      <c r="A123" s="231"/>
      <c r="B123" s="220" t="s">
        <v>230</v>
      </c>
      <c r="C123" s="273">
        <v>4.2599837800000007</v>
      </c>
      <c r="D123" s="273">
        <v>4.9109577099999999</v>
      </c>
      <c r="E123" s="273">
        <v>1.0731517800000001</v>
      </c>
      <c r="F123" s="273">
        <v>0.83864731999999997</v>
      </c>
      <c r="G123" s="273">
        <v>1.2408551699999999</v>
      </c>
      <c r="H123" s="273">
        <v>0.96232465</v>
      </c>
      <c r="I123" s="273">
        <v>1.4137045500000001</v>
      </c>
      <c r="J123" s="273">
        <v>1.6432093000000001</v>
      </c>
      <c r="K123" s="273">
        <v>1.9274676899999998</v>
      </c>
      <c r="L123" s="273">
        <v>2.1126399300000003</v>
      </c>
      <c r="M123" s="273">
        <v>2.14965414</v>
      </c>
      <c r="N123" s="273">
        <v>3.5249338199999998</v>
      </c>
      <c r="O123" s="336">
        <v>26.057529840000001</v>
      </c>
    </row>
    <row r="124" spans="1:15" ht="15.75" customHeight="1" x14ac:dyDescent="0.2">
      <c r="A124" s="231"/>
      <c r="B124" s="220" t="s">
        <v>167</v>
      </c>
      <c r="C124" s="273">
        <v>127.17452152</v>
      </c>
      <c r="D124" s="273">
        <v>83.542219169999996</v>
      </c>
      <c r="E124" s="273">
        <v>74.609963659999991</v>
      </c>
      <c r="F124" s="273">
        <v>74.83721340999999</v>
      </c>
      <c r="G124" s="273">
        <v>71.114059620000006</v>
      </c>
      <c r="H124" s="273">
        <v>64.478202809999999</v>
      </c>
      <c r="I124" s="273">
        <v>77.878331189999997</v>
      </c>
      <c r="J124" s="273">
        <v>70.412871999999993</v>
      </c>
      <c r="K124" s="273">
        <v>71.542260139999996</v>
      </c>
      <c r="L124" s="273">
        <v>68.685197579999993</v>
      </c>
      <c r="M124" s="273">
        <v>62.423225979999998</v>
      </c>
      <c r="N124" s="273">
        <v>43.12391933</v>
      </c>
      <c r="O124" s="336">
        <v>889.82198641000002</v>
      </c>
    </row>
    <row r="125" spans="1:15" ht="15.75" hidden="1" customHeight="1" x14ac:dyDescent="0.2">
      <c r="A125" s="231"/>
      <c r="B125" s="220" t="s">
        <v>776</v>
      </c>
      <c r="C125" s="273">
        <v>0</v>
      </c>
      <c r="D125" s="273">
        <v>0</v>
      </c>
      <c r="E125" s="273">
        <v>0</v>
      </c>
      <c r="F125" s="273">
        <v>0</v>
      </c>
      <c r="G125" s="273">
        <v>0</v>
      </c>
      <c r="H125" s="273">
        <v>0</v>
      </c>
      <c r="I125" s="273">
        <v>0</v>
      </c>
      <c r="J125" s="273">
        <v>0</v>
      </c>
      <c r="K125" s="273">
        <v>0</v>
      </c>
      <c r="L125" s="273">
        <v>0</v>
      </c>
      <c r="M125" s="273">
        <v>0</v>
      </c>
      <c r="N125" s="273">
        <v>0</v>
      </c>
      <c r="O125" s="336">
        <v>0</v>
      </c>
    </row>
    <row r="126" spans="1:15" ht="15.75" customHeight="1" x14ac:dyDescent="0.2">
      <c r="A126" s="231"/>
      <c r="B126" s="220" t="s">
        <v>1125</v>
      </c>
      <c r="C126" s="273">
        <v>1.204E-3</v>
      </c>
      <c r="D126" s="273">
        <v>0</v>
      </c>
      <c r="E126" s="273">
        <v>0</v>
      </c>
      <c r="F126" s="273">
        <v>1.115E-2</v>
      </c>
      <c r="G126" s="273">
        <v>0</v>
      </c>
      <c r="H126" s="273">
        <v>1E-3</v>
      </c>
      <c r="I126" s="273">
        <v>0</v>
      </c>
      <c r="J126" s="273">
        <v>7.4999999999999997E-3</v>
      </c>
      <c r="K126" s="273">
        <v>0</v>
      </c>
      <c r="L126" s="273">
        <v>0</v>
      </c>
      <c r="M126" s="273">
        <v>0</v>
      </c>
      <c r="N126" s="273">
        <v>0</v>
      </c>
      <c r="O126" s="336">
        <v>2.0854000000000001E-2</v>
      </c>
    </row>
    <row r="127" spans="1:15" ht="15.75" hidden="1" customHeight="1" x14ac:dyDescent="0.2">
      <c r="A127" s="231">
        <v>7</v>
      </c>
      <c r="B127" s="347" t="s">
        <v>119</v>
      </c>
      <c r="C127" s="348"/>
      <c r="D127" s="348"/>
      <c r="E127" s="348"/>
      <c r="F127" s="348"/>
      <c r="G127" s="348"/>
      <c r="H127" s="348"/>
      <c r="I127" s="348"/>
      <c r="J127" s="348"/>
      <c r="K127" s="348"/>
      <c r="L127" s="348"/>
      <c r="M127" s="348"/>
      <c r="N127" s="348"/>
      <c r="O127" s="349">
        <v>0</v>
      </c>
    </row>
    <row r="128" spans="1:15" ht="15.75" customHeight="1" x14ac:dyDescent="0.2">
      <c r="A128" s="220"/>
      <c r="B128" s="220"/>
      <c r="C128" s="273"/>
      <c r="D128" s="273"/>
      <c r="E128" s="273"/>
      <c r="F128" s="273" t="s">
        <v>6</v>
      </c>
      <c r="G128" s="273"/>
      <c r="H128" s="273"/>
      <c r="I128" s="273"/>
      <c r="J128" s="273"/>
      <c r="K128" s="273"/>
      <c r="L128" s="273"/>
      <c r="M128" s="273"/>
      <c r="N128" s="273"/>
      <c r="O128" s="336"/>
    </row>
    <row r="129" spans="1:15" ht="15.75" customHeight="1" x14ac:dyDescent="0.25">
      <c r="A129" s="217" t="s">
        <v>669</v>
      </c>
      <c r="B129" s="230"/>
      <c r="C129" s="333">
        <v>995.02082113000006</v>
      </c>
      <c r="D129" s="333">
        <v>992.60996353999997</v>
      </c>
      <c r="E129" s="333">
        <v>1090.8213656299999</v>
      </c>
      <c r="F129" s="333">
        <v>968.95142927999996</v>
      </c>
      <c r="G129" s="333">
        <v>990.91203495000002</v>
      </c>
      <c r="H129" s="333">
        <v>1071.5158424000001</v>
      </c>
      <c r="I129" s="333">
        <v>1079.5129347399998</v>
      </c>
      <c r="J129" s="333">
        <v>984.16240929000014</v>
      </c>
      <c r="K129" s="333">
        <v>1111.1233052099999</v>
      </c>
      <c r="L129" s="333">
        <v>900.40888953000001</v>
      </c>
      <c r="M129" s="333">
        <v>835.27764790999993</v>
      </c>
      <c r="N129" s="333">
        <v>916.49272910000002</v>
      </c>
      <c r="O129" s="334">
        <v>11936.809372709999</v>
      </c>
    </row>
    <row r="130" spans="1:15" ht="15.75" customHeight="1" x14ac:dyDescent="0.2">
      <c r="A130" s="231"/>
      <c r="B130" s="220" t="s">
        <v>1126</v>
      </c>
      <c r="C130" s="273">
        <v>26.684740229999999</v>
      </c>
      <c r="D130" s="273">
        <v>23.252942630000003</v>
      </c>
      <c r="E130" s="273">
        <v>22.363207880000001</v>
      </c>
      <c r="F130" s="273">
        <v>26.593843829999997</v>
      </c>
      <c r="G130" s="273">
        <v>27.758851829999998</v>
      </c>
      <c r="H130" s="273">
        <v>24.483053730000002</v>
      </c>
      <c r="I130" s="273">
        <v>27.99516723</v>
      </c>
      <c r="J130" s="273">
        <v>26.372410079999998</v>
      </c>
      <c r="K130" s="273">
        <v>22.092139679999999</v>
      </c>
      <c r="L130" s="273">
        <v>22.562641199999998</v>
      </c>
      <c r="M130" s="273">
        <v>21.874896100000001</v>
      </c>
      <c r="N130" s="273">
        <v>19.437528889999999</v>
      </c>
      <c r="O130" s="336">
        <v>291.47142331000003</v>
      </c>
    </row>
    <row r="131" spans="1:15" ht="15.75" customHeight="1" x14ac:dyDescent="0.2">
      <c r="A131" s="231"/>
      <c r="B131" s="220" t="s">
        <v>176</v>
      </c>
      <c r="C131" s="273">
        <v>18.239818230000001</v>
      </c>
      <c r="D131" s="273">
        <v>11.158323730000001</v>
      </c>
      <c r="E131" s="273">
        <v>14.4186359</v>
      </c>
      <c r="F131" s="273">
        <v>17.501735329999999</v>
      </c>
      <c r="G131" s="273">
        <v>16.403871729999999</v>
      </c>
      <c r="H131" s="273">
        <v>16.549479999999999</v>
      </c>
      <c r="I131" s="273">
        <v>14.78185</v>
      </c>
      <c r="J131" s="273">
        <v>16.16564</v>
      </c>
      <c r="K131" s="273">
        <v>18.795819999999999</v>
      </c>
      <c r="L131" s="273">
        <v>21.011891760000001</v>
      </c>
      <c r="M131" s="273">
        <v>16.108928670000001</v>
      </c>
      <c r="N131" s="273">
        <v>17.53825247</v>
      </c>
      <c r="O131" s="336">
        <v>198.67424782000001</v>
      </c>
    </row>
    <row r="132" spans="1:15" ht="14.25" x14ac:dyDescent="0.2">
      <c r="A132" s="231"/>
      <c r="B132" s="220" t="s">
        <v>777</v>
      </c>
      <c r="C132" s="273">
        <v>40.095375159999996</v>
      </c>
      <c r="D132" s="273">
        <v>43.933289860000002</v>
      </c>
      <c r="E132" s="273">
        <v>41.286335130000005</v>
      </c>
      <c r="F132" s="273">
        <v>49.800601389999997</v>
      </c>
      <c r="G132" s="273">
        <v>42.560097140000003</v>
      </c>
      <c r="H132" s="273">
        <v>35.936864849999999</v>
      </c>
      <c r="I132" s="273">
        <v>42.292264580000001</v>
      </c>
      <c r="J132" s="273">
        <v>42.87923979</v>
      </c>
      <c r="K132" s="273">
        <v>65.471091099999995</v>
      </c>
      <c r="L132" s="273">
        <v>40.538821280000001</v>
      </c>
      <c r="M132" s="273">
        <v>33.064984179999996</v>
      </c>
      <c r="N132" s="273">
        <v>27.114455460000002</v>
      </c>
      <c r="O132" s="336">
        <v>504.97341992000003</v>
      </c>
    </row>
    <row r="133" spans="1:15" ht="15.75" customHeight="1" x14ac:dyDescent="0.2">
      <c r="A133" s="231"/>
      <c r="B133" s="220" t="s">
        <v>178</v>
      </c>
      <c r="C133" s="273">
        <v>673.50182305999999</v>
      </c>
      <c r="D133" s="273">
        <v>620.04160832000002</v>
      </c>
      <c r="E133" s="273">
        <v>587.78036630999998</v>
      </c>
      <c r="F133" s="273">
        <v>609.30603326999994</v>
      </c>
      <c r="G133" s="273">
        <v>648.63958739999998</v>
      </c>
      <c r="H133" s="273">
        <v>589.47738822000008</v>
      </c>
      <c r="I133" s="273">
        <v>685.70366421999995</v>
      </c>
      <c r="J133" s="273">
        <v>665.26831847000005</v>
      </c>
      <c r="K133" s="273">
        <v>593.67706379999993</v>
      </c>
      <c r="L133" s="273">
        <v>569.93968092999989</v>
      </c>
      <c r="M133" s="273">
        <v>495.50710630000003</v>
      </c>
      <c r="N133" s="273">
        <v>409.85102644</v>
      </c>
      <c r="O133" s="336">
        <v>7148.6936667399996</v>
      </c>
    </row>
    <row r="134" spans="1:15" ht="15.75" customHeight="1" x14ac:dyDescent="0.2">
      <c r="A134" s="231"/>
      <c r="B134" s="220" t="s">
        <v>180</v>
      </c>
      <c r="C134" s="273">
        <v>41.059047899999996</v>
      </c>
      <c r="D134" s="273">
        <v>39.314823229999995</v>
      </c>
      <c r="E134" s="273">
        <v>53.083159649999999</v>
      </c>
      <c r="F134" s="273">
        <v>36.538458270000007</v>
      </c>
      <c r="G134" s="273">
        <v>51.72544577</v>
      </c>
      <c r="H134" s="273">
        <v>91.265625489999991</v>
      </c>
      <c r="I134" s="273">
        <v>51.392903750000002</v>
      </c>
      <c r="J134" s="273">
        <v>43.831954609999997</v>
      </c>
      <c r="K134" s="273">
        <v>38.473709700000001</v>
      </c>
      <c r="L134" s="273">
        <v>30.76057295</v>
      </c>
      <c r="M134" s="273">
        <v>56.823995850000003</v>
      </c>
      <c r="N134" s="273">
        <v>73.747889290000003</v>
      </c>
      <c r="O134" s="336">
        <v>608.01758645999985</v>
      </c>
    </row>
    <row r="135" spans="1:15" ht="15.75" customHeight="1" x14ac:dyDescent="0.2">
      <c r="A135" s="231"/>
      <c r="B135" s="220" t="s">
        <v>181</v>
      </c>
      <c r="C135" s="273">
        <v>60.608431500000002</v>
      </c>
      <c r="D135" s="273">
        <v>60.170445439999995</v>
      </c>
      <c r="E135" s="273">
        <v>81.491309470000004</v>
      </c>
      <c r="F135" s="273">
        <v>94.118601530000007</v>
      </c>
      <c r="G135" s="273">
        <v>67.218126349999991</v>
      </c>
      <c r="H135" s="273">
        <v>76.739933090000008</v>
      </c>
      <c r="I135" s="273">
        <v>80.929425780000003</v>
      </c>
      <c r="J135" s="273">
        <v>50.858966930000001</v>
      </c>
      <c r="K135" s="273">
        <v>61.959873219999999</v>
      </c>
      <c r="L135" s="273">
        <v>65.325227409999997</v>
      </c>
      <c r="M135" s="273">
        <v>59.775380939999998</v>
      </c>
      <c r="N135" s="273">
        <v>116.59513859</v>
      </c>
      <c r="O135" s="336">
        <v>875.79086025000004</v>
      </c>
    </row>
    <row r="136" spans="1:15" ht="15.75" customHeight="1" x14ac:dyDescent="0.2">
      <c r="A136" s="231"/>
      <c r="B136" s="220" t="s">
        <v>1036</v>
      </c>
      <c r="C136" s="273">
        <v>2.1034526800000002</v>
      </c>
      <c r="D136" s="273">
        <v>3.2361542299999999</v>
      </c>
      <c r="E136" s="273">
        <v>3.35363319</v>
      </c>
      <c r="F136" s="273">
        <v>3.1396727400000004</v>
      </c>
      <c r="G136" s="273">
        <v>2.9408041900000002</v>
      </c>
      <c r="H136" s="273">
        <v>0.88579101000000005</v>
      </c>
      <c r="I136" s="273">
        <v>4.1294050699999998</v>
      </c>
      <c r="J136" s="273">
        <v>1.9554583300000001</v>
      </c>
      <c r="K136" s="273">
        <v>5.55726356</v>
      </c>
      <c r="L136" s="273">
        <v>16.667729739999999</v>
      </c>
      <c r="M136" s="273">
        <v>9.3430782799999985</v>
      </c>
      <c r="N136" s="273">
        <v>1.91723887</v>
      </c>
      <c r="O136" s="336">
        <v>55.229681889999995</v>
      </c>
    </row>
    <row r="137" spans="1:15" ht="15.75" customHeight="1" x14ac:dyDescent="0.2">
      <c r="A137" s="231"/>
      <c r="B137" s="220" t="s">
        <v>1037</v>
      </c>
      <c r="C137" s="273">
        <v>132.72813237</v>
      </c>
      <c r="D137" s="273">
        <v>191.50237609999999</v>
      </c>
      <c r="E137" s="273">
        <v>287.04471810000001</v>
      </c>
      <c r="F137" s="273">
        <v>131.95248291999999</v>
      </c>
      <c r="G137" s="273">
        <v>133.66525054000002</v>
      </c>
      <c r="H137" s="273">
        <v>236.17770600999998</v>
      </c>
      <c r="I137" s="273">
        <v>172.28825411000003</v>
      </c>
      <c r="J137" s="273">
        <v>136.83042108000001</v>
      </c>
      <c r="K137" s="273">
        <v>305.09634414999999</v>
      </c>
      <c r="L137" s="273">
        <v>133.60232426000002</v>
      </c>
      <c r="M137" s="273">
        <v>142.77927758999999</v>
      </c>
      <c r="N137" s="273">
        <v>250.29119908999999</v>
      </c>
      <c r="O137" s="336">
        <v>2253.9584863200002</v>
      </c>
    </row>
    <row r="138" spans="1:15" ht="15.75" customHeight="1" x14ac:dyDescent="0.2">
      <c r="A138" s="220"/>
      <c r="B138" s="220"/>
      <c r="C138" s="273"/>
      <c r="D138" s="273"/>
      <c r="E138" s="273"/>
      <c r="F138" s="273"/>
      <c r="G138" s="273"/>
      <c r="H138" s="273"/>
      <c r="I138" s="273"/>
      <c r="J138" s="273"/>
      <c r="K138" s="273"/>
      <c r="L138" s="273"/>
      <c r="M138" s="284"/>
      <c r="N138" s="273"/>
      <c r="O138" s="336"/>
    </row>
    <row r="139" spans="1:15" ht="15.75" customHeight="1" x14ac:dyDescent="0.25">
      <c r="A139" s="217" t="s">
        <v>122</v>
      </c>
      <c r="B139" s="230"/>
      <c r="C139" s="333">
        <v>148.91710506999999</v>
      </c>
      <c r="D139" s="333">
        <v>47.788418669999999</v>
      </c>
      <c r="E139" s="333">
        <v>24.717131210000002</v>
      </c>
      <c r="F139" s="333">
        <v>212.42600083999997</v>
      </c>
      <c r="G139" s="333">
        <v>185.19645080999999</v>
      </c>
      <c r="H139" s="333">
        <v>29.231616389999999</v>
      </c>
      <c r="I139" s="333">
        <v>64.515684470000011</v>
      </c>
      <c r="J139" s="333">
        <v>237.79309468000002</v>
      </c>
      <c r="K139" s="333">
        <v>130.05325332999999</v>
      </c>
      <c r="L139" s="333">
        <v>140.67660050999999</v>
      </c>
      <c r="M139" s="333">
        <v>160.67675360000001</v>
      </c>
      <c r="N139" s="333">
        <v>51.43762117</v>
      </c>
      <c r="O139" s="334">
        <v>1433.4297307499996</v>
      </c>
    </row>
    <row r="140" spans="1:15" ht="15.75" customHeight="1" x14ac:dyDescent="0.2">
      <c r="A140" s="231"/>
      <c r="B140" s="220" t="s">
        <v>771</v>
      </c>
      <c r="C140" s="273">
        <v>148.19101007</v>
      </c>
      <c r="D140" s="273">
        <v>47.596857139999997</v>
      </c>
      <c r="E140" s="273">
        <v>24.145186559999999</v>
      </c>
      <c r="F140" s="273">
        <v>212.29860284999998</v>
      </c>
      <c r="G140" s="273">
        <v>183.67702783999999</v>
      </c>
      <c r="H140" s="273">
        <v>28.86706895</v>
      </c>
      <c r="I140" s="273">
        <v>63.062832180000001</v>
      </c>
      <c r="J140" s="273">
        <v>237.58064984000001</v>
      </c>
      <c r="K140" s="273">
        <v>122.61219188</v>
      </c>
      <c r="L140" s="273">
        <v>139.14134181</v>
      </c>
      <c r="M140" s="273">
        <v>160.47430294</v>
      </c>
      <c r="N140" s="273">
        <v>44.102249399999998</v>
      </c>
      <c r="O140" s="336">
        <v>1411.7493214599997</v>
      </c>
    </row>
    <row r="141" spans="1:15" ht="15.75" customHeight="1" x14ac:dyDescent="0.2">
      <c r="A141" s="231"/>
      <c r="B141" s="220" t="s">
        <v>1049</v>
      </c>
      <c r="C141" s="273">
        <v>0.38478499999999999</v>
      </c>
      <c r="D141" s="273">
        <v>0.15482077999999999</v>
      </c>
      <c r="E141" s="273">
        <v>0.51156780000000002</v>
      </c>
      <c r="F141" s="273">
        <v>7.8228539999999999E-2</v>
      </c>
      <c r="G141" s="273">
        <v>1.4695929699999999</v>
      </c>
      <c r="H141" s="273">
        <v>0.33700743999999999</v>
      </c>
      <c r="I141" s="273">
        <v>1.29664979</v>
      </c>
      <c r="J141" s="273">
        <v>4.0199999999999996E-6</v>
      </c>
      <c r="K141" s="273">
        <v>7.3296364499999997</v>
      </c>
      <c r="L141" s="273">
        <v>1.4356167</v>
      </c>
      <c r="M141" s="273">
        <v>9.6747559999999996E-2</v>
      </c>
      <c r="N141" s="273">
        <v>7.2940629000000001</v>
      </c>
      <c r="O141" s="336">
        <v>20.388719950000002</v>
      </c>
    </row>
    <row r="142" spans="1:15" ht="15.75" customHeight="1" x14ac:dyDescent="0.2">
      <c r="A142" s="231"/>
      <c r="B142" s="220" t="s">
        <v>126</v>
      </c>
      <c r="C142" s="273">
        <v>0.34131</v>
      </c>
      <c r="D142" s="273">
        <v>3.6740750000000003E-2</v>
      </c>
      <c r="E142" s="273">
        <v>6.0376849999999996E-2</v>
      </c>
      <c r="F142" s="273">
        <v>4.9169449999999996E-2</v>
      </c>
      <c r="G142" s="273">
        <v>4.9829999999999999E-2</v>
      </c>
      <c r="H142" s="273">
        <v>2.7539999999999999E-2</v>
      </c>
      <c r="I142" s="273">
        <v>0.15620249999999999</v>
      </c>
      <c r="J142" s="273">
        <v>0.21244082</v>
      </c>
      <c r="K142" s="273">
        <v>0.111425</v>
      </c>
      <c r="L142" s="273">
        <v>9.9641999999999994E-2</v>
      </c>
      <c r="M142" s="273">
        <v>0.10570310000000001</v>
      </c>
      <c r="N142" s="273">
        <v>4.1308870000000004E-2</v>
      </c>
      <c r="O142" s="336">
        <v>1.2916893399999998</v>
      </c>
    </row>
    <row r="143" spans="1:15" ht="15.75" customHeight="1" x14ac:dyDescent="0.2">
      <c r="A143" s="220"/>
      <c r="B143" s="220"/>
      <c r="C143" s="273"/>
      <c r="D143" s="273"/>
      <c r="E143" s="273"/>
      <c r="F143" s="273"/>
      <c r="G143" s="273"/>
      <c r="H143" s="273"/>
      <c r="I143" s="273"/>
      <c r="J143" s="273"/>
      <c r="K143" s="273"/>
      <c r="L143" s="273"/>
      <c r="M143" s="284"/>
      <c r="N143" s="273"/>
      <c r="O143" s="336"/>
    </row>
    <row r="144" spans="1:15" ht="15.75" customHeight="1" x14ac:dyDescent="0.25">
      <c r="A144" s="217" t="s">
        <v>1039</v>
      </c>
      <c r="B144" s="230"/>
      <c r="C144" s="333">
        <v>64.274209060000004</v>
      </c>
      <c r="D144" s="333">
        <v>42.012036740000006</v>
      </c>
      <c r="E144" s="333">
        <v>47.477851409999992</v>
      </c>
      <c r="F144" s="333">
        <v>42.181355759999988</v>
      </c>
      <c r="G144" s="333">
        <v>43.697678640000007</v>
      </c>
      <c r="H144" s="333">
        <v>80.733736989999983</v>
      </c>
      <c r="I144" s="333">
        <v>33.560058789999999</v>
      </c>
      <c r="J144" s="333">
        <v>115.90605551000002</v>
      </c>
      <c r="K144" s="333">
        <v>994.66519509</v>
      </c>
      <c r="L144" s="333">
        <v>56.127068449999996</v>
      </c>
      <c r="M144" s="333">
        <v>38.718965910000001</v>
      </c>
      <c r="N144" s="333">
        <v>589.78305230000024</v>
      </c>
      <c r="O144" s="334">
        <v>2149.1372646499999</v>
      </c>
    </row>
    <row r="145" spans="1:15" ht="15.75" customHeight="1" x14ac:dyDescent="0.2">
      <c r="A145" s="231"/>
      <c r="B145" s="220" t="s">
        <v>22</v>
      </c>
      <c r="C145" s="273">
        <v>0</v>
      </c>
      <c r="D145" s="273">
        <v>0</v>
      </c>
      <c r="E145" s="273">
        <v>0</v>
      </c>
      <c r="F145" s="273">
        <v>0</v>
      </c>
      <c r="G145" s="273">
        <v>0</v>
      </c>
      <c r="H145" s="273">
        <v>0</v>
      </c>
      <c r="I145" s="273">
        <v>0</v>
      </c>
      <c r="J145" s="273">
        <v>0</v>
      </c>
      <c r="K145" s="273">
        <v>0</v>
      </c>
      <c r="L145" s="273">
        <v>0</v>
      </c>
      <c r="M145" s="273">
        <v>0</v>
      </c>
      <c r="N145" s="273">
        <v>79.385180319999989</v>
      </c>
      <c r="O145" s="336">
        <v>79.385180319999989</v>
      </c>
    </row>
    <row r="146" spans="1:15" ht="15.75" customHeight="1" x14ac:dyDescent="0.2">
      <c r="A146" s="231"/>
      <c r="B146" s="220" t="s">
        <v>25</v>
      </c>
      <c r="C146" s="273">
        <v>2.0489605200000001</v>
      </c>
      <c r="D146" s="273">
        <v>2.7307049999999999</v>
      </c>
      <c r="E146" s="273">
        <v>2.80606</v>
      </c>
      <c r="F146" s="273">
        <v>2.2645499999999998</v>
      </c>
      <c r="G146" s="273">
        <v>3.3204699999999998</v>
      </c>
      <c r="H146" s="273">
        <v>2.3377720000000002</v>
      </c>
      <c r="I146" s="273">
        <v>2.7605650000000002</v>
      </c>
      <c r="J146" s="273">
        <v>2.4582000000000002</v>
      </c>
      <c r="K146" s="273">
        <v>2.7442588799999998</v>
      </c>
      <c r="L146" s="273">
        <v>2.7161080000000002</v>
      </c>
      <c r="M146" s="273">
        <v>2.7050689999999999</v>
      </c>
      <c r="N146" s="273">
        <v>2.3202099999999999</v>
      </c>
      <c r="O146" s="336">
        <v>31.212928400000006</v>
      </c>
    </row>
    <row r="147" spans="1:15" ht="15.75" customHeight="1" x14ac:dyDescent="0.2">
      <c r="A147" s="231"/>
      <c r="B147" s="220" t="s">
        <v>755</v>
      </c>
      <c r="C147" s="273">
        <v>28.14961572</v>
      </c>
      <c r="D147" s="273">
        <v>13.44373661</v>
      </c>
      <c r="E147" s="273">
        <v>26.94601759</v>
      </c>
      <c r="F147" s="273">
        <v>15.641723000000001</v>
      </c>
      <c r="G147" s="273">
        <v>10.573579000000001</v>
      </c>
      <c r="H147" s="273">
        <v>56.631866600000002</v>
      </c>
      <c r="I147" s="273">
        <v>9.1751322899999987</v>
      </c>
      <c r="J147" s="273">
        <v>91.678798279999995</v>
      </c>
      <c r="K147" s="273">
        <v>968.25998566999999</v>
      </c>
      <c r="L147" s="273">
        <v>26.380373850000002</v>
      </c>
      <c r="M147" s="273">
        <v>11.793397390000001</v>
      </c>
      <c r="N147" s="273">
        <v>486.89419770000001</v>
      </c>
      <c r="O147" s="336">
        <v>1745.5684237</v>
      </c>
    </row>
    <row r="148" spans="1:15" ht="15" customHeight="1" x14ac:dyDescent="0.2">
      <c r="A148" s="231"/>
      <c r="B148" s="220" t="s">
        <v>27</v>
      </c>
      <c r="C148" s="273">
        <v>1.6027074800000001</v>
      </c>
      <c r="D148" s="273">
        <v>3.6187617799999998</v>
      </c>
      <c r="E148" s="273">
        <v>1.6240742500000001</v>
      </c>
      <c r="F148" s="273">
        <v>2.0384389299999999</v>
      </c>
      <c r="G148" s="273">
        <v>2.93137325</v>
      </c>
      <c r="H148" s="273">
        <v>0.82988340000000005</v>
      </c>
      <c r="I148" s="273">
        <v>1.3471699500000001</v>
      </c>
      <c r="J148" s="273">
        <v>1.3192921100000001</v>
      </c>
      <c r="K148" s="273">
        <v>3.3123400899999997</v>
      </c>
      <c r="L148" s="273">
        <v>1.42417426</v>
      </c>
      <c r="M148" s="273">
        <v>2.7948892500000002</v>
      </c>
      <c r="N148" s="273">
        <v>0.70741021999999998</v>
      </c>
      <c r="O148" s="336">
        <v>23.550514970000002</v>
      </c>
    </row>
    <row r="149" spans="1:15" ht="15.75" customHeight="1" x14ac:dyDescent="0.2">
      <c r="A149" s="231"/>
      <c r="B149" s="220" t="s">
        <v>1041</v>
      </c>
      <c r="C149" s="273">
        <v>18.572849429999998</v>
      </c>
      <c r="D149" s="273">
        <v>9.9366998200000012</v>
      </c>
      <c r="E149" s="273">
        <v>8.7806814700000011</v>
      </c>
      <c r="F149" s="273">
        <v>8.8930102100000017</v>
      </c>
      <c r="G149" s="273">
        <v>8.7515219000000002</v>
      </c>
      <c r="H149" s="273">
        <v>9.774683490000001</v>
      </c>
      <c r="I149" s="273">
        <v>7.5467940999999996</v>
      </c>
      <c r="J149" s="273">
        <v>9.6702163199999998</v>
      </c>
      <c r="K149" s="273">
        <v>8.7455683999999998</v>
      </c>
      <c r="L149" s="273">
        <v>10.179065720000001</v>
      </c>
      <c r="M149" s="273">
        <v>9.3693720799999998</v>
      </c>
      <c r="N149" s="273">
        <v>10.9719841</v>
      </c>
      <c r="O149" s="336">
        <v>121.19244703999999</v>
      </c>
    </row>
    <row r="150" spans="1:15" ht="15.75" customHeight="1" x14ac:dyDescent="0.2">
      <c r="A150" s="231"/>
      <c r="B150" s="220" t="s">
        <v>1042</v>
      </c>
      <c r="C150" s="273">
        <v>7.9398499999999997E-2</v>
      </c>
      <c r="D150" s="273">
        <v>9.0493500000000004E-2</v>
      </c>
      <c r="E150" s="273">
        <v>0.68915349999999997</v>
      </c>
      <c r="F150" s="273">
        <v>0.119991</v>
      </c>
      <c r="G150" s="273">
        <v>0.41889653999999998</v>
      </c>
      <c r="H150" s="273">
        <v>0.88889243000000007</v>
      </c>
      <c r="I150" s="273">
        <v>0.13280700000000001</v>
      </c>
      <c r="J150" s="273">
        <v>0.11362859</v>
      </c>
      <c r="K150" s="273">
        <v>0.23905002</v>
      </c>
      <c r="L150" s="273">
        <v>0.18485927999999999</v>
      </c>
      <c r="M150" s="273">
        <v>0.1002885</v>
      </c>
      <c r="N150" s="273">
        <v>1.10561815</v>
      </c>
      <c r="O150" s="336">
        <v>4.1630770100000003</v>
      </c>
    </row>
    <row r="151" spans="1:15" ht="15.75" customHeight="1" x14ac:dyDescent="0.2">
      <c r="A151" s="231"/>
      <c r="B151" s="220" t="s">
        <v>1043</v>
      </c>
      <c r="C151" s="273">
        <v>8.0309000000000005E-2</v>
      </c>
      <c r="D151" s="273">
        <v>0.88449184999999997</v>
      </c>
      <c r="E151" s="273">
        <v>0.13673399999999999</v>
      </c>
      <c r="F151" s="273">
        <v>0.272976</v>
      </c>
      <c r="G151" s="273">
        <v>0.161328</v>
      </c>
      <c r="H151" s="273">
        <v>0.31889600000000001</v>
      </c>
      <c r="I151" s="273">
        <v>0.140987</v>
      </c>
      <c r="J151" s="273">
        <v>0.72755700000000001</v>
      </c>
      <c r="K151" s="273">
        <v>0.11434900000000001</v>
      </c>
      <c r="L151" s="273">
        <v>0.16581000000000001</v>
      </c>
      <c r="M151" s="273">
        <v>0.22923499999999999</v>
      </c>
      <c r="N151" s="273">
        <v>0.11201</v>
      </c>
      <c r="O151" s="336">
        <v>3.3446828499999999</v>
      </c>
    </row>
    <row r="152" spans="1:15" ht="15.75" customHeight="1" x14ac:dyDescent="0.2">
      <c r="A152" s="231"/>
      <c r="B152" s="220" t="s">
        <v>38</v>
      </c>
      <c r="C152" s="273">
        <v>2.7602677400000002</v>
      </c>
      <c r="D152" s="273">
        <v>3.65539675</v>
      </c>
      <c r="E152" s="273">
        <v>3.28584305</v>
      </c>
      <c r="F152" s="273">
        <v>4.93781085</v>
      </c>
      <c r="G152" s="273">
        <v>4.2418845000000003</v>
      </c>
      <c r="H152" s="273">
        <v>3.2705546499999998</v>
      </c>
      <c r="I152" s="273">
        <v>4.6067164000000007</v>
      </c>
      <c r="J152" s="273">
        <v>3.4057851000000001</v>
      </c>
      <c r="K152" s="273">
        <v>3.7737667200000002</v>
      </c>
      <c r="L152" s="273">
        <v>4.5100096500000006</v>
      </c>
      <c r="M152" s="273">
        <v>3.5236534500000003</v>
      </c>
      <c r="N152" s="273">
        <v>3.8196712400000004</v>
      </c>
      <c r="O152" s="336">
        <v>45.791360099999999</v>
      </c>
    </row>
    <row r="153" spans="1:15" ht="15.75" customHeight="1" x14ac:dyDescent="0.2">
      <c r="A153" s="231"/>
      <c r="B153" s="220" t="s">
        <v>749</v>
      </c>
      <c r="C153" s="273">
        <v>0.247525</v>
      </c>
      <c r="D153" s="273">
        <v>0.247525</v>
      </c>
      <c r="E153" s="273">
        <v>0.247525</v>
      </c>
      <c r="F153" s="273">
        <v>1.23762401</v>
      </c>
      <c r="G153" s="273">
        <v>4.9303077399999999</v>
      </c>
      <c r="H153" s="273">
        <v>0.75507070999999992</v>
      </c>
      <c r="I153" s="273">
        <v>0.74257499999999999</v>
      </c>
      <c r="J153" s="273">
        <v>0.59504999999999997</v>
      </c>
      <c r="K153" s="273">
        <v>1.8014429999999999</v>
      </c>
      <c r="L153" s="273">
        <v>0.33095667000000001</v>
      </c>
      <c r="M153" s="273">
        <v>0.84106895999999998</v>
      </c>
      <c r="N153" s="273">
        <v>1.1911</v>
      </c>
      <c r="O153" s="336">
        <v>13.16777109</v>
      </c>
    </row>
    <row r="154" spans="1:15" ht="15.75" customHeight="1" x14ac:dyDescent="0.2">
      <c r="A154" s="231"/>
      <c r="B154" s="220" t="s">
        <v>39</v>
      </c>
      <c r="C154" s="273">
        <v>6.4670131699999995</v>
      </c>
      <c r="D154" s="273">
        <v>3.1353703300000002</v>
      </c>
      <c r="E154" s="273">
        <v>3.1848649500000001</v>
      </c>
      <c r="F154" s="273">
        <v>5.1938667599999997</v>
      </c>
      <c r="G154" s="273">
        <v>3.2627944500000003</v>
      </c>
      <c r="H154" s="273">
        <v>3.1603787099999998</v>
      </c>
      <c r="I154" s="273">
        <v>4.9749948499999999</v>
      </c>
      <c r="J154" s="273">
        <v>2.9156595099999998</v>
      </c>
      <c r="K154" s="273">
        <v>2.3683291400000002</v>
      </c>
      <c r="L154" s="273">
        <v>4.8903774200000001</v>
      </c>
      <c r="M154" s="273">
        <v>4.0861622799999999</v>
      </c>
      <c r="N154" s="273">
        <v>3.2756705699999999</v>
      </c>
      <c r="O154" s="336">
        <v>46.915482139999995</v>
      </c>
    </row>
    <row r="155" spans="1:15" ht="15.75" customHeight="1" x14ac:dyDescent="0.2">
      <c r="A155" s="231"/>
      <c r="B155" s="220" t="s">
        <v>40</v>
      </c>
      <c r="C155" s="273">
        <v>4.2655624999999997</v>
      </c>
      <c r="D155" s="273">
        <v>4.2688560999999998</v>
      </c>
      <c r="E155" s="273">
        <v>-0.22310240000000001</v>
      </c>
      <c r="F155" s="273">
        <v>1.5813649999999999</v>
      </c>
      <c r="G155" s="273">
        <v>5.10552326</v>
      </c>
      <c r="H155" s="273">
        <v>2.7657389999999999</v>
      </c>
      <c r="I155" s="273">
        <v>2.1323172000000001</v>
      </c>
      <c r="J155" s="273">
        <v>3.0218685999999999</v>
      </c>
      <c r="K155" s="273">
        <v>3.3061041699999998</v>
      </c>
      <c r="L155" s="273">
        <v>5.3453336</v>
      </c>
      <c r="M155" s="273">
        <v>3.27583</v>
      </c>
      <c r="N155" s="273">
        <v>0</v>
      </c>
      <c r="O155" s="336">
        <v>34.845397030000001</v>
      </c>
    </row>
    <row r="156" spans="1:15" ht="15.75" customHeight="1" x14ac:dyDescent="0.2">
      <c r="A156" s="220"/>
      <c r="B156" s="220"/>
      <c r="C156" s="273"/>
      <c r="D156" s="273"/>
      <c r="E156" s="273"/>
      <c r="F156" s="273"/>
      <c r="G156" s="273"/>
      <c r="H156" s="273"/>
      <c r="I156" s="273"/>
      <c r="J156" s="273"/>
      <c r="K156" s="273"/>
      <c r="L156" s="273"/>
      <c r="M156" s="273"/>
      <c r="N156" s="273"/>
      <c r="O156" s="336"/>
    </row>
    <row r="157" spans="1:15" ht="15.75" customHeight="1" x14ac:dyDescent="0.25">
      <c r="A157" s="217" t="s">
        <v>182</v>
      </c>
      <c r="B157" s="230"/>
      <c r="C157" s="333">
        <v>21.990767949999999</v>
      </c>
      <c r="D157" s="333">
        <v>25.382443000000002</v>
      </c>
      <c r="E157" s="333">
        <v>16.691843670000001</v>
      </c>
      <c r="F157" s="333">
        <v>14.5231207</v>
      </c>
      <c r="G157" s="333">
        <v>22.66282897</v>
      </c>
      <c r="H157" s="333">
        <v>13.360981000000001</v>
      </c>
      <c r="I157" s="333">
        <v>24.937145000000001</v>
      </c>
      <c r="J157" s="333">
        <v>11.0850747</v>
      </c>
      <c r="K157" s="333">
        <v>22.955875809999998</v>
      </c>
      <c r="L157" s="333">
        <v>15.784259759999999</v>
      </c>
      <c r="M157" s="333">
        <v>20.10111113</v>
      </c>
      <c r="N157" s="333">
        <v>93.920030839999995</v>
      </c>
      <c r="O157" s="334">
        <v>303.39548252999998</v>
      </c>
    </row>
    <row r="158" spans="1:15" ht="15.75" customHeight="1" x14ac:dyDescent="0.2">
      <c r="A158" s="231"/>
      <c r="B158" s="220" t="s">
        <v>187</v>
      </c>
      <c r="C158" s="273">
        <v>14.813934</v>
      </c>
      <c r="D158" s="273">
        <v>22.173069000000002</v>
      </c>
      <c r="E158" s="273">
        <v>13.854895669999999</v>
      </c>
      <c r="F158" s="273">
        <v>11.176353730000001</v>
      </c>
      <c r="G158" s="273">
        <v>20.215855999999999</v>
      </c>
      <c r="H158" s="273">
        <v>11.281487</v>
      </c>
      <c r="I158" s="273">
        <v>23.264046</v>
      </c>
      <c r="J158" s="273">
        <v>8.574802</v>
      </c>
      <c r="K158" s="273">
        <v>21.636417999999999</v>
      </c>
      <c r="L158" s="273">
        <v>10.84712201</v>
      </c>
      <c r="M158" s="273">
        <v>17.470317999999999</v>
      </c>
      <c r="N158" s="273">
        <v>59.101366399999996</v>
      </c>
      <c r="O158" s="336">
        <v>234.40966780999997</v>
      </c>
    </row>
    <row r="159" spans="1:15" ht="15.75" customHeight="1" x14ac:dyDescent="0.2">
      <c r="A159" s="231"/>
      <c r="B159" s="220" t="s">
        <v>188</v>
      </c>
      <c r="C159" s="273">
        <v>0</v>
      </c>
      <c r="D159" s="273">
        <v>0</v>
      </c>
      <c r="E159" s="273">
        <v>0</v>
      </c>
      <c r="F159" s="273">
        <v>0</v>
      </c>
      <c r="G159" s="273">
        <v>0</v>
      </c>
      <c r="H159" s="273">
        <v>0</v>
      </c>
      <c r="I159" s="273">
        <v>0</v>
      </c>
      <c r="J159" s="273">
        <v>0</v>
      </c>
      <c r="K159" s="273">
        <v>0</v>
      </c>
      <c r="L159" s="273">
        <v>0</v>
      </c>
      <c r="M159" s="273">
        <v>0</v>
      </c>
      <c r="N159" s="273">
        <v>33.538797879999997</v>
      </c>
      <c r="O159" s="336">
        <v>33.538797879999997</v>
      </c>
    </row>
    <row r="160" spans="1:15" ht="15.75" customHeight="1" x14ac:dyDescent="0.2">
      <c r="A160" s="231"/>
      <c r="B160" s="220" t="s">
        <v>1101</v>
      </c>
      <c r="C160" s="273">
        <v>7.1768339499999998</v>
      </c>
      <c r="D160" s="273">
        <v>3.2093739999999999</v>
      </c>
      <c r="E160" s="273">
        <v>2.836948</v>
      </c>
      <c r="F160" s="273">
        <v>3.34676697</v>
      </c>
      <c r="G160" s="273">
        <v>2.44697297</v>
      </c>
      <c r="H160" s="273">
        <v>2.079494</v>
      </c>
      <c r="I160" s="273">
        <v>1.6730989999999999</v>
      </c>
      <c r="J160" s="273">
        <v>2.5102727000000002</v>
      </c>
      <c r="K160" s="273">
        <v>1.3194578100000001</v>
      </c>
      <c r="L160" s="273">
        <v>4.9371377499999998</v>
      </c>
      <c r="M160" s="273">
        <v>2.6307931299999998</v>
      </c>
      <c r="N160" s="273">
        <v>1.2798665600000001</v>
      </c>
      <c r="O160" s="336">
        <v>35.447016840000003</v>
      </c>
    </row>
    <row r="161" spans="1:15" ht="15.75" customHeight="1" x14ac:dyDescent="0.2">
      <c r="A161" s="220"/>
      <c r="B161" s="220"/>
      <c r="C161" s="273"/>
      <c r="D161" s="273"/>
      <c r="E161" s="273"/>
      <c r="F161" s="273"/>
      <c r="G161" s="273"/>
      <c r="H161" s="273"/>
      <c r="I161" s="273"/>
      <c r="J161" s="273"/>
      <c r="K161" s="273"/>
      <c r="L161" s="273"/>
      <c r="M161" s="273"/>
      <c r="N161" s="273"/>
      <c r="O161" s="336"/>
    </row>
    <row r="162" spans="1:15" ht="15.75" customHeight="1" x14ac:dyDescent="0.25">
      <c r="A162" s="220"/>
      <c r="B162" s="269" t="s">
        <v>222</v>
      </c>
      <c r="C162" s="335">
        <v>5310.3139963428857</v>
      </c>
      <c r="D162" s="335">
        <v>4203.3805216895207</v>
      </c>
      <c r="E162" s="335">
        <v>4433.3226506514993</v>
      </c>
      <c r="F162" s="335">
        <v>5495.9075860579087</v>
      </c>
      <c r="G162" s="335">
        <v>4681.8520126862404</v>
      </c>
      <c r="H162" s="335">
        <v>5304.7554758306187</v>
      </c>
      <c r="I162" s="335">
        <v>5136.0333248473498</v>
      </c>
      <c r="J162" s="335">
        <v>7776.7882659699553</v>
      </c>
      <c r="K162" s="344">
        <v>7930.4460217544138</v>
      </c>
      <c r="L162" s="335">
        <v>4694.5005011153517</v>
      </c>
      <c r="M162" s="335">
        <v>4323.5079866733658</v>
      </c>
      <c r="N162" s="335">
        <v>5924.3433038321318</v>
      </c>
      <c r="O162" s="350">
        <v>65215.151647332037</v>
      </c>
    </row>
    <row r="163" spans="1:15" ht="15.75" customHeight="1" x14ac:dyDescent="0.2">
      <c r="A163" s="279" t="s">
        <v>223</v>
      </c>
      <c r="B163" s="220"/>
      <c r="C163" s="273"/>
      <c r="D163" s="273"/>
      <c r="E163" s="273"/>
      <c r="F163" s="273"/>
      <c r="G163" s="273"/>
      <c r="H163" s="273"/>
      <c r="I163" s="273"/>
      <c r="J163" s="273"/>
      <c r="K163" s="273"/>
      <c r="L163" s="273"/>
      <c r="M163" s="273"/>
      <c r="N163" s="273"/>
      <c r="O163" s="336"/>
    </row>
    <row r="164" spans="1:15" ht="15.75" customHeight="1" x14ac:dyDescent="0.2">
      <c r="A164" s="220"/>
      <c r="B164" s="220"/>
      <c r="C164" s="273"/>
      <c r="D164" s="273"/>
      <c r="E164" s="273"/>
      <c r="F164" s="273"/>
      <c r="G164" s="273"/>
      <c r="H164" s="273"/>
      <c r="I164" s="273"/>
      <c r="J164" s="273"/>
      <c r="K164" s="273"/>
      <c r="L164" s="273"/>
      <c r="M164" s="273"/>
      <c r="N164" s="273"/>
      <c r="O164" s="336"/>
    </row>
    <row r="165" spans="1:15" ht="15.75" customHeight="1" x14ac:dyDescent="0.2">
      <c r="A165" s="280"/>
      <c r="C165" s="281"/>
      <c r="D165" s="281"/>
      <c r="E165" s="281"/>
      <c r="F165" s="281"/>
      <c r="G165" s="281"/>
      <c r="H165" s="281"/>
      <c r="I165" s="281"/>
      <c r="J165" s="281"/>
      <c r="K165" s="281"/>
      <c r="L165" s="281"/>
      <c r="M165" s="281"/>
      <c r="N165" s="281"/>
      <c r="O165" s="351"/>
    </row>
    <row r="166" spans="1:15" ht="15.75" customHeight="1" x14ac:dyDescent="0.2">
      <c r="A166" s="231" t="s">
        <v>225</v>
      </c>
      <c r="B166" s="220"/>
      <c r="C166" s="273"/>
      <c r="D166" s="273"/>
      <c r="E166" s="273"/>
      <c r="F166" s="273"/>
      <c r="G166" s="273"/>
      <c r="H166" s="273"/>
      <c r="I166" s="273"/>
      <c r="J166" s="273"/>
      <c r="K166" s="273"/>
      <c r="L166" s="273"/>
      <c r="M166" s="273"/>
      <c r="N166" s="273"/>
      <c r="O166" s="336"/>
    </row>
    <row r="167" spans="1:15" s="353" customFormat="1" ht="15.75" customHeight="1" x14ac:dyDescent="0.2">
      <c r="A167" s="231" t="s">
        <v>1127</v>
      </c>
      <c r="B167" s="231"/>
      <c r="C167" s="282"/>
      <c r="D167" s="282"/>
      <c r="E167" s="282"/>
      <c r="F167" s="282"/>
      <c r="G167" s="282"/>
      <c r="H167" s="282"/>
      <c r="I167" s="282"/>
      <c r="J167" s="282"/>
      <c r="K167" s="282"/>
      <c r="L167" s="282"/>
      <c r="M167" s="282"/>
      <c r="N167" s="282"/>
      <c r="O167" s="352"/>
    </row>
    <row r="168" spans="1:15" ht="15.75" customHeight="1" x14ac:dyDescent="0.2">
      <c r="A168" s="220"/>
      <c r="B168" s="220"/>
      <c r="C168" s="273"/>
      <c r="D168" s="273"/>
      <c r="E168" s="273"/>
      <c r="F168" s="273"/>
      <c r="G168" s="273"/>
      <c r="H168" s="273"/>
      <c r="I168" s="273"/>
      <c r="J168" s="273"/>
      <c r="K168" s="273"/>
      <c r="L168" s="273"/>
      <c r="M168" s="273"/>
      <c r="N168" s="273"/>
      <c r="O168" s="336"/>
    </row>
    <row r="169" spans="1:15" ht="15.75" customHeight="1" x14ac:dyDescent="0.2">
      <c r="A169" s="220"/>
      <c r="B169" s="220"/>
      <c r="C169" s="273"/>
      <c r="D169" s="273"/>
      <c r="E169" s="273"/>
      <c r="F169" s="273"/>
      <c r="G169" s="273"/>
      <c r="H169" s="273"/>
      <c r="I169" s="273"/>
      <c r="J169" s="273"/>
      <c r="K169" s="273"/>
      <c r="L169" s="273"/>
      <c r="M169" s="273"/>
      <c r="N169" s="273"/>
      <c r="O169" s="336"/>
    </row>
    <row r="170" spans="1:15" ht="15.75" customHeight="1" x14ac:dyDescent="0.2">
      <c r="A170" s="220"/>
      <c r="B170" s="220"/>
      <c r="C170" s="273"/>
      <c r="D170" s="273"/>
      <c r="E170" s="273"/>
      <c r="F170" s="273"/>
      <c r="G170" s="273"/>
      <c r="H170" s="273"/>
      <c r="I170" s="273"/>
      <c r="J170" s="273"/>
      <c r="K170" s="273"/>
      <c r="L170" s="273"/>
      <c r="M170" s="273"/>
      <c r="N170" s="273"/>
      <c r="O170" s="336"/>
    </row>
    <row r="171" spans="1:15" ht="15.75" customHeight="1" x14ac:dyDescent="0.2">
      <c r="A171" s="220"/>
      <c r="B171" s="220"/>
      <c r="C171" s="273"/>
      <c r="D171" s="273"/>
      <c r="E171" s="273"/>
      <c r="F171" s="273"/>
      <c r="G171" s="273"/>
      <c r="H171" s="273"/>
      <c r="I171" s="273"/>
      <c r="J171" s="273"/>
      <c r="K171" s="273"/>
      <c r="L171" s="273"/>
      <c r="M171" s="273"/>
      <c r="N171" s="273"/>
      <c r="O171" s="336"/>
    </row>
    <row r="172" spans="1:15" ht="15.75" customHeight="1" x14ac:dyDescent="0.2">
      <c r="A172" s="220"/>
      <c r="B172" s="220"/>
      <c r="C172" s="273"/>
      <c r="D172" s="273"/>
      <c r="E172" s="273"/>
      <c r="F172" s="273"/>
      <c r="G172" s="273"/>
      <c r="H172" s="273"/>
      <c r="I172" s="273"/>
      <c r="J172" s="273"/>
      <c r="K172" s="273"/>
      <c r="L172" s="273"/>
      <c r="M172" s="273"/>
      <c r="N172" s="273"/>
      <c r="O172" s="336"/>
    </row>
    <row r="173" spans="1:15" ht="15.75" customHeight="1" x14ac:dyDescent="0.2">
      <c r="A173" s="220"/>
      <c r="B173" s="220"/>
      <c r="C173" s="273"/>
      <c r="D173" s="273"/>
      <c r="E173" s="273"/>
      <c r="F173" s="273"/>
      <c r="G173" s="273"/>
      <c r="H173" s="273"/>
      <c r="I173" s="273"/>
      <c r="J173" s="273"/>
      <c r="K173" s="273"/>
      <c r="L173" s="273"/>
      <c r="M173" s="273"/>
      <c r="N173" s="273"/>
      <c r="O173" s="336"/>
    </row>
    <row r="174" spans="1:15" ht="15.75" customHeight="1" x14ac:dyDescent="0.2">
      <c r="A174" s="220"/>
      <c r="B174" s="220"/>
      <c r="C174" s="273"/>
      <c r="D174" s="273"/>
      <c r="E174" s="273"/>
      <c r="F174" s="273"/>
      <c r="G174" s="273"/>
      <c r="H174" s="273"/>
      <c r="I174" s="273"/>
      <c r="J174" s="273"/>
      <c r="K174" s="273"/>
      <c r="L174" s="273"/>
      <c r="M174" s="273"/>
      <c r="N174" s="273"/>
      <c r="O174" s="336"/>
    </row>
    <row r="175" spans="1:15" ht="15.75" customHeight="1" x14ac:dyDescent="0.2">
      <c r="A175" s="220"/>
      <c r="B175" s="220"/>
      <c r="C175" s="273"/>
      <c r="D175" s="273"/>
      <c r="E175" s="273"/>
      <c r="F175" s="273"/>
      <c r="G175" s="273"/>
      <c r="H175" s="273"/>
      <c r="I175" s="273"/>
      <c r="J175" s="273"/>
      <c r="K175" s="273"/>
      <c r="L175" s="273"/>
      <c r="M175" s="273"/>
      <c r="N175" s="273"/>
      <c r="O175" s="336"/>
    </row>
    <row r="176" spans="1:15" ht="15.75" customHeight="1" x14ac:dyDescent="0.2">
      <c r="A176" s="220"/>
      <c r="B176" s="220"/>
      <c r="C176" s="273"/>
      <c r="D176" s="273"/>
      <c r="E176" s="273"/>
      <c r="F176" s="273"/>
      <c r="G176" s="273"/>
      <c r="H176" s="273"/>
      <c r="I176" s="273"/>
      <c r="J176" s="273"/>
      <c r="K176" s="273"/>
      <c r="L176" s="273"/>
      <c r="M176" s="273"/>
      <c r="N176" s="273"/>
      <c r="O176" s="336"/>
    </row>
    <row r="177" spans="1:15" ht="15.75" customHeight="1" x14ac:dyDescent="0.2">
      <c r="A177" s="220"/>
      <c r="B177" s="220"/>
      <c r="C177" s="273"/>
      <c r="D177" s="273"/>
      <c r="E177" s="273"/>
      <c r="F177" s="273"/>
      <c r="G177" s="273"/>
      <c r="H177" s="273"/>
      <c r="I177" s="273"/>
      <c r="J177" s="273"/>
      <c r="K177" s="273"/>
      <c r="L177" s="273"/>
      <c r="M177" s="273"/>
      <c r="N177" s="273"/>
      <c r="O177" s="336"/>
    </row>
    <row r="178" spans="1:15" ht="15.75" customHeight="1" x14ac:dyDescent="0.2">
      <c r="A178" s="220"/>
      <c r="B178" s="220"/>
      <c r="C178" s="273"/>
      <c r="D178" s="273"/>
      <c r="E178" s="273"/>
      <c r="F178" s="273"/>
      <c r="G178" s="273"/>
      <c r="H178" s="273"/>
      <c r="I178" s="273"/>
      <c r="J178" s="273"/>
      <c r="K178" s="273"/>
      <c r="L178" s="273"/>
      <c r="M178" s="273"/>
      <c r="N178" s="273"/>
      <c r="O178" s="336"/>
    </row>
    <row r="179" spans="1:15" ht="15.75" customHeight="1" x14ac:dyDescent="0.2">
      <c r="A179" s="220"/>
      <c r="B179" s="220"/>
      <c r="C179" s="273"/>
      <c r="D179" s="273"/>
      <c r="E179" s="273"/>
      <c r="F179" s="273"/>
      <c r="G179" s="273"/>
      <c r="H179" s="273"/>
      <c r="I179" s="273"/>
      <c r="J179" s="273"/>
      <c r="K179" s="273"/>
      <c r="L179" s="273"/>
      <c r="M179" s="273"/>
      <c r="N179" s="273"/>
      <c r="O179" s="336"/>
    </row>
    <row r="180" spans="1:15" ht="15.75" customHeight="1" x14ac:dyDescent="0.2">
      <c r="A180" s="220"/>
      <c r="B180" s="220"/>
      <c r="C180" s="273"/>
      <c r="D180" s="273"/>
      <c r="E180" s="273"/>
      <c r="F180" s="273"/>
      <c r="G180" s="273"/>
      <c r="H180" s="273"/>
      <c r="I180" s="273"/>
      <c r="J180" s="273"/>
      <c r="K180" s="273"/>
      <c r="L180" s="273"/>
      <c r="M180" s="273"/>
      <c r="N180" s="273"/>
      <c r="O180" s="336"/>
    </row>
    <row r="181" spans="1:15" ht="15.75" customHeight="1" x14ac:dyDescent="0.2">
      <c r="A181" s="220"/>
      <c r="B181" s="220"/>
      <c r="C181" s="273"/>
      <c r="D181" s="273"/>
      <c r="E181" s="273"/>
      <c r="F181" s="273"/>
      <c r="G181" s="273"/>
      <c r="H181" s="273"/>
      <c r="I181" s="273"/>
      <c r="J181" s="273"/>
      <c r="K181" s="273"/>
      <c r="L181" s="273"/>
      <c r="M181" s="273"/>
      <c r="N181" s="273"/>
      <c r="O181" s="336"/>
    </row>
    <row r="182" spans="1:15" ht="15.75" customHeight="1" x14ac:dyDescent="0.2">
      <c r="A182" s="220"/>
      <c r="B182" s="220"/>
      <c r="C182" s="273"/>
      <c r="D182" s="273"/>
      <c r="E182" s="273"/>
      <c r="F182" s="273"/>
      <c r="G182" s="273"/>
      <c r="H182" s="273"/>
      <c r="I182" s="273"/>
      <c r="J182" s="273"/>
      <c r="K182" s="273"/>
      <c r="L182" s="273"/>
      <c r="M182" s="273"/>
      <c r="N182" s="273"/>
      <c r="O182" s="336"/>
    </row>
    <row r="183" spans="1:15" ht="15.75" customHeight="1" x14ac:dyDescent="0.2">
      <c r="A183" s="220"/>
      <c r="B183" s="220"/>
      <c r="C183" s="273"/>
      <c r="D183" s="273"/>
      <c r="E183" s="273"/>
      <c r="F183" s="273"/>
      <c r="G183" s="273"/>
      <c r="H183" s="273"/>
      <c r="I183" s="273"/>
      <c r="J183" s="273"/>
      <c r="K183" s="273"/>
      <c r="L183" s="273"/>
      <c r="M183" s="273"/>
      <c r="N183" s="273"/>
      <c r="O183" s="336"/>
    </row>
    <row r="184" spans="1:15" ht="15.75" customHeight="1" x14ac:dyDescent="0.2">
      <c r="A184" s="220"/>
      <c r="B184" s="220"/>
      <c r="C184" s="273"/>
      <c r="D184" s="273"/>
      <c r="E184" s="273"/>
      <c r="F184" s="273"/>
      <c r="G184" s="273"/>
      <c r="H184" s="273"/>
      <c r="I184" s="273"/>
      <c r="J184" s="273"/>
      <c r="K184" s="273"/>
      <c r="L184" s="273"/>
      <c r="M184" s="273"/>
      <c r="N184" s="273"/>
      <c r="O184" s="336"/>
    </row>
    <row r="185" spans="1:15" ht="15.75" customHeight="1" x14ac:dyDescent="0.2">
      <c r="A185" s="220"/>
      <c r="B185" s="220"/>
      <c r="C185" s="273"/>
      <c r="D185" s="273"/>
      <c r="E185" s="273"/>
      <c r="F185" s="273"/>
      <c r="G185" s="273"/>
      <c r="H185" s="273"/>
      <c r="I185" s="273"/>
      <c r="J185" s="273"/>
      <c r="K185" s="273"/>
      <c r="L185" s="273"/>
      <c r="M185" s="273"/>
      <c r="N185" s="273"/>
      <c r="O185" s="336"/>
    </row>
    <row r="186" spans="1:15" ht="15.75" customHeight="1" x14ac:dyDescent="0.2">
      <c r="A186" s="220"/>
      <c r="B186" s="220"/>
      <c r="C186" s="273"/>
      <c r="D186" s="273"/>
      <c r="E186" s="273"/>
      <c r="F186" s="273"/>
      <c r="G186" s="273"/>
      <c r="H186" s="273"/>
      <c r="I186" s="273"/>
      <c r="J186" s="273"/>
      <c r="K186" s="273"/>
      <c r="L186" s="273"/>
      <c r="M186" s="273"/>
      <c r="N186" s="273"/>
      <c r="O186" s="336"/>
    </row>
    <row r="187" spans="1:15" ht="15.75" customHeight="1" x14ac:dyDescent="0.2">
      <c r="A187" s="220"/>
      <c r="B187" s="220"/>
      <c r="C187" s="273"/>
      <c r="D187" s="273"/>
      <c r="E187" s="273"/>
      <c r="F187" s="273"/>
      <c r="G187" s="273"/>
      <c r="H187" s="273"/>
      <c r="I187" s="273"/>
      <c r="J187" s="273"/>
      <c r="K187" s="273"/>
      <c r="L187" s="273"/>
      <c r="M187" s="273"/>
      <c r="N187" s="273"/>
      <c r="O187" s="336"/>
    </row>
    <row r="188" spans="1:15" ht="15.75" customHeight="1" x14ac:dyDescent="0.2">
      <c r="A188" s="220"/>
      <c r="B188" s="220"/>
      <c r="C188" s="273"/>
      <c r="D188" s="273"/>
      <c r="E188" s="273"/>
      <c r="F188" s="273"/>
      <c r="G188" s="273"/>
      <c r="H188" s="273"/>
      <c r="I188" s="273"/>
      <c r="J188" s="273"/>
      <c r="K188" s="273"/>
      <c r="L188" s="273"/>
      <c r="M188" s="273"/>
      <c r="N188" s="273"/>
      <c r="O188" s="336"/>
    </row>
    <row r="189" spans="1:15" ht="15.75" customHeight="1" x14ac:dyDescent="0.2">
      <c r="A189" s="220"/>
      <c r="B189" s="231"/>
      <c r="C189" s="273"/>
      <c r="D189" s="273"/>
      <c r="E189" s="273"/>
      <c r="F189" s="273"/>
      <c r="G189" s="273"/>
      <c r="H189" s="273"/>
      <c r="I189" s="273"/>
      <c r="J189" s="273"/>
      <c r="K189" s="273"/>
      <c r="L189" s="273"/>
      <c r="M189" s="273"/>
      <c r="N189" s="273"/>
      <c r="O189" s="336"/>
    </row>
    <row r="190" spans="1:15" ht="15.75" customHeight="1" x14ac:dyDescent="0.2">
      <c r="A190" s="220"/>
      <c r="B190" s="231"/>
      <c r="C190" s="282"/>
      <c r="D190" s="282"/>
      <c r="E190" s="282"/>
      <c r="F190" s="282"/>
      <c r="G190" s="282"/>
      <c r="H190" s="282"/>
      <c r="I190" s="282"/>
      <c r="J190" s="282"/>
      <c r="K190" s="273"/>
      <c r="L190" s="273"/>
      <c r="M190" s="273"/>
      <c r="N190" s="273"/>
      <c r="O190" s="336"/>
    </row>
    <row r="191" spans="1:15" ht="15.75" customHeight="1" x14ac:dyDescent="0.2">
      <c r="A191" s="220"/>
      <c r="B191" s="231"/>
      <c r="C191" s="282"/>
      <c r="D191" s="282"/>
      <c r="E191" s="282"/>
      <c r="F191" s="282"/>
      <c r="G191" s="282"/>
      <c r="H191" s="282"/>
      <c r="I191" s="282"/>
      <c r="J191" s="282"/>
      <c r="K191" s="273"/>
      <c r="L191" s="273"/>
      <c r="M191" s="273"/>
      <c r="N191" s="273"/>
      <c r="O191" s="336"/>
    </row>
    <row r="192" spans="1:15" ht="15.75" customHeight="1" x14ac:dyDescent="0.2">
      <c r="A192" s="220"/>
      <c r="B192" s="231"/>
      <c r="C192" s="282"/>
      <c r="D192" s="282"/>
      <c r="E192" s="282"/>
      <c r="F192" s="282"/>
      <c r="G192" s="282"/>
      <c r="H192" s="282"/>
      <c r="I192" s="282"/>
      <c r="J192" s="282"/>
      <c r="K192" s="273"/>
      <c r="L192" s="273"/>
      <c r="M192" s="273"/>
      <c r="N192" s="273"/>
      <c r="O192" s="336"/>
    </row>
    <row r="193" spans="1:15" ht="15.75" customHeight="1" x14ac:dyDescent="0.2">
      <c r="A193" s="220"/>
      <c r="B193" s="231"/>
      <c r="C193" s="273"/>
      <c r="D193" s="273"/>
      <c r="E193" s="273"/>
      <c r="F193" s="273"/>
      <c r="G193" s="273"/>
      <c r="H193" s="273"/>
      <c r="I193" s="273"/>
      <c r="J193" s="273"/>
      <c r="K193" s="273"/>
      <c r="L193" s="273"/>
      <c r="M193" s="273"/>
      <c r="N193" s="273"/>
      <c r="O193" s="336"/>
    </row>
    <row r="194" spans="1:15" ht="15.75" customHeight="1" x14ac:dyDescent="0.2">
      <c r="A194" s="220"/>
      <c r="B194" s="231"/>
      <c r="C194" s="273"/>
      <c r="D194" s="273"/>
      <c r="E194" s="273"/>
      <c r="F194" s="273"/>
      <c r="G194" s="273"/>
      <c r="H194" s="273"/>
      <c r="I194" s="273"/>
      <c r="J194" s="273"/>
      <c r="K194" s="273"/>
      <c r="L194" s="273"/>
      <c r="M194" s="273"/>
      <c r="N194" s="273"/>
      <c r="O194" s="336"/>
    </row>
    <row r="195" spans="1:15" ht="15.75" customHeight="1" x14ac:dyDescent="0.2">
      <c r="A195" s="220"/>
      <c r="B195" s="231"/>
      <c r="C195" s="273"/>
      <c r="D195" s="283"/>
      <c r="E195" s="273"/>
      <c r="F195" s="273"/>
      <c r="G195" s="273"/>
      <c r="H195" s="273"/>
      <c r="I195" s="273"/>
      <c r="J195" s="273"/>
      <c r="K195" s="273"/>
      <c r="L195" s="273"/>
      <c r="M195" s="273"/>
      <c r="N195" s="273"/>
      <c r="O195" s="336"/>
    </row>
    <row r="196" spans="1:15" ht="15.75" customHeight="1" x14ac:dyDescent="0.2">
      <c r="A196" s="220"/>
      <c r="B196" s="231"/>
      <c r="C196" s="273"/>
      <c r="D196" s="273"/>
      <c r="E196" s="273"/>
      <c r="F196" s="273"/>
      <c r="G196" s="273"/>
      <c r="H196" s="273"/>
      <c r="I196" s="273"/>
      <c r="J196" s="273"/>
      <c r="K196" s="273"/>
      <c r="L196" s="273"/>
      <c r="M196" s="273"/>
      <c r="N196" s="273"/>
      <c r="O196" s="336"/>
    </row>
    <row r="197" spans="1:15" ht="15.75" customHeight="1" x14ac:dyDescent="0.2">
      <c r="A197" s="220"/>
      <c r="B197" s="231"/>
      <c r="C197" s="273"/>
      <c r="D197" s="273"/>
      <c r="E197" s="273"/>
      <c r="F197" s="273"/>
      <c r="G197" s="273"/>
      <c r="H197" s="273"/>
      <c r="I197" s="273"/>
      <c r="J197" s="273"/>
      <c r="K197" s="273"/>
      <c r="L197" s="273"/>
      <c r="M197" s="273"/>
      <c r="N197" s="273"/>
      <c r="O197" s="336"/>
    </row>
    <row r="198" spans="1:15" ht="15.75" customHeight="1" x14ac:dyDescent="0.2">
      <c r="A198" s="220"/>
      <c r="B198" s="231"/>
      <c r="C198" s="273"/>
      <c r="D198" s="273"/>
      <c r="E198" s="273"/>
      <c r="F198" s="273"/>
      <c r="G198" s="273"/>
      <c r="H198" s="273"/>
      <c r="I198" s="273"/>
      <c r="J198" s="273"/>
      <c r="K198" s="273"/>
      <c r="L198" s="273"/>
      <c r="M198" s="273"/>
      <c r="N198" s="273"/>
      <c r="O198" s="336"/>
    </row>
    <row r="199" spans="1:15" ht="15.75" customHeight="1" x14ac:dyDescent="0.2">
      <c r="A199" s="220"/>
      <c r="B199" s="231"/>
      <c r="C199" s="273"/>
      <c r="D199" s="273"/>
      <c r="E199" s="273"/>
      <c r="F199" s="273"/>
      <c r="G199" s="273"/>
      <c r="H199" s="273"/>
      <c r="I199" s="273"/>
      <c r="J199" s="273"/>
      <c r="K199" s="273"/>
      <c r="L199" s="273"/>
      <c r="M199" s="273"/>
      <c r="N199" s="273"/>
      <c r="O199" s="336"/>
    </row>
    <row r="200" spans="1:15" ht="15.75" customHeight="1" x14ac:dyDescent="0.2">
      <c r="A200" s="220"/>
      <c r="B200" s="220"/>
      <c r="C200" s="273"/>
      <c r="D200" s="273"/>
      <c r="E200" s="273"/>
      <c r="F200" s="273"/>
      <c r="G200" s="273"/>
      <c r="H200" s="273"/>
      <c r="I200" s="273"/>
      <c r="J200" s="273"/>
      <c r="K200" s="273"/>
      <c r="L200" s="273"/>
      <c r="M200" s="273"/>
      <c r="N200" s="273"/>
      <c r="O200" s="336"/>
    </row>
    <row r="201" spans="1:15" ht="15.75" customHeight="1" x14ac:dyDescent="0.2">
      <c r="A201" s="220"/>
      <c r="B201" s="220"/>
      <c r="C201" s="273"/>
      <c r="D201" s="273"/>
      <c r="E201" s="273"/>
      <c r="F201" s="273"/>
      <c r="G201" s="273"/>
      <c r="H201" s="273"/>
      <c r="I201" s="273"/>
      <c r="J201" s="273"/>
      <c r="K201" s="273"/>
      <c r="L201" s="273"/>
      <c r="M201" s="273"/>
      <c r="N201" s="273"/>
      <c r="O201" s="336"/>
    </row>
    <row r="202" spans="1:15" ht="15.75" customHeight="1" x14ac:dyDescent="0.2">
      <c r="A202" s="220"/>
      <c r="B202" s="220"/>
      <c r="C202" s="273"/>
      <c r="D202" s="273"/>
      <c r="E202" s="273"/>
      <c r="F202" s="273"/>
      <c r="G202" s="273"/>
      <c r="H202" s="273"/>
      <c r="I202" s="273"/>
      <c r="J202" s="273"/>
      <c r="K202" s="273"/>
      <c r="L202" s="273"/>
      <c r="M202" s="273"/>
      <c r="N202" s="273"/>
      <c r="O202" s="336"/>
    </row>
    <row r="203" spans="1:15" ht="15.75" customHeight="1" x14ac:dyDescent="0.2">
      <c r="A203" s="220"/>
      <c r="B203" s="220"/>
      <c r="C203" s="273"/>
      <c r="D203" s="273"/>
      <c r="E203" s="273"/>
      <c r="F203" s="273"/>
      <c r="G203" s="273"/>
      <c r="H203" s="273"/>
      <c r="I203" s="273"/>
      <c r="J203" s="273"/>
      <c r="K203" s="273"/>
      <c r="L203" s="273"/>
      <c r="M203" s="273"/>
      <c r="N203" s="273"/>
      <c r="O203" s="336"/>
    </row>
    <row r="204" spans="1:15" ht="15.75" customHeight="1" x14ac:dyDescent="0.2">
      <c r="A204" s="220"/>
      <c r="B204" s="220"/>
      <c r="C204" s="273"/>
      <c r="D204" s="273"/>
      <c r="E204" s="273"/>
      <c r="F204" s="273"/>
      <c r="G204" s="273"/>
      <c r="H204" s="273"/>
      <c r="I204" s="273"/>
      <c r="J204" s="273"/>
      <c r="K204" s="273"/>
      <c r="L204" s="273"/>
      <c r="M204" s="273"/>
      <c r="N204" s="273"/>
      <c r="O204" s="336"/>
    </row>
    <row r="205" spans="1:15" ht="15.75" customHeight="1" x14ac:dyDescent="0.2">
      <c r="A205" s="220"/>
      <c r="B205" s="220"/>
      <c r="C205" s="273"/>
      <c r="D205" s="273"/>
      <c r="E205" s="273"/>
      <c r="F205" s="273"/>
      <c r="G205" s="273"/>
      <c r="H205" s="273"/>
      <c r="I205" s="273"/>
      <c r="J205" s="273"/>
      <c r="K205" s="273"/>
      <c r="L205" s="273"/>
      <c r="M205" s="273"/>
      <c r="N205" s="273"/>
      <c r="O205" s="336"/>
    </row>
    <row r="206" spans="1:15" ht="15.75" customHeight="1" x14ac:dyDescent="0.2">
      <c r="A206" s="220"/>
      <c r="B206" s="220"/>
      <c r="C206" s="273"/>
      <c r="D206" s="273"/>
      <c r="E206" s="273"/>
      <c r="F206" s="273"/>
      <c r="G206" s="273"/>
      <c r="H206" s="273"/>
      <c r="I206" s="273"/>
      <c r="J206" s="273"/>
      <c r="K206" s="273"/>
      <c r="L206" s="273"/>
      <c r="M206" s="273"/>
      <c r="N206" s="273"/>
      <c r="O206" s="336"/>
    </row>
    <row r="207" spans="1:15" ht="15.75" customHeight="1" x14ac:dyDescent="0.2">
      <c r="A207" s="220"/>
      <c r="B207" s="220"/>
      <c r="C207" s="273"/>
      <c r="D207" s="273"/>
      <c r="E207" s="273"/>
      <c r="F207" s="273"/>
      <c r="G207" s="273"/>
      <c r="H207" s="273"/>
      <c r="I207" s="273"/>
      <c r="J207" s="273"/>
      <c r="K207" s="273"/>
      <c r="L207" s="273"/>
      <c r="M207" s="273"/>
      <c r="N207" s="273"/>
      <c r="O207" s="336"/>
    </row>
    <row r="208" spans="1:15" ht="15.75" customHeight="1" x14ac:dyDescent="0.2">
      <c r="A208" s="220"/>
      <c r="B208" s="220"/>
      <c r="C208" s="273"/>
      <c r="D208" s="273"/>
      <c r="E208" s="273"/>
      <c r="F208" s="273"/>
      <c r="G208" s="273"/>
      <c r="H208" s="273"/>
      <c r="I208" s="273"/>
      <c r="J208" s="273"/>
      <c r="K208" s="273"/>
      <c r="L208" s="273"/>
      <c r="M208" s="273"/>
      <c r="N208" s="273"/>
      <c r="O208" s="336"/>
    </row>
    <row r="209" spans="1:15" ht="15.75" customHeight="1" x14ac:dyDescent="0.2">
      <c r="A209" s="220"/>
      <c r="B209" s="220"/>
      <c r="C209" s="273"/>
      <c r="D209" s="273"/>
      <c r="E209" s="273"/>
      <c r="F209" s="273"/>
      <c r="G209" s="273"/>
      <c r="H209" s="273"/>
      <c r="I209" s="273"/>
      <c r="J209" s="273"/>
      <c r="K209" s="273"/>
      <c r="L209" s="273"/>
      <c r="M209" s="273"/>
      <c r="N209" s="273"/>
      <c r="O209" s="336"/>
    </row>
    <row r="210" spans="1:15" ht="15.75" customHeight="1" x14ac:dyDescent="0.2">
      <c r="A210" s="220"/>
      <c r="B210" s="220"/>
      <c r="C210" s="273"/>
      <c r="D210" s="273"/>
      <c r="E210" s="273"/>
      <c r="F210" s="273"/>
      <c r="G210" s="273"/>
      <c r="H210" s="273"/>
      <c r="I210" s="273"/>
      <c r="J210" s="273"/>
      <c r="K210" s="273"/>
      <c r="L210" s="273"/>
      <c r="M210" s="273"/>
      <c r="N210" s="273"/>
      <c r="O210" s="336"/>
    </row>
    <row r="211" spans="1:15" ht="15.75" customHeight="1" x14ac:dyDescent="0.2">
      <c r="A211" s="220"/>
      <c r="B211" s="220"/>
      <c r="C211" s="273"/>
      <c r="D211" s="273"/>
      <c r="E211" s="273"/>
      <c r="F211" s="273"/>
      <c r="G211" s="273"/>
      <c r="H211" s="273"/>
      <c r="I211" s="273"/>
      <c r="J211" s="273"/>
      <c r="K211" s="273"/>
      <c r="L211" s="273"/>
      <c r="M211" s="273"/>
      <c r="N211" s="273"/>
      <c r="O211" s="336"/>
    </row>
    <row r="212" spans="1:15" ht="15.75" customHeight="1" x14ac:dyDescent="0.2">
      <c r="A212" s="220"/>
      <c r="B212" s="220"/>
      <c r="C212" s="273"/>
      <c r="D212" s="273"/>
      <c r="E212" s="273"/>
      <c r="F212" s="273"/>
      <c r="G212" s="273"/>
      <c r="H212" s="273"/>
      <c r="I212" s="273"/>
      <c r="J212" s="273"/>
      <c r="K212" s="273"/>
      <c r="L212" s="273"/>
      <c r="M212" s="273"/>
      <c r="N212" s="273"/>
      <c r="O212" s="336"/>
    </row>
    <row r="213" spans="1:15" ht="15.75" customHeight="1" x14ac:dyDescent="0.2">
      <c r="A213" s="220"/>
      <c r="B213" s="220"/>
      <c r="C213" s="273"/>
      <c r="D213" s="273"/>
      <c r="E213" s="273"/>
      <c r="F213" s="273"/>
      <c r="G213" s="273"/>
      <c r="H213" s="273"/>
      <c r="I213" s="273"/>
      <c r="J213" s="273"/>
      <c r="K213" s="273"/>
      <c r="L213" s="273"/>
      <c r="M213" s="273"/>
      <c r="N213" s="273"/>
      <c r="O213" s="336"/>
    </row>
    <row r="214" spans="1:15" ht="15.75" customHeight="1" x14ac:dyDescent="0.2">
      <c r="A214" s="220"/>
      <c r="B214" s="220"/>
      <c r="C214" s="273"/>
      <c r="D214" s="273"/>
      <c r="E214" s="273"/>
      <c r="F214" s="273"/>
      <c r="G214" s="273"/>
      <c r="H214" s="273"/>
      <c r="I214" s="273"/>
      <c r="J214" s="273"/>
      <c r="K214" s="273"/>
      <c r="L214" s="273"/>
      <c r="M214" s="273"/>
      <c r="N214" s="273"/>
      <c r="O214" s="336"/>
    </row>
    <row r="215" spans="1:15" ht="15.75" customHeight="1" x14ac:dyDescent="0.2">
      <c r="A215" s="220"/>
      <c r="B215" s="220"/>
      <c r="C215" s="273"/>
      <c r="D215" s="273"/>
      <c r="E215" s="273"/>
      <c r="F215" s="273"/>
      <c r="G215" s="273"/>
      <c r="H215" s="273"/>
      <c r="I215" s="273"/>
      <c r="J215" s="273"/>
      <c r="K215" s="273"/>
      <c r="L215" s="273"/>
      <c r="M215" s="273"/>
      <c r="N215" s="273"/>
      <c r="O215" s="336"/>
    </row>
    <row r="216" spans="1:15" ht="15.75" customHeight="1" x14ac:dyDescent="0.2">
      <c r="A216" s="220"/>
      <c r="B216" s="220"/>
      <c r="C216" s="273"/>
      <c r="D216" s="273"/>
      <c r="E216" s="273"/>
      <c r="F216" s="273"/>
      <c r="G216" s="273"/>
      <c r="H216" s="273"/>
      <c r="I216" s="273"/>
      <c r="J216" s="273"/>
      <c r="K216" s="273"/>
      <c r="L216" s="273"/>
      <c r="M216" s="273"/>
      <c r="N216" s="273"/>
      <c r="O216" s="336"/>
    </row>
    <row r="217" spans="1:15" ht="15.75" customHeight="1" x14ac:dyDescent="0.2">
      <c r="A217" s="220"/>
      <c r="B217" s="220"/>
      <c r="C217" s="273"/>
      <c r="D217" s="273"/>
      <c r="E217" s="273"/>
      <c r="F217" s="273"/>
      <c r="G217" s="273"/>
      <c r="H217" s="273"/>
      <c r="I217" s="273"/>
      <c r="J217" s="273"/>
      <c r="K217" s="273"/>
      <c r="L217" s="273"/>
      <c r="M217" s="273"/>
      <c r="N217" s="273"/>
      <c r="O217" s="336"/>
    </row>
    <row r="218" spans="1:15" ht="15.75" customHeight="1" x14ac:dyDescent="0.2">
      <c r="A218" s="220"/>
      <c r="B218" s="220"/>
      <c r="C218" s="273"/>
      <c r="D218" s="273"/>
      <c r="E218" s="273"/>
      <c r="F218" s="273"/>
      <c r="G218" s="273"/>
      <c r="H218" s="273"/>
      <c r="I218" s="273"/>
      <c r="J218" s="273"/>
      <c r="K218" s="273"/>
      <c r="L218" s="273"/>
      <c r="M218" s="273"/>
      <c r="N218" s="273"/>
      <c r="O218" s="336"/>
    </row>
    <row r="219" spans="1:15" ht="15.75" customHeight="1" x14ac:dyDescent="0.2">
      <c r="A219" s="220"/>
      <c r="B219" s="220"/>
      <c r="C219" s="273"/>
      <c r="D219" s="273"/>
      <c r="E219" s="273"/>
      <c r="F219" s="273"/>
      <c r="G219" s="273"/>
      <c r="H219" s="273"/>
      <c r="I219" s="273"/>
      <c r="J219" s="273"/>
      <c r="K219" s="273"/>
      <c r="L219" s="273"/>
      <c r="M219" s="273"/>
      <c r="N219" s="273"/>
      <c r="O219" s="336"/>
    </row>
    <row r="220" spans="1:15" ht="15.75" customHeight="1" x14ac:dyDescent="0.2">
      <c r="A220" s="220"/>
      <c r="B220" s="220"/>
      <c r="C220" s="273"/>
      <c r="D220" s="273"/>
      <c r="E220" s="273"/>
      <c r="F220" s="273"/>
      <c r="G220" s="273"/>
      <c r="H220" s="273"/>
      <c r="I220" s="273"/>
      <c r="J220" s="273"/>
      <c r="K220" s="273"/>
      <c r="L220" s="273"/>
      <c r="M220" s="273"/>
      <c r="N220" s="273"/>
      <c r="O220" s="336"/>
    </row>
    <row r="221" spans="1:15" ht="15.75" customHeight="1" x14ac:dyDescent="0.2">
      <c r="A221" s="220"/>
      <c r="B221" s="220"/>
      <c r="C221" s="273"/>
      <c r="D221" s="273"/>
      <c r="E221" s="273"/>
      <c r="F221" s="273"/>
      <c r="G221" s="273"/>
      <c r="H221" s="273"/>
      <c r="I221" s="273"/>
      <c r="J221" s="273"/>
      <c r="K221" s="273"/>
      <c r="L221" s="273"/>
      <c r="M221" s="273"/>
      <c r="N221" s="273"/>
      <c r="O221" s="336"/>
    </row>
    <row r="222" spans="1:15" ht="15.75" customHeight="1" x14ac:dyDescent="0.2">
      <c r="A222" s="220"/>
      <c r="B222" s="220"/>
      <c r="C222" s="273"/>
      <c r="D222" s="273"/>
      <c r="E222" s="273"/>
      <c r="F222" s="273"/>
      <c r="G222" s="273"/>
      <c r="H222" s="273"/>
      <c r="I222" s="273"/>
      <c r="J222" s="273"/>
      <c r="K222" s="273"/>
      <c r="L222" s="273"/>
      <c r="M222" s="273"/>
      <c r="N222" s="273"/>
      <c r="O222" s="336"/>
    </row>
    <row r="223" spans="1:15" ht="15.75" customHeight="1" x14ac:dyDescent="0.2">
      <c r="A223" s="220"/>
      <c r="B223" s="220"/>
      <c r="C223" s="273"/>
      <c r="D223" s="273"/>
      <c r="E223" s="273"/>
      <c r="F223" s="273"/>
      <c r="G223" s="273"/>
      <c r="H223" s="273"/>
      <c r="I223" s="273"/>
      <c r="J223" s="273"/>
      <c r="K223" s="273"/>
      <c r="L223" s="273"/>
      <c r="M223" s="273"/>
      <c r="N223" s="273"/>
      <c r="O223" s="336"/>
    </row>
    <row r="224" spans="1:15" ht="15.75" customHeight="1" x14ac:dyDescent="0.2">
      <c r="A224" s="220"/>
      <c r="B224" s="220"/>
      <c r="C224" s="273"/>
      <c r="D224" s="273"/>
      <c r="E224" s="273"/>
      <c r="F224" s="273"/>
      <c r="G224" s="273"/>
      <c r="H224" s="273"/>
      <c r="I224" s="273"/>
      <c r="J224" s="273"/>
      <c r="K224" s="273"/>
      <c r="L224" s="273"/>
      <c r="M224" s="273"/>
      <c r="N224" s="273"/>
      <c r="O224" s="336"/>
    </row>
    <row r="225" spans="1:15" ht="15.75" customHeight="1" x14ac:dyDescent="0.2">
      <c r="A225" s="220"/>
      <c r="B225" s="220"/>
      <c r="C225" s="273"/>
      <c r="D225" s="273"/>
      <c r="E225" s="273"/>
      <c r="F225" s="273"/>
      <c r="G225" s="273"/>
      <c r="H225" s="273"/>
      <c r="I225" s="273"/>
      <c r="J225" s="273"/>
      <c r="K225" s="273"/>
      <c r="L225" s="273"/>
      <c r="M225" s="273"/>
      <c r="N225" s="273"/>
      <c r="O225" s="336"/>
    </row>
    <row r="226" spans="1:15" ht="15.75" customHeight="1" x14ac:dyDescent="0.2">
      <c r="A226" s="220"/>
      <c r="B226" s="220"/>
      <c r="C226" s="273"/>
      <c r="D226" s="273"/>
      <c r="E226" s="273"/>
      <c r="F226" s="273"/>
      <c r="G226" s="273"/>
      <c r="H226" s="273"/>
      <c r="I226" s="273"/>
      <c r="J226" s="273"/>
      <c r="K226" s="273"/>
      <c r="L226" s="273"/>
      <c r="M226" s="273"/>
      <c r="N226" s="273"/>
      <c r="O226" s="336"/>
    </row>
    <row r="227" spans="1:15" ht="15.75" customHeight="1" x14ac:dyDescent="0.2">
      <c r="A227" s="220"/>
      <c r="B227" s="220"/>
      <c r="C227" s="273"/>
      <c r="D227" s="273"/>
      <c r="E227" s="273"/>
      <c r="F227" s="273"/>
      <c r="G227" s="273"/>
      <c r="H227" s="273"/>
      <c r="I227" s="273"/>
      <c r="J227" s="273"/>
      <c r="K227" s="273"/>
      <c r="L227" s="273"/>
      <c r="M227" s="273"/>
      <c r="N227" s="273"/>
      <c r="O227" s="336"/>
    </row>
    <row r="228" spans="1:15" ht="15.75" customHeight="1" x14ac:dyDescent="0.2">
      <c r="A228" s="220"/>
      <c r="B228" s="220"/>
      <c r="C228" s="273"/>
      <c r="D228" s="273"/>
      <c r="E228" s="273"/>
      <c r="F228" s="273"/>
      <c r="G228" s="273"/>
      <c r="H228" s="273"/>
      <c r="I228" s="273"/>
      <c r="J228" s="273"/>
      <c r="K228" s="273"/>
      <c r="L228" s="273"/>
      <c r="M228" s="273"/>
      <c r="N228" s="273"/>
      <c r="O228" s="336"/>
    </row>
    <row r="229" spans="1:15" ht="15.75" customHeight="1" x14ac:dyDescent="0.2">
      <c r="A229" s="220"/>
      <c r="B229" s="220"/>
      <c r="C229" s="273"/>
      <c r="D229" s="273"/>
      <c r="E229" s="273"/>
      <c r="F229" s="273"/>
      <c r="G229" s="273"/>
      <c r="H229" s="273"/>
      <c r="I229" s="273"/>
      <c r="J229" s="273"/>
      <c r="K229" s="273"/>
      <c r="L229" s="273"/>
      <c r="M229" s="273"/>
      <c r="N229" s="273"/>
      <c r="O229" s="336"/>
    </row>
    <row r="230" spans="1:15" ht="15.75" customHeight="1" x14ac:dyDescent="0.2">
      <c r="A230" s="220"/>
      <c r="B230" s="220"/>
      <c r="C230" s="273"/>
      <c r="D230" s="273"/>
      <c r="E230" s="273"/>
      <c r="F230" s="273"/>
      <c r="G230" s="273"/>
      <c r="H230" s="273"/>
      <c r="I230" s="273"/>
      <c r="J230" s="273"/>
      <c r="K230" s="273"/>
      <c r="L230" s="273"/>
      <c r="M230" s="273"/>
      <c r="N230" s="273"/>
      <c r="O230" s="336"/>
    </row>
    <row r="231" spans="1:15" ht="15.75" customHeight="1" x14ac:dyDescent="0.2">
      <c r="A231" s="220"/>
      <c r="B231" s="220"/>
      <c r="C231" s="273"/>
      <c r="D231" s="273"/>
      <c r="E231" s="273"/>
      <c r="F231" s="273"/>
      <c r="G231" s="273"/>
      <c r="H231" s="273"/>
      <c r="I231" s="273"/>
      <c r="J231" s="273"/>
      <c r="K231" s="273"/>
      <c r="L231" s="273"/>
      <c r="M231" s="273"/>
      <c r="N231" s="273"/>
      <c r="O231" s="336"/>
    </row>
    <row r="232" spans="1:15" ht="15.75" customHeight="1" x14ac:dyDescent="0.2">
      <c r="A232" s="220"/>
      <c r="B232" s="220"/>
      <c r="C232" s="273"/>
      <c r="D232" s="273"/>
      <c r="E232" s="273"/>
      <c r="F232" s="273"/>
      <c r="G232" s="273"/>
      <c r="H232" s="273"/>
      <c r="I232" s="273"/>
      <c r="J232" s="273"/>
      <c r="K232" s="273"/>
      <c r="L232" s="273"/>
      <c r="M232" s="273"/>
      <c r="N232" s="273"/>
      <c r="O232" s="336"/>
    </row>
    <row r="233" spans="1:15" ht="15.75" customHeight="1" x14ac:dyDescent="0.2">
      <c r="A233" s="220"/>
      <c r="B233" s="220"/>
      <c r="C233" s="273"/>
      <c r="D233" s="273"/>
      <c r="E233" s="273"/>
      <c r="F233" s="273"/>
      <c r="G233" s="273"/>
      <c r="H233" s="273"/>
      <c r="I233" s="273"/>
      <c r="J233" s="273"/>
      <c r="K233" s="273"/>
      <c r="L233" s="273"/>
      <c r="M233" s="273"/>
      <c r="N233" s="273"/>
      <c r="O233" s="336"/>
    </row>
    <row r="234" spans="1:15" ht="15.75" customHeight="1" x14ac:dyDescent="0.2">
      <c r="A234" s="220"/>
      <c r="B234" s="220"/>
      <c r="C234" s="273"/>
      <c r="D234" s="273"/>
      <c r="E234" s="273"/>
      <c r="F234" s="273"/>
      <c r="G234" s="273"/>
      <c r="H234" s="273"/>
      <c r="I234" s="273"/>
      <c r="J234" s="273"/>
      <c r="K234" s="273"/>
      <c r="L234" s="273"/>
      <c r="M234" s="273"/>
      <c r="N234" s="273"/>
      <c r="O234" s="336"/>
    </row>
    <row r="235" spans="1:15" ht="15.75" customHeight="1" x14ac:dyDescent="0.2">
      <c r="A235" s="220"/>
      <c r="B235" s="220"/>
      <c r="C235" s="273"/>
      <c r="D235" s="273"/>
      <c r="E235" s="273"/>
      <c r="F235" s="273"/>
      <c r="G235" s="273"/>
      <c r="H235" s="273"/>
      <c r="I235" s="273"/>
      <c r="J235" s="273"/>
      <c r="K235" s="273"/>
      <c r="L235" s="273"/>
      <c r="M235" s="273"/>
      <c r="N235" s="273"/>
      <c r="O235" s="336"/>
    </row>
    <row r="236" spans="1:15" ht="15.75" customHeight="1" x14ac:dyDescent="0.2">
      <c r="A236" s="220"/>
      <c r="B236" s="220"/>
      <c r="C236" s="273"/>
      <c r="D236" s="273"/>
      <c r="E236" s="273"/>
      <c r="F236" s="273"/>
      <c r="G236" s="273"/>
      <c r="H236" s="273"/>
      <c r="I236" s="273"/>
      <c r="J236" s="273"/>
      <c r="K236" s="273"/>
      <c r="L236" s="273"/>
      <c r="M236" s="273"/>
      <c r="N236" s="273"/>
      <c r="O236" s="336"/>
    </row>
    <row r="237" spans="1:15" ht="15.75" customHeight="1" x14ac:dyDescent="0.2">
      <c r="A237" s="220"/>
      <c r="B237" s="220"/>
      <c r="C237" s="273"/>
      <c r="D237" s="273"/>
      <c r="E237" s="273"/>
      <c r="F237" s="273"/>
      <c r="G237" s="273"/>
      <c r="H237" s="273"/>
      <c r="I237" s="273"/>
      <c r="J237" s="273"/>
      <c r="K237" s="273"/>
      <c r="L237" s="273"/>
      <c r="M237" s="273"/>
      <c r="N237" s="273"/>
      <c r="O237" s="336"/>
    </row>
    <row r="238" spans="1:15" ht="15.75" customHeight="1" x14ac:dyDescent="0.2">
      <c r="A238" s="220"/>
      <c r="B238" s="220"/>
      <c r="C238" s="273"/>
      <c r="D238" s="273"/>
      <c r="E238" s="273"/>
      <c r="F238" s="273"/>
      <c r="G238" s="273"/>
      <c r="H238" s="273"/>
      <c r="I238" s="273"/>
      <c r="J238" s="273"/>
      <c r="K238" s="273"/>
      <c r="L238" s="273"/>
      <c r="M238" s="273"/>
      <c r="N238" s="273"/>
      <c r="O238" s="336"/>
    </row>
    <row r="239" spans="1:15" ht="15.75" customHeight="1" x14ac:dyDescent="0.2">
      <c r="A239" s="220"/>
      <c r="B239" s="220"/>
      <c r="C239" s="273"/>
      <c r="D239" s="273"/>
      <c r="E239" s="273"/>
      <c r="F239" s="273"/>
      <c r="G239" s="273"/>
      <c r="H239" s="273"/>
      <c r="I239" s="273"/>
      <c r="J239" s="273"/>
      <c r="K239" s="273"/>
      <c r="L239" s="273"/>
      <c r="M239" s="273"/>
      <c r="N239" s="273"/>
      <c r="O239" s="336"/>
    </row>
    <row r="240" spans="1:15" ht="15.75" customHeight="1" x14ac:dyDescent="0.2">
      <c r="A240" s="220"/>
      <c r="B240" s="220"/>
      <c r="C240" s="273"/>
      <c r="D240" s="273"/>
      <c r="E240" s="273"/>
      <c r="F240" s="273"/>
      <c r="G240" s="273"/>
      <c r="H240" s="273"/>
      <c r="I240" s="273"/>
      <c r="J240" s="273"/>
      <c r="K240" s="273"/>
      <c r="L240" s="273"/>
      <c r="M240" s="273"/>
      <c r="N240" s="273"/>
      <c r="O240" s="336"/>
    </row>
    <row r="241" spans="1:15" ht="15.75" customHeight="1" x14ac:dyDescent="0.2">
      <c r="A241" s="220"/>
      <c r="B241" s="220"/>
      <c r="C241" s="273"/>
      <c r="D241" s="273"/>
      <c r="E241" s="273"/>
      <c r="F241" s="273"/>
      <c r="G241" s="273"/>
      <c r="H241" s="273"/>
      <c r="I241" s="273"/>
      <c r="J241" s="273"/>
      <c r="K241" s="273"/>
      <c r="L241" s="273"/>
      <c r="M241" s="273"/>
      <c r="N241" s="273"/>
      <c r="O241" s="336"/>
    </row>
    <row r="242" spans="1:15" ht="15.75" customHeight="1" x14ac:dyDescent="0.2">
      <c r="A242" s="220"/>
      <c r="B242" s="220"/>
      <c r="C242" s="273"/>
      <c r="D242" s="273"/>
      <c r="E242" s="273"/>
      <c r="F242" s="273"/>
      <c r="G242" s="273"/>
      <c r="H242" s="273"/>
      <c r="I242" s="273"/>
      <c r="J242" s="273"/>
      <c r="K242" s="273"/>
      <c r="L242" s="273"/>
      <c r="M242" s="273"/>
      <c r="N242" s="273"/>
      <c r="O242" s="336"/>
    </row>
    <row r="243" spans="1:15" ht="15.75" customHeight="1" x14ac:dyDescent="0.2">
      <c r="A243" s="220"/>
      <c r="B243" s="220"/>
      <c r="C243" s="273"/>
      <c r="D243" s="273"/>
      <c r="E243" s="273"/>
      <c r="F243" s="273"/>
      <c r="G243" s="273"/>
      <c r="H243" s="273"/>
      <c r="I243" s="273"/>
      <c r="J243" s="273"/>
      <c r="K243" s="273"/>
      <c r="L243" s="273"/>
      <c r="M243" s="273"/>
      <c r="N243" s="273"/>
      <c r="O243" s="336"/>
    </row>
    <row r="244" spans="1:15" ht="15.75" customHeight="1" x14ac:dyDescent="0.2">
      <c r="A244" s="220"/>
      <c r="B244" s="220"/>
      <c r="C244" s="273"/>
      <c r="D244" s="273"/>
      <c r="E244" s="273"/>
      <c r="F244" s="273"/>
      <c r="G244" s="273"/>
      <c r="H244" s="273"/>
      <c r="I244" s="273"/>
      <c r="J244" s="273"/>
      <c r="K244" s="273"/>
      <c r="L244" s="273"/>
      <c r="M244" s="273"/>
      <c r="N244" s="273"/>
      <c r="O244" s="336"/>
    </row>
    <row r="245" spans="1:15" ht="15.75" customHeight="1" x14ac:dyDescent="0.2">
      <c r="A245" s="220"/>
      <c r="B245" s="220"/>
      <c r="C245" s="273"/>
      <c r="D245" s="273"/>
      <c r="E245" s="273"/>
      <c r="F245" s="273"/>
      <c r="G245" s="273"/>
      <c r="H245" s="273"/>
      <c r="I245" s="273"/>
      <c r="J245" s="273"/>
      <c r="K245" s="273"/>
      <c r="L245" s="273"/>
      <c r="M245" s="273"/>
      <c r="N245" s="273"/>
      <c r="O245" s="336"/>
    </row>
    <row r="246" spans="1:15" ht="15.75" customHeight="1" x14ac:dyDescent="0.2">
      <c r="A246" s="220"/>
      <c r="B246" s="220"/>
      <c r="C246" s="273"/>
      <c r="D246" s="273"/>
      <c r="E246" s="273"/>
      <c r="F246" s="273"/>
      <c r="G246" s="273"/>
      <c r="H246" s="273"/>
      <c r="I246" s="273"/>
      <c r="J246" s="273"/>
      <c r="K246" s="273"/>
      <c r="L246" s="273"/>
      <c r="M246" s="273"/>
      <c r="N246" s="273"/>
      <c r="O246" s="336"/>
    </row>
    <row r="247" spans="1:15" ht="15.75" customHeight="1" x14ac:dyDescent="0.2">
      <c r="A247" s="220"/>
      <c r="B247" s="220"/>
      <c r="C247" s="273"/>
      <c r="D247" s="273"/>
      <c r="E247" s="273"/>
      <c r="F247" s="273"/>
      <c r="G247" s="273"/>
      <c r="H247" s="273"/>
      <c r="I247" s="273"/>
      <c r="J247" s="273"/>
      <c r="K247" s="273"/>
      <c r="L247" s="273"/>
      <c r="M247" s="273"/>
      <c r="N247" s="273"/>
      <c r="O247" s="336"/>
    </row>
    <row r="248" spans="1:15" ht="15.75" customHeight="1" x14ac:dyDescent="0.2">
      <c r="A248" s="220"/>
      <c r="B248" s="220"/>
      <c r="C248" s="273"/>
      <c r="D248" s="273"/>
      <c r="E248" s="273"/>
      <c r="F248" s="273"/>
      <c r="G248" s="273"/>
      <c r="H248" s="273"/>
      <c r="I248" s="273"/>
      <c r="J248" s="273"/>
      <c r="K248" s="273"/>
      <c r="L248" s="273"/>
      <c r="M248" s="273"/>
      <c r="N248" s="273"/>
      <c r="O248" s="336"/>
    </row>
    <row r="249" spans="1:15" ht="15.75" customHeight="1" x14ac:dyDescent="0.2">
      <c r="A249" s="220"/>
      <c r="B249" s="220"/>
      <c r="C249" s="273"/>
      <c r="D249" s="273"/>
      <c r="E249" s="273"/>
      <c r="F249" s="273"/>
      <c r="G249" s="273"/>
      <c r="H249" s="273"/>
      <c r="I249" s="273"/>
      <c r="J249" s="273"/>
      <c r="K249" s="273"/>
      <c r="L249" s="273"/>
      <c r="M249" s="273"/>
      <c r="N249" s="273"/>
      <c r="O249" s="336"/>
    </row>
    <row r="250" spans="1:15" ht="15.75" customHeight="1" x14ac:dyDescent="0.2">
      <c r="A250" s="220"/>
      <c r="B250" s="220"/>
      <c r="C250" s="273"/>
      <c r="D250" s="273"/>
      <c r="E250" s="273"/>
      <c r="F250" s="273"/>
      <c r="G250" s="273"/>
      <c r="H250" s="273"/>
      <c r="I250" s="273"/>
      <c r="J250" s="273"/>
      <c r="K250" s="273"/>
      <c r="L250" s="273"/>
      <c r="M250" s="273"/>
      <c r="N250" s="273"/>
      <c r="O250" s="336"/>
    </row>
    <row r="251" spans="1:15" ht="15.75" customHeight="1" x14ac:dyDescent="0.2">
      <c r="A251" s="220"/>
      <c r="B251" s="220"/>
      <c r="C251" s="273"/>
      <c r="D251" s="273"/>
      <c r="E251" s="273"/>
      <c r="F251" s="273"/>
      <c r="G251" s="273"/>
      <c r="H251" s="273"/>
      <c r="I251" s="273"/>
      <c r="J251" s="273"/>
      <c r="K251" s="273"/>
      <c r="L251" s="273"/>
      <c r="M251" s="273"/>
      <c r="N251" s="273"/>
      <c r="O251" s="336"/>
    </row>
    <row r="252" spans="1:15" ht="15.75" customHeight="1" x14ac:dyDescent="0.2">
      <c r="A252" s="220"/>
      <c r="B252" s="220"/>
      <c r="C252" s="273"/>
      <c r="D252" s="273"/>
      <c r="E252" s="273"/>
      <c r="F252" s="273"/>
      <c r="G252" s="273"/>
      <c r="H252" s="273"/>
      <c r="I252" s="273"/>
      <c r="J252" s="273"/>
      <c r="K252" s="273"/>
      <c r="L252" s="273"/>
      <c r="M252" s="273"/>
      <c r="N252" s="273"/>
      <c r="O252" s="336"/>
    </row>
    <row r="253" spans="1:15" ht="15.75" customHeight="1" x14ac:dyDescent="0.2">
      <c r="A253" s="220"/>
      <c r="B253" s="220"/>
      <c r="C253" s="273"/>
      <c r="D253" s="273"/>
      <c r="E253" s="273"/>
      <c r="F253" s="273"/>
      <c r="G253" s="273"/>
      <c r="H253" s="273"/>
      <c r="I253" s="273"/>
      <c r="J253" s="273"/>
      <c r="K253" s="273"/>
      <c r="L253" s="273"/>
      <c r="M253" s="273"/>
      <c r="N253" s="273"/>
      <c r="O253" s="336"/>
    </row>
    <row r="254" spans="1:15" ht="15.75" customHeight="1" x14ac:dyDescent="0.2">
      <c r="A254" s="220"/>
      <c r="B254" s="220"/>
      <c r="C254" s="273"/>
      <c r="D254" s="273"/>
      <c r="E254" s="273"/>
      <c r="F254" s="273"/>
      <c r="G254" s="273"/>
      <c r="H254" s="273"/>
      <c r="I254" s="273"/>
      <c r="J254" s="273"/>
      <c r="K254" s="273"/>
      <c r="L254" s="273"/>
      <c r="M254" s="273"/>
      <c r="N254" s="273"/>
      <c r="O254" s="336"/>
    </row>
    <row r="255" spans="1:15" ht="15.75" customHeight="1" x14ac:dyDescent="0.2">
      <c r="A255" s="220"/>
      <c r="B255" s="220"/>
      <c r="C255" s="273"/>
      <c r="D255" s="273"/>
      <c r="E255" s="273"/>
      <c r="F255" s="273"/>
      <c r="G255" s="273"/>
      <c r="H255" s="273"/>
      <c r="I255" s="273"/>
      <c r="J255" s="273"/>
      <c r="K255" s="273"/>
      <c r="L255" s="273"/>
      <c r="M255" s="273"/>
      <c r="N255" s="273"/>
      <c r="O255" s="336"/>
    </row>
    <row r="256" spans="1:15" ht="15.75" customHeight="1" x14ac:dyDescent="0.2">
      <c r="A256" s="220"/>
      <c r="B256" s="220"/>
      <c r="C256" s="273"/>
      <c r="D256" s="273"/>
      <c r="E256" s="273"/>
      <c r="F256" s="273"/>
      <c r="G256" s="273"/>
      <c r="H256" s="273"/>
      <c r="I256" s="273"/>
      <c r="J256" s="273"/>
      <c r="K256" s="273"/>
      <c r="L256" s="273"/>
      <c r="M256" s="273"/>
      <c r="N256" s="273"/>
      <c r="O256" s="336"/>
    </row>
    <row r="257" spans="1:15" ht="15.75" customHeight="1" x14ac:dyDescent="0.2">
      <c r="A257" s="220"/>
      <c r="B257" s="220"/>
      <c r="C257" s="273"/>
      <c r="D257" s="273"/>
      <c r="E257" s="273"/>
      <c r="F257" s="273"/>
      <c r="G257" s="273"/>
      <c r="H257" s="273"/>
      <c r="I257" s="273"/>
      <c r="J257" s="273"/>
      <c r="K257" s="273"/>
      <c r="L257" s="273"/>
      <c r="M257" s="273"/>
      <c r="N257" s="273"/>
      <c r="O257" s="336"/>
    </row>
    <row r="258" spans="1:15" ht="15.75" customHeight="1" x14ac:dyDescent="0.2">
      <c r="A258" s="220"/>
      <c r="B258" s="220"/>
      <c r="C258" s="273"/>
      <c r="D258" s="273"/>
      <c r="E258" s="273"/>
      <c r="F258" s="273"/>
      <c r="G258" s="273"/>
      <c r="H258" s="273"/>
      <c r="I258" s="273"/>
      <c r="J258" s="273"/>
      <c r="K258" s="273"/>
      <c r="L258" s="273"/>
      <c r="M258" s="273"/>
      <c r="N258" s="273"/>
      <c r="O258" s="336"/>
    </row>
    <row r="259" spans="1:15" ht="15.75" customHeight="1" x14ac:dyDescent="0.2">
      <c r="A259" s="220"/>
      <c r="B259" s="220"/>
      <c r="C259" s="273"/>
      <c r="D259" s="273"/>
      <c r="E259" s="273"/>
      <c r="F259" s="273"/>
      <c r="G259" s="273"/>
      <c r="H259" s="273"/>
      <c r="I259" s="273"/>
      <c r="J259" s="273"/>
      <c r="K259" s="273"/>
      <c r="L259" s="273"/>
      <c r="M259" s="273"/>
      <c r="N259" s="273"/>
      <c r="O259" s="336"/>
    </row>
    <row r="260" spans="1:15" ht="15.75" customHeight="1" x14ac:dyDescent="0.2">
      <c r="A260" s="220"/>
      <c r="B260" s="220"/>
      <c r="C260" s="273"/>
      <c r="D260" s="273"/>
      <c r="E260" s="273"/>
      <c r="F260" s="273"/>
      <c r="G260" s="273"/>
      <c r="H260" s="273"/>
      <c r="I260" s="273"/>
      <c r="J260" s="273"/>
      <c r="K260" s="273"/>
      <c r="L260" s="273"/>
      <c r="M260" s="273"/>
      <c r="N260" s="273"/>
      <c r="O260" s="336"/>
    </row>
    <row r="261" spans="1:15" ht="15.75" customHeight="1" x14ac:dyDescent="0.2">
      <c r="A261" s="220"/>
      <c r="B261" s="220"/>
      <c r="C261" s="273"/>
      <c r="D261" s="273"/>
      <c r="E261" s="273"/>
      <c r="F261" s="273"/>
      <c r="G261" s="273"/>
      <c r="H261" s="273"/>
      <c r="I261" s="273"/>
      <c r="J261" s="273"/>
      <c r="K261" s="273"/>
      <c r="L261" s="273"/>
      <c r="M261" s="273"/>
      <c r="N261" s="273"/>
      <c r="O261" s="336"/>
    </row>
    <row r="262" spans="1:15" ht="15.75" customHeight="1" x14ac:dyDescent="0.2">
      <c r="A262" s="220"/>
      <c r="B262" s="220"/>
      <c r="C262" s="273"/>
      <c r="D262" s="273"/>
      <c r="E262" s="273"/>
      <c r="F262" s="273"/>
      <c r="G262" s="273"/>
      <c r="H262" s="273"/>
      <c r="I262" s="273"/>
      <c r="J262" s="273"/>
      <c r="K262" s="273"/>
      <c r="L262" s="273"/>
      <c r="M262" s="273"/>
      <c r="N262" s="273"/>
      <c r="O262" s="336"/>
    </row>
    <row r="263" spans="1:15" ht="15.75" customHeight="1" x14ac:dyDescent="0.2">
      <c r="A263" s="220"/>
      <c r="B263" s="220"/>
      <c r="C263" s="273"/>
      <c r="D263" s="273"/>
      <c r="E263" s="273"/>
      <c r="F263" s="273"/>
      <c r="G263" s="273"/>
      <c r="H263" s="273"/>
      <c r="I263" s="273"/>
      <c r="J263" s="273"/>
      <c r="K263" s="273"/>
      <c r="L263" s="273"/>
      <c r="M263" s="273"/>
      <c r="N263" s="273"/>
      <c r="O263" s="336"/>
    </row>
    <row r="264" spans="1:15" ht="15.75" customHeight="1" x14ac:dyDescent="0.2">
      <c r="A264" s="220"/>
      <c r="B264" s="220"/>
      <c r="C264" s="273"/>
      <c r="D264" s="273"/>
      <c r="E264" s="273"/>
      <c r="F264" s="273"/>
      <c r="G264" s="273"/>
      <c r="H264" s="273"/>
      <c r="I264" s="273"/>
      <c r="J264" s="273"/>
      <c r="K264" s="273"/>
      <c r="L264" s="273"/>
      <c r="M264" s="273"/>
      <c r="N264" s="273"/>
      <c r="O264" s="336"/>
    </row>
    <row r="265" spans="1:15" ht="15.75" customHeight="1" x14ac:dyDescent="0.2">
      <c r="A265" s="220"/>
      <c r="B265" s="220"/>
      <c r="C265" s="273"/>
      <c r="D265" s="273"/>
      <c r="E265" s="273"/>
      <c r="F265" s="273"/>
      <c r="G265" s="273"/>
      <c r="H265" s="273"/>
      <c r="I265" s="273"/>
      <c r="J265" s="273"/>
      <c r="K265" s="273"/>
      <c r="L265" s="273"/>
      <c r="M265" s="273"/>
      <c r="N265" s="273"/>
      <c r="O265" s="336"/>
    </row>
    <row r="266" spans="1:15" ht="15.75" customHeight="1" x14ac:dyDescent="0.2">
      <c r="A266" s="220"/>
      <c r="B266" s="220"/>
      <c r="C266" s="273"/>
      <c r="D266" s="273"/>
      <c r="E266" s="273"/>
      <c r="F266" s="273"/>
      <c r="G266" s="273"/>
      <c r="H266" s="273"/>
      <c r="I266" s="273"/>
      <c r="J266" s="273"/>
      <c r="K266" s="273"/>
      <c r="L266" s="273"/>
      <c r="M266" s="273"/>
      <c r="N266" s="273"/>
      <c r="O266" s="336"/>
    </row>
    <row r="267" spans="1:15" ht="15.75" customHeight="1" x14ac:dyDescent="0.2">
      <c r="A267" s="220"/>
      <c r="B267" s="220"/>
      <c r="C267" s="273"/>
      <c r="D267" s="273"/>
      <c r="E267" s="273"/>
      <c r="F267" s="273"/>
      <c r="G267" s="273"/>
      <c r="H267" s="273"/>
      <c r="I267" s="273"/>
      <c r="J267" s="273"/>
      <c r="K267" s="273"/>
      <c r="L267" s="273"/>
      <c r="M267" s="273"/>
      <c r="N267" s="273"/>
      <c r="O267" s="336"/>
    </row>
    <row r="268" spans="1:15" ht="15.75" customHeight="1" x14ac:dyDescent="0.2">
      <c r="A268" s="220"/>
      <c r="B268" s="220"/>
      <c r="C268" s="273"/>
      <c r="D268" s="273"/>
      <c r="E268" s="273"/>
      <c r="F268" s="273"/>
      <c r="G268" s="273"/>
      <c r="H268" s="273"/>
      <c r="I268" s="273"/>
      <c r="J268" s="273"/>
      <c r="K268" s="273"/>
      <c r="L268" s="273"/>
      <c r="M268" s="273"/>
      <c r="N268" s="273"/>
      <c r="O268" s="336"/>
    </row>
    <row r="269" spans="1:15" ht="15.75" customHeight="1" x14ac:dyDescent="0.2">
      <c r="A269" s="220"/>
      <c r="B269" s="220"/>
      <c r="C269" s="273"/>
      <c r="D269" s="273"/>
      <c r="E269" s="273"/>
      <c r="F269" s="273"/>
      <c r="G269" s="273"/>
      <c r="H269" s="273"/>
      <c r="I269" s="273"/>
      <c r="J269" s="273"/>
      <c r="K269" s="273"/>
      <c r="L269" s="273"/>
      <c r="M269" s="273"/>
      <c r="N269" s="273"/>
      <c r="O269" s="336"/>
    </row>
    <row r="270" spans="1:15" ht="15.75" customHeight="1" x14ac:dyDescent="0.2">
      <c r="A270" s="220"/>
      <c r="B270" s="220"/>
      <c r="C270" s="273"/>
      <c r="D270" s="273"/>
      <c r="E270" s="273"/>
      <c r="F270" s="273"/>
      <c r="G270" s="273"/>
      <c r="H270" s="273"/>
      <c r="I270" s="273"/>
      <c r="J270" s="273"/>
      <c r="K270" s="273"/>
      <c r="L270" s="273"/>
      <c r="M270" s="273"/>
      <c r="N270" s="273"/>
      <c r="O270" s="336"/>
    </row>
    <row r="271" spans="1:15" ht="15.75" customHeight="1" x14ac:dyDescent="0.2"/>
    <row r="272" spans="1:1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ht="15.75" customHeight="1" x14ac:dyDescent="0.2"/>
    <row r="1474" ht="15.75" customHeight="1" x14ac:dyDescent="0.2"/>
    <row r="1475" ht="15.75" customHeight="1" x14ac:dyDescent="0.2"/>
    <row r="1476" ht="15.75" customHeight="1" x14ac:dyDescent="0.2"/>
    <row r="1477" ht="15.75" customHeight="1" x14ac:dyDescent="0.2"/>
    <row r="1478" ht="15.75" customHeight="1" x14ac:dyDescent="0.2"/>
    <row r="1479" ht="15.75" customHeight="1" x14ac:dyDescent="0.2"/>
    <row r="1480" ht="15.75" customHeight="1" x14ac:dyDescent="0.2"/>
    <row r="1481" ht="15.75" customHeight="1" x14ac:dyDescent="0.2"/>
    <row r="1482" ht="15.75" customHeight="1" x14ac:dyDescent="0.2"/>
    <row r="1483" ht="15.75" customHeight="1" x14ac:dyDescent="0.2"/>
    <row r="1484" ht="15.75" customHeight="1" x14ac:dyDescent="0.2"/>
    <row r="1485" ht="15.75" customHeight="1" x14ac:dyDescent="0.2"/>
    <row r="1486" ht="15.75" customHeight="1" x14ac:dyDescent="0.2"/>
    <row r="1487" ht="15.75" customHeight="1" x14ac:dyDescent="0.2"/>
    <row r="1488" ht="15.75" customHeight="1" x14ac:dyDescent="0.2"/>
    <row r="1489" ht="15.75" customHeight="1" x14ac:dyDescent="0.2"/>
    <row r="1490" ht="15.75" customHeight="1" x14ac:dyDescent="0.2"/>
    <row r="1491" ht="15.75" customHeight="1" x14ac:dyDescent="0.2"/>
    <row r="1492" ht="15.75" customHeight="1" x14ac:dyDescent="0.2"/>
    <row r="1493" ht="15.75" customHeight="1" x14ac:dyDescent="0.2"/>
    <row r="1494" ht="15.75" customHeight="1" x14ac:dyDescent="0.2"/>
    <row r="1495" ht="15.75" customHeight="1" x14ac:dyDescent="0.2"/>
    <row r="1496" ht="15.75" customHeight="1" x14ac:dyDescent="0.2"/>
    <row r="1497" ht="15.75" customHeight="1" x14ac:dyDescent="0.2"/>
    <row r="1498" ht="15.75" customHeight="1" x14ac:dyDescent="0.2"/>
    <row r="1499" ht="15.75" customHeight="1" x14ac:dyDescent="0.2"/>
    <row r="1500" ht="15.75" customHeight="1" x14ac:dyDescent="0.2"/>
    <row r="1501" ht="15.75" customHeight="1" x14ac:dyDescent="0.2"/>
    <row r="1502" ht="15.75" customHeight="1" x14ac:dyDescent="0.2"/>
    <row r="1503" ht="15.75" customHeight="1" x14ac:dyDescent="0.2"/>
    <row r="1504" ht="15.75" customHeight="1" x14ac:dyDescent="0.2"/>
    <row r="1505" ht="15.75" customHeight="1" x14ac:dyDescent="0.2"/>
    <row r="1506" ht="15.75" customHeight="1" x14ac:dyDescent="0.2"/>
    <row r="1507" ht="15.75" customHeight="1" x14ac:dyDescent="0.2"/>
    <row r="1508" ht="15.75" customHeight="1" x14ac:dyDescent="0.2"/>
    <row r="1509" ht="15.75" customHeight="1" x14ac:dyDescent="0.2"/>
    <row r="1510" ht="15.75" customHeight="1" x14ac:dyDescent="0.2"/>
    <row r="1511" ht="15.75" customHeight="1" x14ac:dyDescent="0.2"/>
    <row r="1512" ht="15.75" customHeight="1" x14ac:dyDescent="0.2"/>
    <row r="1513" ht="15.75" customHeight="1" x14ac:dyDescent="0.2"/>
    <row r="1514" ht="15.75" customHeight="1" x14ac:dyDescent="0.2"/>
    <row r="1515" ht="15.75" customHeight="1" x14ac:dyDescent="0.2"/>
    <row r="1516" ht="15.75" customHeight="1" x14ac:dyDescent="0.2"/>
    <row r="1517" ht="15.75" customHeight="1" x14ac:dyDescent="0.2"/>
    <row r="1518" ht="15.75" customHeight="1" x14ac:dyDescent="0.2"/>
    <row r="1519" ht="15.75" customHeight="1" x14ac:dyDescent="0.2"/>
    <row r="1520" ht="15.75" customHeight="1" x14ac:dyDescent="0.2"/>
    <row r="1521" ht="15.75" customHeight="1" x14ac:dyDescent="0.2"/>
    <row r="1522" ht="15.75" customHeight="1" x14ac:dyDescent="0.2"/>
    <row r="1523" ht="15.75" customHeight="1" x14ac:dyDescent="0.2"/>
    <row r="1524" ht="15.75" customHeight="1" x14ac:dyDescent="0.2"/>
    <row r="1525" ht="15.75" customHeight="1" x14ac:dyDescent="0.2"/>
    <row r="1526" ht="15.75" customHeight="1" x14ac:dyDescent="0.2"/>
    <row r="1527" ht="15.75" customHeight="1" x14ac:dyDescent="0.2"/>
    <row r="1528" ht="15.75" customHeight="1" x14ac:dyDescent="0.2"/>
    <row r="1529" ht="15.75" customHeight="1" x14ac:dyDescent="0.2"/>
    <row r="1530" ht="15.75" customHeight="1" x14ac:dyDescent="0.2"/>
    <row r="1531" ht="15.75" customHeight="1" x14ac:dyDescent="0.2"/>
    <row r="1532" ht="15.75" customHeight="1" x14ac:dyDescent="0.2"/>
    <row r="1533" ht="15.75" customHeight="1" x14ac:dyDescent="0.2"/>
    <row r="1534" ht="15.75" customHeight="1" x14ac:dyDescent="0.2"/>
    <row r="1535" ht="15.75" customHeight="1" x14ac:dyDescent="0.2"/>
    <row r="1536" ht="15.75" customHeight="1" x14ac:dyDescent="0.2"/>
    <row r="1537" ht="15.75" customHeight="1" x14ac:dyDescent="0.2"/>
    <row r="1538" ht="15.75" customHeight="1" x14ac:dyDescent="0.2"/>
    <row r="1539" ht="15.75" customHeight="1" x14ac:dyDescent="0.2"/>
    <row r="1540" ht="15.75" customHeight="1" x14ac:dyDescent="0.2"/>
    <row r="1541" ht="15.75" customHeight="1" x14ac:dyDescent="0.2"/>
    <row r="1542" ht="15.75" customHeight="1" x14ac:dyDescent="0.2"/>
    <row r="1543" ht="15.75" customHeight="1" x14ac:dyDescent="0.2"/>
    <row r="1544" ht="15.75" customHeight="1" x14ac:dyDescent="0.2"/>
    <row r="1545" ht="15.75" customHeight="1" x14ac:dyDescent="0.2"/>
    <row r="1546" ht="15.75" customHeight="1" x14ac:dyDescent="0.2"/>
    <row r="1547" ht="15.75" customHeight="1" x14ac:dyDescent="0.2"/>
    <row r="1548" ht="15.75" customHeight="1" x14ac:dyDescent="0.2"/>
    <row r="1549" ht="15.75" customHeight="1" x14ac:dyDescent="0.2"/>
    <row r="1550" ht="15.75" customHeight="1" x14ac:dyDescent="0.2"/>
    <row r="1551" ht="15.75" customHeight="1" x14ac:dyDescent="0.2"/>
    <row r="1552" ht="15.75" customHeight="1" x14ac:dyDescent="0.2"/>
    <row r="1553" ht="15.75" customHeight="1" x14ac:dyDescent="0.2"/>
    <row r="1554" ht="15.75" customHeight="1" x14ac:dyDescent="0.2"/>
    <row r="1555" ht="15.75" customHeight="1" x14ac:dyDescent="0.2"/>
    <row r="1556" ht="15.75" customHeight="1" x14ac:dyDescent="0.2"/>
    <row r="1557" ht="15.75" customHeight="1" x14ac:dyDescent="0.2"/>
    <row r="1558" ht="15.75" customHeight="1" x14ac:dyDescent="0.2"/>
    <row r="1559" ht="15.75" customHeight="1" x14ac:dyDescent="0.2"/>
    <row r="1560" ht="15.75" customHeight="1" x14ac:dyDescent="0.2"/>
    <row r="1561" ht="15.75" customHeight="1" x14ac:dyDescent="0.2"/>
    <row r="1562" ht="15.75" customHeight="1" x14ac:dyDescent="0.2"/>
    <row r="1563" ht="15.75" customHeight="1" x14ac:dyDescent="0.2"/>
    <row r="1564" ht="15.75" customHeight="1" x14ac:dyDescent="0.2"/>
    <row r="1565" ht="15.75" customHeight="1" x14ac:dyDescent="0.2"/>
    <row r="1566" ht="15.75" customHeight="1" x14ac:dyDescent="0.2"/>
    <row r="1567" ht="15.75" customHeight="1" x14ac:dyDescent="0.2"/>
    <row r="1568" ht="15.75" customHeight="1" x14ac:dyDescent="0.2"/>
    <row r="1569" ht="15.75" customHeight="1" x14ac:dyDescent="0.2"/>
    <row r="1570" ht="15.75" customHeight="1" x14ac:dyDescent="0.2"/>
    <row r="1571" ht="15.75" customHeight="1" x14ac:dyDescent="0.2"/>
    <row r="1572" ht="15.75" customHeight="1" x14ac:dyDescent="0.2"/>
    <row r="1573" ht="15.75" customHeight="1" x14ac:dyDescent="0.2"/>
    <row r="1574" ht="15.75" customHeight="1" x14ac:dyDescent="0.2"/>
    <row r="1575" ht="15.75" customHeight="1" x14ac:dyDescent="0.2"/>
    <row r="1576" ht="15.75" customHeight="1" x14ac:dyDescent="0.2"/>
    <row r="1577" ht="15.75" customHeight="1" x14ac:dyDescent="0.2"/>
    <row r="1578" ht="15.75" customHeight="1" x14ac:dyDescent="0.2"/>
    <row r="1579" ht="15.75" customHeight="1" x14ac:dyDescent="0.2"/>
    <row r="1580" ht="15.75" customHeight="1" x14ac:dyDescent="0.2"/>
    <row r="1581" ht="15.75" customHeight="1" x14ac:dyDescent="0.2"/>
    <row r="1582" ht="15.75" customHeight="1" x14ac:dyDescent="0.2"/>
    <row r="1583" ht="15.75" customHeight="1" x14ac:dyDescent="0.2"/>
    <row r="1584" ht="15.75" customHeight="1" x14ac:dyDescent="0.2"/>
    <row r="1585" ht="15.75" customHeight="1" x14ac:dyDescent="0.2"/>
    <row r="1586" ht="15.75" customHeight="1" x14ac:dyDescent="0.2"/>
    <row r="1587" ht="15.75" customHeight="1" x14ac:dyDescent="0.2"/>
    <row r="1588" ht="15.75" customHeight="1" x14ac:dyDescent="0.2"/>
    <row r="1589" ht="15.75" customHeight="1" x14ac:dyDescent="0.2"/>
    <row r="1590" ht="15.75" customHeight="1" x14ac:dyDescent="0.2"/>
    <row r="1591" ht="15.75" customHeight="1" x14ac:dyDescent="0.2"/>
    <row r="1592" ht="15.75" customHeight="1" x14ac:dyDescent="0.2"/>
    <row r="1593" ht="15.75" customHeight="1" x14ac:dyDescent="0.2"/>
    <row r="1594" ht="15.75" customHeight="1" x14ac:dyDescent="0.2"/>
    <row r="1595" ht="15.75" customHeight="1" x14ac:dyDescent="0.2"/>
    <row r="1596" ht="15.75" customHeight="1" x14ac:dyDescent="0.2"/>
    <row r="1597" ht="15.75" customHeight="1" x14ac:dyDescent="0.2"/>
    <row r="1598" ht="15.75" customHeight="1" x14ac:dyDescent="0.2"/>
    <row r="1599" ht="15.75" customHeight="1" x14ac:dyDescent="0.2"/>
    <row r="1600" ht="15.75" customHeight="1" x14ac:dyDescent="0.2"/>
    <row r="1601" ht="15.75" customHeight="1" x14ac:dyDescent="0.2"/>
    <row r="1602" ht="15.75" customHeight="1" x14ac:dyDescent="0.2"/>
    <row r="1603" ht="15.75" customHeight="1" x14ac:dyDescent="0.2"/>
    <row r="1604" ht="15.75" customHeight="1" x14ac:dyDescent="0.2"/>
    <row r="1605" ht="15.75" customHeight="1" x14ac:dyDescent="0.2"/>
    <row r="1606" ht="15.75" customHeight="1" x14ac:dyDescent="0.2"/>
    <row r="1607" ht="15.75" customHeight="1" x14ac:dyDescent="0.2"/>
    <row r="1608" ht="15.75" customHeight="1" x14ac:dyDescent="0.2"/>
    <row r="1609" ht="15.75" customHeight="1" x14ac:dyDescent="0.2"/>
    <row r="1610" ht="15.75" customHeight="1" x14ac:dyDescent="0.2"/>
    <row r="1611" ht="15.75" customHeight="1" x14ac:dyDescent="0.2"/>
    <row r="1612" ht="15.75" customHeight="1" x14ac:dyDescent="0.2"/>
    <row r="1613" ht="15.75" customHeight="1" x14ac:dyDescent="0.2"/>
    <row r="1614" ht="15.75" customHeight="1" x14ac:dyDescent="0.2"/>
    <row r="1615" ht="15.75" customHeight="1" x14ac:dyDescent="0.2"/>
    <row r="1616" ht="15.75" customHeight="1" x14ac:dyDescent="0.2"/>
    <row r="1617" ht="15.75" customHeight="1" x14ac:dyDescent="0.2"/>
    <row r="1618" ht="15.75" customHeight="1" x14ac:dyDescent="0.2"/>
    <row r="1619" ht="15.75" customHeight="1" x14ac:dyDescent="0.2"/>
    <row r="1620" ht="15.75" customHeight="1" x14ac:dyDescent="0.2"/>
    <row r="1621" ht="15.75" customHeight="1" x14ac:dyDescent="0.2"/>
    <row r="1622" ht="15.75" customHeight="1" x14ac:dyDescent="0.2"/>
    <row r="1623" ht="15.75" customHeight="1" x14ac:dyDescent="0.2"/>
    <row r="1624" ht="15.75" customHeight="1" x14ac:dyDescent="0.2"/>
    <row r="1625" ht="15.75" customHeight="1" x14ac:dyDescent="0.2"/>
    <row r="1626" ht="15.75" customHeight="1" x14ac:dyDescent="0.2"/>
    <row r="1627" ht="15.75" customHeight="1" x14ac:dyDescent="0.2"/>
    <row r="1628" ht="15.75" customHeight="1" x14ac:dyDescent="0.2"/>
    <row r="1629" ht="15.75" customHeight="1" x14ac:dyDescent="0.2"/>
    <row r="1630" ht="15.75" customHeight="1" x14ac:dyDescent="0.2"/>
    <row r="1631" ht="15.75" customHeight="1" x14ac:dyDescent="0.2"/>
    <row r="1632" ht="15.75" customHeight="1" x14ac:dyDescent="0.2"/>
    <row r="1633" ht="15.75" customHeight="1" x14ac:dyDescent="0.2"/>
    <row r="1634" ht="15.75" customHeight="1" x14ac:dyDescent="0.2"/>
    <row r="1635" ht="15.75" customHeight="1" x14ac:dyDescent="0.2"/>
    <row r="1636" ht="15.75" customHeight="1" x14ac:dyDescent="0.2"/>
    <row r="1637" ht="15.75" customHeight="1" x14ac:dyDescent="0.2"/>
    <row r="1638" ht="15.75" customHeight="1" x14ac:dyDescent="0.2"/>
    <row r="1639" ht="15.75" customHeight="1" x14ac:dyDescent="0.2"/>
    <row r="1640" ht="15.75" customHeight="1" x14ac:dyDescent="0.2"/>
    <row r="1641" ht="15.75" customHeight="1" x14ac:dyDescent="0.2"/>
    <row r="1642" ht="15.75" customHeight="1" x14ac:dyDescent="0.2"/>
    <row r="1643" ht="15.75" customHeight="1" x14ac:dyDescent="0.2"/>
    <row r="1644" ht="15.75" customHeight="1" x14ac:dyDescent="0.2"/>
    <row r="1645" ht="15.75" customHeight="1" x14ac:dyDescent="0.2"/>
    <row r="1646" ht="15.75" customHeight="1" x14ac:dyDescent="0.2"/>
    <row r="1647" ht="15.75" customHeight="1" x14ac:dyDescent="0.2"/>
    <row r="1648" ht="15.75" customHeight="1" x14ac:dyDescent="0.2"/>
    <row r="1649" ht="15.75" customHeight="1" x14ac:dyDescent="0.2"/>
    <row r="1650" ht="15.75" customHeight="1" x14ac:dyDescent="0.2"/>
    <row r="1651" ht="15.75" customHeight="1" x14ac:dyDescent="0.2"/>
    <row r="1652" ht="15.75" customHeight="1" x14ac:dyDescent="0.2"/>
    <row r="1653" ht="15.75" customHeight="1" x14ac:dyDescent="0.2"/>
    <row r="1654" ht="15.75" customHeight="1" x14ac:dyDescent="0.2"/>
    <row r="1655" ht="15.75" customHeight="1" x14ac:dyDescent="0.2"/>
    <row r="1656" ht="15.75" customHeight="1" x14ac:dyDescent="0.2"/>
    <row r="1657" ht="15.75" customHeight="1" x14ac:dyDescent="0.2"/>
    <row r="1658" ht="15.75" customHeight="1" x14ac:dyDescent="0.2"/>
    <row r="1659" ht="15.75" customHeight="1" x14ac:dyDescent="0.2"/>
    <row r="1660" ht="15.75" customHeight="1" x14ac:dyDescent="0.2"/>
    <row r="1661" ht="15.75" customHeight="1" x14ac:dyDescent="0.2"/>
    <row r="1662" ht="15.75" customHeight="1" x14ac:dyDescent="0.2"/>
    <row r="1663" ht="15.75" customHeight="1" x14ac:dyDescent="0.2"/>
    <row r="1664" ht="15.75" customHeight="1" x14ac:dyDescent="0.2"/>
    <row r="1665" ht="15.75" customHeight="1" x14ac:dyDescent="0.2"/>
    <row r="1666" ht="15.75" customHeight="1" x14ac:dyDescent="0.2"/>
    <row r="1667" ht="15.75" customHeight="1" x14ac:dyDescent="0.2"/>
    <row r="1668" ht="15.75" customHeight="1" x14ac:dyDescent="0.2"/>
    <row r="1669" ht="15.75" customHeight="1" x14ac:dyDescent="0.2"/>
    <row r="1670" ht="15.75" customHeight="1" x14ac:dyDescent="0.2"/>
    <row r="1671" ht="15.75" customHeight="1" x14ac:dyDescent="0.2"/>
    <row r="1672" ht="15.75" customHeight="1" x14ac:dyDescent="0.2"/>
    <row r="1673" ht="15.75" customHeight="1" x14ac:dyDescent="0.2"/>
    <row r="1674" ht="15.75" customHeight="1" x14ac:dyDescent="0.2"/>
    <row r="1675" ht="15.75" customHeight="1" x14ac:dyDescent="0.2"/>
    <row r="1676" ht="15.75" customHeight="1" x14ac:dyDescent="0.2"/>
    <row r="1677" ht="15.75" customHeight="1" x14ac:dyDescent="0.2"/>
    <row r="1678" ht="15.75" customHeight="1" x14ac:dyDescent="0.2"/>
    <row r="1679" ht="15.75" customHeight="1" x14ac:dyDescent="0.2"/>
    <row r="1680" ht="15.75" customHeight="1" x14ac:dyDescent="0.2"/>
    <row r="1681" ht="15.75" customHeight="1" x14ac:dyDescent="0.2"/>
    <row r="1682" ht="15.75" customHeight="1" x14ac:dyDescent="0.2"/>
    <row r="1683" ht="15.75" customHeight="1" x14ac:dyDescent="0.2"/>
    <row r="1684" ht="15.75" customHeight="1" x14ac:dyDescent="0.2"/>
    <row r="1685" ht="15.75" customHeight="1" x14ac:dyDescent="0.2"/>
    <row r="1686" ht="15.75" customHeight="1" x14ac:dyDescent="0.2"/>
    <row r="1687" ht="15.75" customHeight="1" x14ac:dyDescent="0.2"/>
    <row r="1688" ht="15.75" customHeight="1" x14ac:dyDescent="0.2"/>
    <row r="1689" ht="15.75" customHeight="1" x14ac:dyDescent="0.2"/>
    <row r="1690" ht="15.75" customHeight="1" x14ac:dyDescent="0.2"/>
    <row r="1691" ht="15.75" customHeight="1" x14ac:dyDescent="0.2"/>
    <row r="1692" ht="15.75" customHeight="1" x14ac:dyDescent="0.2"/>
    <row r="1693" ht="15.75" customHeight="1" x14ac:dyDescent="0.2"/>
    <row r="1694" ht="15.75" customHeight="1" x14ac:dyDescent="0.2"/>
    <row r="1695" ht="15.75" customHeight="1" x14ac:dyDescent="0.2"/>
    <row r="1696" ht="15.75" customHeight="1" x14ac:dyDescent="0.2"/>
    <row r="1697" ht="15.75" customHeight="1" x14ac:dyDescent="0.2"/>
    <row r="1698" ht="15.75" customHeight="1" x14ac:dyDescent="0.2"/>
    <row r="1699" ht="15.75" customHeight="1" x14ac:dyDescent="0.2"/>
    <row r="1700" ht="15.75" customHeight="1" x14ac:dyDescent="0.2"/>
    <row r="1701" ht="15.75" customHeight="1" x14ac:dyDescent="0.2"/>
    <row r="1702" ht="15.75" customHeight="1" x14ac:dyDescent="0.2"/>
    <row r="1703" ht="15.75" customHeight="1" x14ac:dyDescent="0.2"/>
    <row r="1704" ht="15.75" customHeight="1" x14ac:dyDescent="0.2"/>
    <row r="1705" ht="15.75" customHeight="1" x14ac:dyDescent="0.2"/>
    <row r="1706" ht="15.75" customHeight="1" x14ac:dyDescent="0.2"/>
    <row r="1707" ht="15.75" customHeight="1" x14ac:dyDescent="0.2"/>
    <row r="1708" ht="15.75" customHeight="1" x14ac:dyDescent="0.2"/>
    <row r="1709" ht="15.75" customHeight="1" x14ac:dyDescent="0.2"/>
    <row r="1710" ht="15.75" customHeight="1" x14ac:dyDescent="0.2"/>
    <row r="1711" ht="15.75" customHeight="1" x14ac:dyDescent="0.2"/>
    <row r="1712" ht="15.75" customHeight="1" x14ac:dyDescent="0.2"/>
    <row r="1713" ht="15.75" customHeight="1" x14ac:dyDescent="0.2"/>
    <row r="1714" ht="15.75" customHeight="1" x14ac:dyDescent="0.2"/>
    <row r="1715" ht="15.75" customHeight="1" x14ac:dyDescent="0.2"/>
    <row r="1716" ht="15.75" customHeight="1" x14ac:dyDescent="0.2"/>
    <row r="1717" ht="15.75" customHeight="1" x14ac:dyDescent="0.2"/>
    <row r="1718" ht="15.75" customHeight="1" x14ac:dyDescent="0.2"/>
    <row r="1719" ht="15.75" customHeight="1" x14ac:dyDescent="0.2"/>
    <row r="1720" ht="15.75" customHeight="1" x14ac:dyDescent="0.2"/>
    <row r="1721" ht="15.75" customHeight="1" x14ac:dyDescent="0.2"/>
    <row r="1722" ht="15.75" customHeight="1" x14ac:dyDescent="0.2"/>
    <row r="1723" ht="15.75" customHeight="1" x14ac:dyDescent="0.2"/>
    <row r="1724" ht="15.75" customHeight="1" x14ac:dyDescent="0.2"/>
    <row r="1725" ht="15.75" customHeight="1" x14ac:dyDescent="0.2"/>
    <row r="1726" ht="15.75" customHeight="1" x14ac:dyDescent="0.2"/>
    <row r="1727" ht="15.75" customHeight="1" x14ac:dyDescent="0.2"/>
    <row r="1728" ht="15.75" customHeight="1" x14ac:dyDescent="0.2"/>
    <row r="1729" ht="15.75" customHeight="1" x14ac:dyDescent="0.2"/>
  </sheetData>
  <mergeCells count="2">
    <mergeCell ref="A2:C2"/>
    <mergeCell ref="A6:B7"/>
  </mergeCells>
  <printOptions horizontalCentered="1"/>
  <pageMargins left="0" right="0" top="0.74803149606299213" bottom="0" header="0" footer="0"/>
  <pageSetup paperSize="9" scale="34" orientation="portrait" r:id="rId1"/>
  <rowBreaks count="1" manualBreakCount="1">
    <brk id="82"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0CFF-4B27-564A-8AB2-6FBBE391F5B3}">
  <dimension ref="A1:Q1214"/>
  <sheetViews>
    <sheetView zoomScaleNormal="100" workbookViewId="0">
      <pane xSplit="2" ySplit="9" topLeftCell="C10" activePane="bottomRight" state="frozen"/>
      <selection pane="topRight" activeCell="C1" sqref="C1"/>
      <selection pane="bottomLeft" activeCell="A9" sqref="A9"/>
      <selection pane="bottomRight" activeCell="U425" sqref="U425"/>
    </sheetView>
  </sheetViews>
  <sheetFormatPr defaultColWidth="12.42578125" defaultRowHeight="15" customHeight="1" x14ac:dyDescent="0.25"/>
  <cols>
    <col min="1" max="1" width="3.42578125" style="209" customWidth="1"/>
    <col min="2" max="2" width="45.28515625" style="209" customWidth="1"/>
    <col min="3" max="14" width="17.28515625" style="210" customWidth="1"/>
    <col min="15" max="15" width="17.7109375" style="210" customWidth="1"/>
    <col min="16" max="16" width="13.7109375" style="209" bestFit="1" customWidth="1"/>
    <col min="17" max="17" width="18.42578125" style="209" bestFit="1" customWidth="1"/>
    <col min="18" max="16384" width="12.42578125" style="209"/>
  </cols>
  <sheetData>
    <row r="1" spans="1:15" ht="15.75" customHeight="1" x14ac:dyDescent="0.25">
      <c r="A1" s="188" t="s">
        <v>1046</v>
      </c>
      <c r="B1" s="190"/>
      <c r="C1" s="197"/>
      <c r="D1" s="197"/>
      <c r="E1" s="197"/>
      <c r="F1" s="197"/>
      <c r="G1" s="197"/>
      <c r="H1" s="197"/>
      <c r="I1" s="197"/>
      <c r="J1" s="197"/>
      <c r="K1" s="197"/>
      <c r="L1" s="207" t="s">
        <v>1047</v>
      </c>
      <c r="M1" s="208"/>
      <c r="N1" s="208"/>
      <c r="O1" s="208"/>
    </row>
    <row r="2" spans="1:15" ht="16.5" customHeight="1" x14ac:dyDescent="0.25">
      <c r="A2" s="188" t="s">
        <v>1</v>
      </c>
      <c r="B2" s="190"/>
      <c r="C2" s="197"/>
      <c r="D2" s="197"/>
      <c r="E2" s="197"/>
      <c r="F2" s="197"/>
      <c r="G2" s="197"/>
      <c r="H2" s="197"/>
      <c r="I2" s="197"/>
      <c r="J2" s="197"/>
      <c r="L2" s="208"/>
      <c r="M2" s="208"/>
      <c r="N2" s="208"/>
      <c r="O2" s="208"/>
    </row>
    <row r="3" spans="1:15" ht="16.5" customHeight="1" x14ac:dyDescent="0.25">
      <c r="A3" s="188" t="s">
        <v>1048</v>
      </c>
      <c r="C3" s="209"/>
      <c r="D3" s="199"/>
      <c r="E3" s="199"/>
      <c r="F3" s="199"/>
      <c r="G3" s="199"/>
      <c r="H3" s="199"/>
      <c r="I3" s="199"/>
      <c r="J3" s="199"/>
      <c r="K3" s="199"/>
      <c r="L3" s="208"/>
      <c r="M3" s="208"/>
      <c r="N3" s="208"/>
      <c r="O3" s="208"/>
    </row>
    <row r="4" spans="1:15" x14ac:dyDescent="0.25">
      <c r="A4" s="188" t="s">
        <v>827</v>
      </c>
      <c r="B4" s="192"/>
      <c r="C4" s="200" t="s">
        <v>6</v>
      </c>
      <c r="D4" s="200"/>
      <c r="E4" s="200"/>
      <c r="F4" s="200"/>
      <c r="G4" s="200"/>
      <c r="H4" s="200"/>
      <c r="I4" s="200"/>
      <c r="J4" s="200"/>
      <c r="K4" s="200"/>
      <c r="L4" s="208"/>
      <c r="M4" s="208"/>
      <c r="N4" s="208"/>
      <c r="O4" s="208"/>
    </row>
    <row r="5" spans="1:15" x14ac:dyDescent="0.25">
      <c r="A5" s="189" t="s">
        <v>3</v>
      </c>
      <c r="B5" s="192"/>
      <c r="C5" s="200"/>
      <c r="D5" s="200"/>
      <c r="E5" s="200"/>
      <c r="F5" s="200"/>
      <c r="G5" s="200"/>
      <c r="H5" s="200"/>
      <c r="I5" s="200"/>
      <c r="J5" s="200"/>
      <c r="K5" s="200"/>
      <c r="L5" s="208"/>
      <c r="M5" s="208"/>
      <c r="N5" s="208"/>
      <c r="O5" s="208"/>
    </row>
    <row r="6" spans="1:15" x14ac:dyDescent="0.25">
      <c r="A6" s="193"/>
      <c r="B6" s="192"/>
      <c r="C6" s="200"/>
      <c r="D6" s="200"/>
      <c r="E6" s="200"/>
      <c r="F6" s="200"/>
      <c r="G6" s="200"/>
      <c r="H6" s="200"/>
      <c r="I6" s="200"/>
      <c r="J6" s="200"/>
      <c r="K6" s="200"/>
      <c r="L6" s="200"/>
      <c r="M6" s="200"/>
      <c r="N6" s="200"/>
      <c r="O6" s="200"/>
    </row>
    <row r="7" spans="1:15" s="267" customFormat="1" ht="18.75" customHeight="1" x14ac:dyDescent="0.2">
      <c r="A7" s="288" t="s">
        <v>5</v>
      </c>
      <c r="B7" s="289"/>
      <c r="C7" s="266" t="s">
        <v>6</v>
      </c>
      <c r="D7" s="266" t="s">
        <v>6</v>
      </c>
      <c r="E7" s="266" t="s">
        <v>6</v>
      </c>
      <c r="F7" s="266"/>
      <c r="G7" s="266"/>
      <c r="H7" s="266"/>
      <c r="I7" s="266"/>
      <c r="J7" s="266"/>
      <c r="K7" s="266"/>
      <c r="L7" s="266"/>
      <c r="M7" s="266"/>
      <c r="N7" s="266"/>
      <c r="O7" s="266" t="s">
        <v>6</v>
      </c>
    </row>
    <row r="8" spans="1:15" s="267" customFormat="1" ht="18.75" customHeight="1" thickBot="1" x14ac:dyDescent="0.25">
      <c r="A8" s="290"/>
      <c r="B8" s="291"/>
      <c r="C8" s="268" t="s">
        <v>7</v>
      </c>
      <c r="D8" s="268" t="s">
        <v>8</v>
      </c>
      <c r="E8" s="268" t="s">
        <v>9</v>
      </c>
      <c r="F8" s="268" t="s">
        <v>10</v>
      </c>
      <c r="G8" s="268" t="s">
        <v>11</v>
      </c>
      <c r="H8" s="268" t="s">
        <v>12</v>
      </c>
      <c r="I8" s="268" t="s">
        <v>13</v>
      </c>
      <c r="J8" s="268" t="s">
        <v>14</v>
      </c>
      <c r="K8" s="268" t="s">
        <v>237</v>
      </c>
      <c r="L8" s="268" t="s">
        <v>16</v>
      </c>
      <c r="M8" s="268" t="s">
        <v>17</v>
      </c>
      <c r="N8" s="268" t="s">
        <v>18</v>
      </c>
      <c r="O8" s="268" t="s">
        <v>238</v>
      </c>
    </row>
    <row r="9" spans="1:15" s="220" customFormat="1" ht="12.75" customHeight="1" thickTop="1" x14ac:dyDescent="0.25">
      <c r="A9" s="253"/>
      <c r="B9" s="253"/>
      <c r="C9" s="254"/>
      <c r="D9" s="254"/>
      <c r="E9" s="254"/>
      <c r="F9" s="254"/>
      <c r="G9" s="254"/>
      <c r="H9" s="254"/>
      <c r="I9" s="254"/>
      <c r="J9" s="254"/>
      <c r="K9" s="254"/>
      <c r="L9" s="254"/>
      <c r="M9" s="254"/>
      <c r="N9" s="254"/>
      <c r="O9" s="254"/>
    </row>
    <row r="10" spans="1:15" s="220" customFormat="1" hidden="1" x14ac:dyDescent="0.25">
      <c r="A10" s="216" t="s">
        <v>20</v>
      </c>
      <c r="B10" s="226"/>
      <c r="C10" s="227">
        <f t="shared" ref="C10:O10" si="0">C11</f>
        <v>0</v>
      </c>
      <c r="D10" s="227">
        <f t="shared" si="0"/>
        <v>0</v>
      </c>
      <c r="E10" s="227">
        <f t="shared" si="0"/>
        <v>0</v>
      </c>
      <c r="F10" s="227">
        <f t="shared" si="0"/>
        <v>0</v>
      </c>
      <c r="G10" s="227">
        <f t="shared" si="0"/>
        <v>0</v>
      </c>
      <c r="H10" s="227">
        <f t="shared" si="0"/>
        <v>0</v>
      </c>
      <c r="I10" s="227">
        <f t="shared" si="0"/>
        <v>0</v>
      </c>
      <c r="J10" s="227">
        <f t="shared" si="0"/>
        <v>0</v>
      </c>
      <c r="K10" s="227">
        <f t="shared" si="0"/>
        <v>0</v>
      </c>
      <c r="L10" s="227">
        <f t="shared" si="0"/>
        <v>0</v>
      </c>
      <c r="M10" s="227">
        <f t="shared" si="0"/>
        <v>0</v>
      </c>
      <c r="N10" s="227">
        <f t="shared" si="0"/>
        <v>0</v>
      </c>
      <c r="O10" s="227">
        <f t="shared" si="0"/>
        <v>0</v>
      </c>
    </row>
    <row r="11" spans="1:15" s="220" customFormat="1" hidden="1" x14ac:dyDescent="0.25">
      <c r="A11" s="228">
        <v>1</v>
      </c>
      <c r="B11" s="220" t="s">
        <v>21</v>
      </c>
      <c r="C11" s="229"/>
      <c r="D11" s="229"/>
      <c r="E11" s="229"/>
      <c r="F11" s="229"/>
      <c r="G11" s="229"/>
      <c r="H11" s="229"/>
      <c r="I11" s="229"/>
      <c r="J11" s="229"/>
      <c r="K11" s="229"/>
      <c r="L11" s="229"/>
      <c r="M11" s="229"/>
      <c r="N11" s="229"/>
      <c r="O11" s="203">
        <f>SUM(C11:N11)</f>
        <v>0</v>
      </c>
    </row>
    <row r="12" spans="1:15" s="220" customFormat="1" ht="15.75" hidden="1" customHeight="1" x14ac:dyDescent="0.2">
      <c r="A12" s="228"/>
      <c r="C12" s="203"/>
      <c r="D12" s="203"/>
      <c r="E12" s="203"/>
      <c r="F12" s="203"/>
      <c r="G12" s="203"/>
      <c r="H12" s="203"/>
      <c r="I12" s="203"/>
      <c r="J12" s="203"/>
      <c r="K12" s="203"/>
      <c r="L12" s="203"/>
      <c r="M12" s="203"/>
      <c r="N12" s="203"/>
      <c r="O12" s="203"/>
    </row>
    <row r="13" spans="1:15" s="220" customFormat="1" ht="15.75" hidden="1" customHeight="1" x14ac:dyDescent="0.25">
      <c r="A13" s="216" t="s">
        <v>1103</v>
      </c>
      <c r="B13" s="230"/>
      <c r="C13" s="227">
        <f t="shared" ref="C13:O13" si="1">SUM(C14:C20)</f>
        <v>0</v>
      </c>
      <c r="D13" s="227">
        <f t="shared" si="1"/>
        <v>0</v>
      </c>
      <c r="E13" s="227">
        <f t="shared" si="1"/>
        <v>0</v>
      </c>
      <c r="F13" s="227">
        <f t="shared" si="1"/>
        <v>0</v>
      </c>
      <c r="G13" s="227">
        <f t="shared" si="1"/>
        <v>0</v>
      </c>
      <c r="H13" s="227">
        <f t="shared" si="1"/>
        <v>0</v>
      </c>
      <c r="I13" s="227">
        <f t="shared" si="1"/>
        <v>0</v>
      </c>
      <c r="J13" s="227">
        <f t="shared" si="1"/>
        <v>0</v>
      </c>
      <c r="K13" s="227">
        <f t="shared" si="1"/>
        <v>0</v>
      </c>
      <c r="L13" s="227">
        <f t="shared" si="1"/>
        <v>0</v>
      </c>
      <c r="M13" s="227">
        <f t="shared" si="1"/>
        <v>0</v>
      </c>
      <c r="N13" s="227">
        <f t="shared" si="1"/>
        <v>0</v>
      </c>
      <c r="O13" s="227">
        <f t="shared" si="1"/>
        <v>0</v>
      </c>
    </row>
    <row r="14" spans="1:15" s="220" customFormat="1" ht="15.75" hidden="1" customHeight="1" x14ac:dyDescent="0.2">
      <c r="A14" s="231">
        <v>1</v>
      </c>
      <c r="B14" s="220" t="s">
        <v>47</v>
      </c>
      <c r="C14" s="203"/>
      <c r="D14" s="203"/>
      <c r="E14" s="203"/>
      <c r="F14" s="203"/>
      <c r="G14" s="203"/>
      <c r="H14" s="203"/>
      <c r="I14" s="203"/>
      <c r="J14" s="203"/>
      <c r="K14" s="203"/>
      <c r="L14" s="203"/>
      <c r="M14" s="203"/>
      <c r="N14" s="203"/>
      <c r="O14" s="203">
        <f t="shared" ref="O14:O20" si="2">SUM(C14:N14)</f>
        <v>0</v>
      </c>
    </row>
    <row r="15" spans="1:15" s="220" customFormat="1" ht="15.75" hidden="1" customHeight="1" x14ac:dyDescent="0.2">
      <c r="A15" s="231"/>
      <c r="B15" s="220" t="s">
        <v>48</v>
      </c>
      <c r="C15" s="203"/>
      <c r="D15" s="203"/>
      <c r="E15" s="203"/>
      <c r="F15" s="203"/>
      <c r="G15" s="203"/>
      <c r="H15" s="203"/>
      <c r="I15" s="203"/>
      <c r="J15" s="203"/>
      <c r="K15" s="203"/>
      <c r="L15" s="203"/>
      <c r="M15" s="203"/>
      <c r="N15" s="203"/>
      <c r="O15" s="203">
        <f t="shared" si="2"/>
        <v>0</v>
      </c>
    </row>
    <row r="16" spans="1:15" s="220" customFormat="1" ht="15.75" hidden="1" customHeight="1" x14ac:dyDescent="0.2">
      <c r="A16" s="231"/>
      <c r="B16" s="220" t="s">
        <v>1104</v>
      </c>
      <c r="C16" s="203"/>
      <c r="D16" s="203"/>
      <c r="E16" s="203"/>
      <c r="F16" s="203"/>
      <c r="G16" s="203"/>
      <c r="H16" s="203"/>
      <c r="I16" s="203"/>
      <c r="J16" s="203"/>
      <c r="K16" s="203"/>
      <c r="L16" s="203"/>
      <c r="M16" s="203"/>
      <c r="N16" s="203"/>
      <c r="O16" s="203">
        <f t="shared" si="2"/>
        <v>0</v>
      </c>
    </row>
    <row r="17" spans="1:15" s="220" customFormat="1" ht="15.75" hidden="1" customHeight="1" x14ac:dyDescent="0.2">
      <c r="A17" s="231">
        <v>2</v>
      </c>
      <c r="B17" s="220" t="s">
        <v>51</v>
      </c>
      <c r="C17" s="203"/>
      <c r="D17" s="203"/>
      <c r="E17" s="203"/>
      <c r="F17" s="203"/>
      <c r="G17" s="203"/>
      <c r="H17" s="203"/>
      <c r="I17" s="203"/>
      <c r="J17" s="203"/>
      <c r="K17" s="203"/>
      <c r="L17" s="203"/>
      <c r="M17" s="203"/>
      <c r="N17" s="203"/>
      <c r="O17" s="203">
        <f t="shared" si="2"/>
        <v>0</v>
      </c>
    </row>
    <row r="18" spans="1:15" s="220" customFormat="1" ht="15.75" hidden="1" customHeight="1" x14ac:dyDescent="0.2">
      <c r="A18" s="231"/>
      <c r="B18" s="220" t="s">
        <v>52</v>
      </c>
      <c r="C18" s="203"/>
      <c r="D18" s="203"/>
      <c r="E18" s="203"/>
      <c r="F18" s="203"/>
      <c r="G18" s="203"/>
      <c r="H18" s="203"/>
      <c r="I18" s="203"/>
      <c r="J18" s="203"/>
      <c r="K18" s="203"/>
      <c r="L18" s="203"/>
      <c r="M18" s="203"/>
      <c r="N18" s="203"/>
      <c r="O18" s="203">
        <f t="shared" si="2"/>
        <v>0</v>
      </c>
    </row>
    <row r="19" spans="1:15" s="220" customFormat="1" ht="15.75" hidden="1" customHeight="1" x14ac:dyDescent="0.2">
      <c r="A19" s="231"/>
      <c r="B19" s="220" t="s">
        <v>53</v>
      </c>
      <c r="C19" s="203"/>
      <c r="D19" s="203"/>
      <c r="E19" s="203"/>
      <c r="F19" s="203"/>
      <c r="G19" s="203"/>
      <c r="H19" s="203"/>
      <c r="I19" s="203"/>
      <c r="J19" s="203"/>
      <c r="K19" s="203"/>
      <c r="L19" s="203"/>
      <c r="M19" s="203"/>
      <c r="N19" s="203"/>
      <c r="O19" s="203">
        <f t="shared" si="2"/>
        <v>0</v>
      </c>
    </row>
    <row r="20" spans="1:15" s="220" customFormat="1" ht="15.75" hidden="1" customHeight="1" x14ac:dyDescent="0.2">
      <c r="A20" s="231">
        <v>3</v>
      </c>
      <c r="B20" s="220" t="s">
        <v>1105</v>
      </c>
      <c r="C20" s="203"/>
      <c r="D20" s="203"/>
      <c r="E20" s="203"/>
      <c r="F20" s="203"/>
      <c r="G20" s="203"/>
      <c r="H20" s="203"/>
      <c r="I20" s="203"/>
      <c r="J20" s="203"/>
      <c r="K20" s="203"/>
      <c r="L20" s="203"/>
      <c r="M20" s="203"/>
      <c r="N20" s="203"/>
      <c r="O20" s="203">
        <f t="shared" si="2"/>
        <v>0</v>
      </c>
    </row>
    <row r="21" spans="1:15" s="220" customFormat="1" ht="15.75" hidden="1" customHeight="1" x14ac:dyDescent="0.2">
      <c r="A21" s="228">
        <v>4</v>
      </c>
      <c r="B21" s="220" t="s">
        <v>48</v>
      </c>
      <c r="C21" s="203"/>
      <c r="D21" s="203"/>
      <c r="E21" s="203"/>
      <c r="F21" s="203"/>
      <c r="G21" s="203"/>
      <c r="H21" s="203"/>
      <c r="I21" s="203"/>
      <c r="J21" s="203"/>
      <c r="K21" s="203"/>
      <c r="L21" s="203"/>
      <c r="M21" s="203"/>
      <c r="N21" s="203"/>
      <c r="O21" s="203">
        <v>0</v>
      </c>
    </row>
    <row r="22" spans="1:15" s="220" customFormat="1" ht="15.75" hidden="1" customHeight="1" x14ac:dyDescent="0.25">
      <c r="A22" s="255"/>
      <c r="B22" s="256"/>
      <c r="C22" s="237"/>
      <c r="D22" s="237"/>
      <c r="E22" s="237"/>
      <c r="F22" s="237"/>
      <c r="G22" s="237"/>
      <c r="H22" s="237"/>
      <c r="I22" s="237"/>
      <c r="J22" s="237"/>
      <c r="K22" s="237"/>
      <c r="L22" s="237"/>
      <c r="M22" s="237"/>
      <c r="N22" s="237"/>
      <c r="O22" s="237"/>
    </row>
    <row r="23" spans="1:15" s="220" customFormat="1" ht="15.75" customHeight="1" x14ac:dyDescent="0.25">
      <c r="A23" s="216" t="s">
        <v>687</v>
      </c>
      <c r="B23" s="217"/>
      <c r="C23" s="218">
        <f t="shared" ref="C23:O23" si="3">+C24</f>
        <v>341095.26</v>
      </c>
      <c r="D23" s="218">
        <f t="shared" si="3"/>
        <v>167052</v>
      </c>
      <c r="E23" s="218">
        <f t="shared" si="3"/>
        <v>311116.52</v>
      </c>
      <c r="F23" s="218">
        <f t="shared" si="3"/>
        <v>224202.76</v>
      </c>
      <c r="G23" s="218">
        <f t="shared" si="3"/>
        <v>368726.76</v>
      </c>
      <c r="H23" s="218">
        <f t="shared" si="3"/>
        <v>785735</v>
      </c>
      <c r="I23" s="218">
        <f t="shared" si="3"/>
        <v>1038640</v>
      </c>
      <c r="J23" s="218">
        <f t="shared" si="3"/>
        <v>562084.28</v>
      </c>
      <c r="K23" s="218">
        <f t="shared" si="3"/>
        <v>254922.5</v>
      </c>
      <c r="L23" s="218">
        <f t="shared" si="3"/>
        <v>27477.07</v>
      </c>
      <c r="M23" s="218">
        <f t="shared" si="3"/>
        <v>283650.82</v>
      </c>
      <c r="N23" s="218">
        <f t="shared" si="3"/>
        <v>190949.79</v>
      </c>
      <c r="O23" s="218">
        <f t="shared" si="3"/>
        <v>4555652.76</v>
      </c>
    </row>
    <row r="24" spans="1:15" s="220" customFormat="1" ht="15.75" customHeight="1" x14ac:dyDescent="0.2">
      <c r="A24" s="219"/>
      <c r="B24" s="220" t="s">
        <v>828</v>
      </c>
      <c r="C24" s="203">
        <v>341095.26</v>
      </c>
      <c r="D24" s="203">
        <v>167052</v>
      </c>
      <c r="E24" s="203">
        <v>311116.52</v>
      </c>
      <c r="F24" s="203">
        <v>224202.76</v>
      </c>
      <c r="G24" s="203">
        <v>368726.76</v>
      </c>
      <c r="H24" s="203">
        <v>785735</v>
      </c>
      <c r="I24" s="203">
        <v>1038640</v>
      </c>
      <c r="J24" s="203">
        <v>562084.28</v>
      </c>
      <c r="K24" s="203">
        <v>254922.5</v>
      </c>
      <c r="L24" s="203">
        <v>27477.07</v>
      </c>
      <c r="M24" s="203">
        <v>283650.82</v>
      </c>
      <c r="N24" s="203">
        <v>190949.79</v>
      </c>
      <c r="O24" s="203">
        <f>SUM(C24:N24)</f>
        <v>4555652.76</v>
      </c>
    </row>
    <row r="25" spans="1:15" s="220" customFormat="1" ht="15.75" customHeight="1" x14ac:dyDescent="0.2">
      <c r="A25" s="228"/>
      <c r="B25" s="228"/>
      <c r="C25" s="203"/>
      <c r="D25" s="203"/>
      <c r="E25" s="203"/>
      <c r="F25" s="203"/>
      <c r="G25" s="203"/>
      <c r="H25" s="203"/>
      <c r="I25" s="203"/>
      <c r="J25" s="203"/>
      <c r="K25" s="203"/>
      <c r="L25" s="203"/>
      <c r="M25" s="203"/>
      <c r="N25" s="203"/>
      <c r="O25" s="203"/>
    </row>
    <row r="26" spans="1:15" s="220" customFormat="1" ht="15.75" customHeight="1" x14ac:dyDescent="0.25">
      <c r="A26" s="216" t="s">
        <v>54</v>
      </c>
      <c r="B26" s="226"/>
      <c r="C26" s="227">
        <f t="shared" ref="C26:O26" si="4">SUM(C27:C45)</f>
        <v>55738559.840000004</v>
      </c>
      <c r="D26" s="227">
        <f t="shared" si="4"/>
        <v>72881275.819999993</v>
      </c>
      <c r="E26" s="227">
        <f t="shared" si="4"/>
        <v>65016995.869999997</v>
      </c>
      <c r="F26" s="227">
        <f t="shared" si="4"/>
        <v>60899814.359999999</v>
      </c>
      <c r="G26" s="227">
        <f t="shared" si="4"/>
        <v>57842310.200000003</v>
      </c>
      <c r="H26" s="227">
        <f t="shared" si="4"/>
        <v>73296195.280000001</v>
      </c>
      <c r="I26" s="227">
        <f t="shared" si="4"/>
        <v>75946243.5</v>
      </c>
      <c r="J26" s="227">
        <f t="shared" si="4"/>
        <v>69023885.360000014</v>
      </c>
      <c r="K26" s="227">
        <f t="shared" si="4"/>
        <v>72883360.620000005</v>
      </c>
      <c r="L26" s="227">
        <f t="shared" si="4"/>
        <v>81938410.359999999</v>
      </c>
      <c r="M26" s="227">
        <f t="shared" si="4"/>
        <v>36359517.799999997</v>
      </c>
      <c r="N26" s="227">
        <f t="shared" si="4"/>
        <v>100446029.05</v>
      </c>
      <c r="O26" s="227">
        <f t="shared" si="4"/>
        <v>822272598.06000006</v>
      </c>
    </row>
    <row r="27" spans="1:15" s="220" customFormat="1" ht="15.75" customHeight="1" x14ac:dyDescent="0.2">
      <c r="A27" s="231"/>
      <c r="B27" s="220" t="s">
        <v>756</v>
      </c>
      <c r="C27" s="203">
        <v>27681554.899999999</v>
      </c>
      <c r="D27" s="203">
        <v>33300517.59</v>
      </c>
      <c r="E27" s="203">
        <v>34079508.649999999</v>
      </c>
      <c r="F27" s="203">
        <v>32012164.100000001</v>
      </c>
      <c r="G27" s="203">
        <v>38595033.5</v>
      </c>
      <c r="H27" s="203">
        <v>36324620.890000001</v>
      </c>
      <c r="I27" s="203">
        <v>37291407.079999998</v>
      </c>
      <c r="J27" s="203">
        <v>39316285.090000004</v>
      </c>
      <c r="K27" s="203">
        <v>35268348.299999997</v>
      </c>
      <c r="L27" s="203">
        <v>31998547.129999999</v>
      </c>
      <c r="M27" s="203">
        <v>2775898.94</v>
      </c>
      <c r="N27" s="203">
        <v>68989778.219999999</v>
      </c>
      <c r="O27" s="203">
        <f t="shared" ref="O27:O46" si="5">SUM(C27:N27)</f>
        <v>417633664.38999999</v>
      </c>
    </row>
    <row r="28" spans="1:15" s="220" customFormat="1" ht="15.75" hidden="1" customHeight="1" x14ac:dyDescent="0.2">
      <c r="A28" s="231"/>
      <c r="B28" s="220" t="s">
        <v>477</v>
      </c>
      <c r="C28" s="203"/>
      <c r="D28" s="203"/>
      <c r="E28" s="203"/>
      <c r="F28" s="203"/>
      <c r="G28" s="203"/>
      <c r="H28" s="203"/>
      <c r="I28" s="203"/>
      <c r="J28" s="203"/>
      <c r="K28" s="203"/>
      <c r="L28" s="203"/>
      <c r="M28" s="203"/>
      <c r="N28" s="203"/>
      <c r="O28" s="203">
        <f t="shared" si="5"/>
        <v>0</v>
      </c>
    </row>
    <row r="29" spans="1:15" s="220" customFormat="1" ht="15.75" hidden="1" customHeight="1" x14ac:dyDescent="0.2">
      <c r="A29" s="231"/>
      <c r="B29" s="220" t="s">
        <v>56</v>
      </c>
      <c r="C29" s="203"/>
      <c r="D29" s="203"/>
      <c r="E29" s="203"/>
      <c r="F29" s="203"/>
      <c r="G29" s="203"/>
      <c r="H29" s="203"/>
      <c r="I29" s="203"/>
      <c r="J29" s="203"/>
      <c r="K29" s="203"/>
      <c r="L29" s="203"/>
      <c r="M29" s="203"/>
      <c r="N29" s="203"/>
      <c r="O29" s="203">
        <f t="shared" si="5"/>
        <v>0</v>
      </c>
    </row>
    <row r="30" spans="1:15" s="220" customFormat="1" ht="15.75" hidden="1" customHeight="1" x14ac:dyDescent="0.2">
      <c r="A30" s="231"/>
      <c r="B30" s="220" t="s">
        <v>829</v>
      </c>
      <c r="C30" s="203"/>
      <c r="D30" s="203"/>
      <c r="E30" s="203"/>
      <c r="F30" s="203"/>
      <c r="G30" s="203"/>
      <c r="H30" s="203"/>
      <c r="I30" s="203"/>
      <c r="J30" s="203"/>
      <c r="K30" s="203"/>
      <c r="L30" s="203"/>
      <c r="M30" s="203"/>
      <c r="N30" s="203"/>
      <c r="O30" s="203">
        <f t="shared" si="5"/>
        <v>0</v>
      </c>
    </row>
    <row r="31" spans="1:15" s="220" customFormat="1" ht="15.75" hidden="1" customHeight="1" x14ac:dyDescent="0.2">
      <c r="A31" s="231"/>
      <c r="B31" s="220" t="s">
        <v>830</v>
      </c>
      <c r="C31" s="203"/>
      <c r="D31" s="203"/>
      <c r="E31" s="203"/>
      <c r="F31" s="203"/>
      <c r="G31" s="203"/>
      <c r="H31" s="203"/>
      <c r="I31" s="203"/>
      <c r="J31" s="203"/>
      <c r="K31" s="203"/>
      <c r="L31" s="203"/>
      <c r="M31" s="203"/>
      <c r="N31" s="203"/>
      <c r="O31" s="203">
        <f t="shared" si="5"/>
        <v>0</v>
      </c>
    </row>
    <row r="32" spans="1:15" s="220" customFormat="1" ht="15.75" hidden="1" customHeight="1" x14ac:dyDescent="0.2">
      <c r="A32" s="231"/>
      <c r="B32" s="220" t="s">
        <v>831</v>
      </c>
      <c r="C32" s="203"/>
      <c r="D32" s="203"/>
      <c r="E32" s="203"/>
      <c r="F32" s="203"/>
      <c r="G32" s="203"/>
      <c r="H32" s="203"/>
      <c r="I32" s="203"/>
      <c r="J32" s="203"/>
      <c r="K32" s="203"/>
      <c r="L32" s="203"/>
      <c r="M32" s="203"/>
      <c r="N32" s="203"/>
      <c r="O32" s="203">
        <f t="shared" si="5"/>
        <v>0</v>
      </c>
    </row>
    <row r="33" spans="1:15" s="220" customFormat="1" ht="15.75" customHeight="1" x14ac:dyDescent="0.2">
      <c r="A33" s="231"/>
      <c r="B33" s="220" t="s">
        <v>58</v>
      </c>
      <c r="C33" s="203">
        <v>3137874.69</v>
      </c>
      <c r="D33" s="203">
        <v>3586142.51</v>
      </c>
      <c r="E33" s="203">
        <v>2241339.0699999998</v>
      </c>
      <c r="F33" s="203">
        <v>4815638.7300000004</v>
      </c>
      <c r="G33" s="203">
        <v>3439741.95</v>
      </c>
      <c r="H33" s="203">
        <v>5503587.1200000001</v>
      </c>
      <c r="I33" s="203">
        <v>3890545.88</v>
      </c>
      <c r="J33" s="203">
        <v>2778961.34</v>
      </c>
      <c r="K33" s="203">
        <v>4446338.1399999997</v>
      </c>
      <c r="L33" s="203">
        <v>4181130.76</v>
      </c>
      <c r="M33" s="203">
        <v>2986521.97</v>
      </c>
      <c r="N33" s="203">
        <v>4778435.16</v>
      </c>
      <c r="O33" s="203">
        <f t="shared" si="5"/>
        <v>45786257.319999993</v>
      </c>
    </row>
    <row r="34" spans="1:15" s="220" customFormat="1" ht="15.75" hidden="1" customHeight="1" x14ac:dyDescent="0.2">
      <c r="A34" s="231"/>
      <c r="B34" s="220" t="s">
        <v>59</v>
      </c>
      <c r="C34" s="211"/>
      <c r="D34" s="203"/>
      <c r="E34" s="203"/>
      <c r="F34" s="203"/>
      <c r="G34" s="203"/>
      <c r="H34" s="203"/>
      <c r="I34" s="203"/>
      <c r="J34" s="203"/>
      <c r="K34" s="203"/>
      <c r="L34" s="203"/>
      <c r="M34" s="203"/>
      <c r="N34" s="203"/>
      <c r="O34" s="203">
        <f t="shared" si="5"/>
        <v>0</v>
      </c>
    </row>
    <row r="35" spans="1:15" s="220" customFormat="1" ht="15.75" hidden="1" customHeight="1" x14ac:dyDescent="0.2">
      <c r="A35" s="231"/>
      <c r="B35" s="220" t="s">
        <v>832</v>
      </c>
      <c r="C35" s="203"/>
      <c r="D35" s="203"/>
      <c r="E35" s="203"/>
      <c r="F35" s="203"/>
      <c r="G35" s="203"/>
      <c r="H35" s="203"/>
      <c r="I35" s="203"/>
      <c r="J35" s="203"/>
      <c r="K35" s="203"/>
      <c r="L35" s="203"/>
      <c r="M35" s="203"/>
      <c r="N35" s="203"/>
      <c r="O35" s="203">
        <f t="shared" si="5"/>
        <v>0</v>
      </c>
    </row>
    <row r="36" spans="1:15" s="220" customFormat="1" ht="15.75" hidden="1" customHeight="1" x14ac:dyDescent="0.2">
      <c r="A36" s="231"/>
      <c r="B36" s="220" t="s">
        <v>61</v>
      </c>
      <c r="C36" s="203"/>
      <c r="D36" s="203"/>
      <c r="E36" s="203"/>
      <c r="F36" s="203"/>
      <c r="G36" s="203"/>
      <c r="H36" s="203"/>
      <c r="I36" s="203"/>
      <c r="J36" s="203"/>
      <c r="K36" s="203"/>
      <c r="L36" s="203"/>
      <c r="M36" s="203"/>
      <c r="N36" s="203"/>
      <c r="O36" s="203">
        <f t="shared" si="5"/>
        <v>0</v>
      </c>
    </row>
    <row r="37" spans="1:15" s="220" customFormat="1" ht="16.5" hidden="1" customHeight="1" x14ac:dyDescent="0.2">
      <c r="A37" s="231"/>
      <c r="B37" s="220" t="s">
        <v>62</v>
      </c>
      <c r="C37" s="203"/>
      <c r="D37" s="203"/>
      <c r="E37" s="203"/>
      <c r="F37" s="203"/>
      <c r="G37" s="203"/>
      <c r="H37" s="203"/>
      <c r="I37" s="203"/>
      <c r="J37" s="203"/>
      <c r="K37" s="203"/>
      <c r="L37" s="203"/>
      <c r="M37" s="203"/>
      <c r="N37" s="203"/>
      <c r="O37" s="203">
        <f t="shared" si="5"/>
        <v>0</v>
      </c>
    </row>
    <row r="38" spans="1:15" s="220" customFormat="1" ht="15.75" customHeight="1" x14ac:dyDescent="0.2">
      <c r="A38" s="231"/>
      <c r="B38" s="220" t="s">
        <v>63</v>
      </c>
      <c r="C38" s="211">
        <v>6293915</v>
      </c>
      <c r="D38" s="203">
        <f>7301975.8-3095.8</f>
        <v>7298880</v>
      </c>
      <c r="E38" s="203">
        <v>9274545</v>
      </c>
      <c r="F38" s="203">
        <f>5231300.5-10265.29</f>
        <v>5221035.21</v>
      </c>
      <c r="G38" s="203">
        <f>8293874-189.95</f>
        <v>8293684.0499999998</v>
      </c>
      <c r="H38" s="203">
        <v>8747270</v>
      </c>
      <c r="I38" s="203">
        <v>8259590</v>
      </c>
      <c r="J38" s="203">
        <v>8183470</v>
      </c>
      <c r="K38" s="203">
        <v>10543785</v>
      </c>
      <c r="L38" s="203">
        <v>10782980</v>
      </c>
      <c r="M38" s="203">
        <v>8338150</v>
      </c>
      <c r="N38" s="203">
        <v>9488380</v>
      </c>
      <c r="O38" s="203">
        <f t="shared" si="5"/>
        <v>100725684.25999999</v>
      </c>
    </row>
    <row r="39" spans="1:15" s="220" customFormat="1" ht="15.75" hidden="1" customHeight="1" x14ac:dyDescent="0.2">
      <c r="A39" s="235"/>
      <c r="B39" s="236" t="s">
        <v>833</v>
      </c>
      <c r="C39" s="203"/>
      <c r="D39" s="203"/>
      <c r="E39" s="203"/>
      <c r="F39" s="203"/>
      <c r="G39" s="203"/>
      <c r="H39" s="203"/>
      <c r="I39" s="203"/>
      <c r="J39" s="203"/>
      <c r="K39" s="203"/>
      <c r="L39" s="203"/>
      <c r="M39" s="203"/>
      <c r="N39" s="203"/>
      <c r="O39" s="203">
        <f t="shared" si="5"/>
        <v>0</v>
      </c>
    </row>
    <row r="40" spans="1:15" s="220" customFormat="1" ht="15.75" hidden="1" customHeight="1" x14ac:dyDescent="0.2">
      <c r="A40" s="231"/>
      <c r="B40" s="236" t="s">
        <v>834</v>
      </c>
      <c r="C40" s="203"/>
      <c r="D40" s="203"/>
      <c r="E40" s="203"/>
      <c r="F40" s="203"/>
      <c r="G40" s="203"/>
      <c r="H40" s="203"/>
      <c r="I40" s="203"/>
      <c r="J40" s="203"/>
      <c r="K40" s="203"/>
      <c r="L40" s="203"/>
      <c r="M40" s="203"/>
      <c r="N40" s="203"/>
      <c r="O40" s="203">
        <f t="shared" si="5"/>
        <v>0</v>
      </c>
    </row>
    <row r="41" spans="1:15" s="220" customFormat="1" ht="15.75" customHeight="1" x14ac:dyDescent="0.2">
      <c r="A41" s="231"/>
      <c r="B41" s="220" t="s">
        <v>720</v>
      </c>
      <c r="C41" s="203">
        <v>18579949.25</v>
      </c>
      <c r="D41" s="203">
        <v>28519419.719999999</v>
      </c>
      <c r="E41" s="203">
        <v>19255251.149999999</v>
      </c>
      <c r="F41" s="203">
        <v>18688014.32</v>
      </c>
      <c r="G41" s="203">
        <v>7357250.7000000002</v>
      </c>
      <c r="H41" s="203">
        <v>22514758.27</v>
      </c>
      <c r="I41" s="203">
        <v>26410880.539999999</v>
      </c>
      <c r="J41" s="203">
        <v>18629102.93</v>
      </c>
      <c r="K41" s="203">
        <v>22538243.18</v>
      </c>
      <c r="L41" s="203">
        <v>34854898.469999999</v>
      </c>
      <c r="M41" s="203">
        <v>22070652.890000001</v>
      </c>
      <c r="N41" s="203">
        <v>17148521.670000002</v>
      </c>
      <c r="O41" s="203">
        <f t="shared" si="5"/>
        <v>256566943.09000003</v>
      </c>
    </row>
    <row r="42" spans="1:15" s="220" customFormat="1" ht="15.75" hidden="1" customHeight="1" x14ac:dyDescent="0.2">
      <c r="A42" s="231"/>
      <c r="B42" s="220" t="s">
        <v>1106</v>
      </c>
      <c r="C42" s="203"/>
      <c r="D42" s="203"/>
      <c r="E42" s="203"/>
      <c r="F42" s="203"/>
      <c r="G42" s="203"/>
      <c r="H42" s="203"/>
      <c r="I42" s="203"/>
      <c r="J42" s="203"/>
      <c r="K42" s="203"/>
      <c r="L42" s="203"/>
      <c r="M42" s="203"/>
      <c r="N42" s="203"/>
      <c r="O42" s="203">
        <f t="shared" si="5"/>
        <v>0</v>
      </c>
    </row>
    <row r="43" spans="1:15" s="220" customFormat="1" ht="15.75" hidden="1" customHeight="1" x14ac:dyDescent="0.2">
      <c r="A43" s="231"/>
      <c r="B43" s="220" t="s">
        <v>835</v>
      </c>
      <c r="C43" s="203"/>
      <c r="D43" s="203"/>
      <c r="E43" s="203"/>
      <c r="F43" s="203"/>
      <c r="G43" s="203"/>
      <c r="H43" s="203"/>
      <c r="I43" s="203"/>
      <c r="J43" s="203"/>
      <c r="K43" s="203"/>
      <c r="L43" s="203"/>
      <c r="M43" s="203"/>
      <c r="N43" s="203"/>
      <c r="O43" s="203">
        <f t="shared" si="5"/>
        <v>0</v>
      </c>
    </row>
    <row r="44" spans="1:15" s="220" customFormat="1" ht="15.75" hidden="1" customHeight="1" x14ac:dyDescent="0.2">
      <c r="A44" s="231"/>
      <c r="B44" s="220" t="s">
        <v>1107</v>
      </c>
      <c r="C44" s="203"/>
      <c r="D44" s="203"/>
      <c r="E44" s="203"/>
      <c r="F44" s="203"/>
      <c r="G44" s="203"/>
      <c r="H44" s="203"/>
      <c r="I44" s="203"/>
      <c r="J44" s="203"/>
      <c r="K44" s="203"/>
      <c r="L44" s="203"/>
      <c r="M44" s="203"/>
      <c r="N44" s="203"/>
      <c r="O44" s="203">
        <f t="shared" si="5"/>
        <v>0</v>
      </c>
    </row>
    <row r="45" spans="1:15" s="220" customFormat="1" ht="15.75" customHeight="1" x14ac:dyDescent="0.2">
      <c r="A45" s="231"/>
      <c r="B45" s="220" t="s">
        <v>836</v>
      </c>
      <c r="C45" s="203">
        <v>45266</v>
      </c>
      <c r="D45" s="203">
        <v>176316</v>
      </c>
      <c r="E45" s="203">
        <v>166352</v>
      </c>
      <c r="F45" s="203">
        <v>162962</v>
      </c>
      <c r="G45" s="203">
        <v>156600</v>
      </c>
      <c r="H45" s="203">
        <v>205959</v>
      </c>
      <c r="I45" s="203">
        <v>93820</v>
      </c>
      <c r="J45" s="203">
        <v>116066</v>
      </c>
      <c r="K45" s="203">
        <v>86646</v>
      </c>
      <c r="L45" s="203">
        <v>120854</v>
      </c>
      <c r="M45" s="203">
        <v>188294</v>
      </c>
      <c r="N45" s="203">
        <v>40914</v>
      </c>
      <c r="O45" s="203">
        <f t="shared" si="5"/>
        <v>1560049</v>
      </c>
    </row>
    <row r="46" spans="1:15" s="220" customFormat="1" ht="15.75" hidden="1" customHeight="1" x14ac:dyDescent="0.2">
      <c r="A46" s="231"/>
      <c r="B46" s="220" t="s">
        <v>753</v>
      </c>
      <c r="C46" s="203"/>
      <c r="D46" s="203"/>
      <c r="E46" s="203"/>
      <c r="F46" s="203"/>
      <c r="G46" s="203"/>
      <c r="H46" s="203"/>
      <c r="I46" s="203"/>
      <c r="J46" s="203"/>
      <c r="K46" s="203"/>
      <c r="L46" s="203"/>
      <c r="M46" s="203"/>
      <c r="N46" s="203"/>
      <c r="O46" s="203">
        <f t="shared" si="5"/>
        <v>0</v>
      </c>
    </row>
    <row r="47" spans="1:15" s="220" customFormat="1" ht="15.75" customHeight="1" x14ac:dyDescent="0.2">
      <c r="A47" s="228"/>
      <c r="C47" s="203"/>
      <c r="D47" s="203"/>
      <c r="E47" s="203"/>
      <c r="F47" s="203"/>
      <c r="G47" s="203"/>
      <c r="H47" s="203"/>
      <c r="I47" s="203"/>
      <c r="J47" s="203"/>
      <c r="K47" s="203"/>
      <c r="L47" s="203"/>
      <c r="M47" s="203"/>
      <c r="N47" s="203"/>
      <c r="O47" s="203"/>
    </row>
    <row r="48" spans="1:15" s="220" customFormat="1" ht="15.75" hidden="1" customHeight="1" x14ac:dyDescent="0.25">
      <c r="A48" s="216" t="s">
        <v>69</v>
      </c>
      <c r="B48" s="230"/>
      <c r="C48" s="227">
        <f t="shared" ref="C48:O48" si="6">SUM(C49:C50)</f>
        <v>0</v>
      </c>
      <c r="D48" s="227">
        <f t="shared" si="6"/>
        <v>0</v>
      </c>
      <c r="E48" s="227">
        <f t="shared" si="6"/>
        <v>0</v>
      </c>
      <c r="F48" s="227">
        <f t="shared" si="6"/>
        <v>0</v>
      </c>
      <c r="G48" s="227">
        <f t="shared" si="6"/>
        <v>0</v>
      </c>
      <c r="H48" s="227">
        <f t="shared" si="6"/>
        <v>0</v>
      </c>
      <c r="I48" s="227">
        <f t="shared" si="6"/>
        <v>0</v>
      </c>
      <c r="J48" s="227">
        <f t="shared" si="6"/>
        <v>0</v>
      </c>
      <c r="K48" s="227">
        <f t="shared" si="6"/>
        <v>0</v>
      </c>
      <c r="L48" s="227">
        <f t="shared" si="6"/>
        <v>0</v>
      </c>
      <c r="M48" s="227">
        <f t="shared" si="6"/>
        <v>0</v>
      </c>
      <c r="N48" s="227">
        <f t="shared" si="6"/>
        <v>0</v>
      </c>
      <c r="O48" s="227">
        <f t="shared" si="6"/>
        <v>0</v>
      </c>
    </row>
    <row r="49" spans="1:15" s="220" customFormat="1" ht="15.75" hidden="1" customHeight="1" x14ac:dyDescent="0.2">
      <c r="A49" s="219">
        <v>1</v>
      </c>
      <c r="B49" s="220" t="s">
        <v>70</v>
      </c>
      <c r="C49" s="203"/>
      <c r="D49" s="203"/>
      <c r="E49" s="203"/>
      <c r="F49" s="203"/>
      <c r="G49" s="203"/>
      <c r="H49" s="203"/>
      <c r="I49" s="203"/>
      <c r="J49" s="203"/>
      <c r="K49" s="203"/>
      <c r="L49" s="203"/>
      <c r="M49" s="203"/>
      <c r="N49" s="203"/>
      <c r="O49" s="203">
        <f t="shared" ref="O49:O50" si="7">SUM(C49:N49)</f>
        <v>0</v>
      </c>
    </row>
    <row r="50" spans="1:15" s="220" customFormat="1" ht="15.75" hidden="1" customHeight="1" x14ac:dyDescent="0.2">
      <c r="A50" s="219">
        <v>1</v>
      </c>
      <c r="B50" s="220" t="s">
        <v>1108</v>
      </c>
      <c r="C50" s="203"/>
      <c r="D50" s="203"/>
      <c r="E50" s="203"/>
      <c r="F50" s="203"/>
      <c r="G50" s="203"/>
      <c r="H50" s="203"/>
      <c r="I50" s="203"/>
      <c r="J50" s="203"/>
      <c r="K50" s="203"/>
      <c r="L50" s="203"/>
      <c r="M50" s="203"/>
      <c r="N50" s="203"/>
      <c r="O50" s="203">
        <f t="shared" si="7"/>
        <v>0</v>
      </c>
    </row>
    <row r="51" spans="1:15" s="220" customFormat="1" ht="12.75" hidden="1" customHeight="1" x14ac:dyDescent="0.2">
      <c r="A51" s="219"/>
      <c r="C51" s="203"/>
      <c r="D51" s="203"/>
      <c r="E51" s="203"/>
      <c r="F51" s="203"/>
      <c r="G51" s="203"/>
      <c r="H51" s="203"/>
      <c r="I51" s="203"/>
      <c r="J51" s="203"/>
      <c r="K51" s="203"/>
      <c r="L51" s="203"/>
      <c r="M51" s="203"/>
      <c r="N51" s="203"/>
      <c r="O51" s="203"/>
    </row>
    <row r="52" spans="1:15" s="220" customFormat="1" ht="15.75" customHeight="1" x14ac:dyDescent="0.25">
      <c r="A52" s="216" t="s">
        <v>837</v>
      </c>
      <c r="B52" s="230"/>
      <c r="C52" s="227">
        <f t="shared" ref="C52:O52" si="8">SUM(C53:C57)</f>
        <v>359447.41</v>
      </c>
      <c r="D52" s="227">
        <f t="shared" si="8"/>
        <v>461101.19</v>
      </c>
      <c r="E52" s="227">
        <f t="shared" si="8"/>
        <v>560752.25</v>
      </c>
      <c r="F52" s="227">
        <f t="shared" si="8"/>
        <v>336127.49</v>
      </c>
      <c r="G52" s="227">
        <f t="shared" si="8"/>
        <v>391757.09</v>
      </c>
      <c r="H52" s="227">
        <f t="shared" si="8"/>
        <v>393966.88</v>
      </c>
      <c r="I52" s="227">
        <f t="shared" si="8"/>
        <v>394526.74</v>
      </c>
      <c r="J52" s="227">
        <f t="shared" si="8"/>
        <v>591454.7699999999</v>
      </c>
      <c r="K52" s="227">
        <f t="shared" si="8"/>
        <v>2310894.7000000002</v>
      </c>
      <c r="L52" s="227">
        <f t="shared" si="8"/>
        <v>436951.49000000005</v>
      </c>
      <c r="M52" s="227">
        <f t="shared" si="8"/>
        <v>395776.6</v>
      </c>
      <c r="N52" s="227">
        <f t="shared" si="8"/>
        <v>307815.48</v>
      </c>
      <c r="O52" s="227">
        <f t="shared" si="8"/>
        <v>6940572.0899999989</v>
      </c>
    </row>
    <row r="53" spans="1:15" s="220" customFormat="1" ht="15.75" customHeight="1" x14ac:dyDescent="0.2">
      <c r="A53" s="219"/>
      <c r="B53" s="220" t="s">
        <v>757</v>
      </c>
      <c r="C53" s="203">
        <v>358947.41</v>
      </c>
      <c r="D53" s="203">
        <v>446423.82</v>
      </c>
      <c r="E53" s="203">
        <v>539654.75</v>
      </c>
      <c r="F53" s="203">
        <v>300793.39</v>
      </c>
      <c r="G53" s="212">
        <v>369867.83</v>
      </c>
      <c r="H53" s="203">
        <v>393866.88</v>
      </c>
      <c r="I53" s="203">
        <v>391326.74</v>
      </c>
      <c r="J53" s="203">
        <v>586655.06999999995</v>
      </c>
      <c r="K53" s="203">
        <f>2283458.21-10000</f>
        <v>2273458.21</v>
      </c>
      <c r="L53" s="203">
        <f>311755.09+105.76</f>
        <v>311860.85000000003</v>
      </c>
      <c r="M53" s="203">
        <f>318921.05+136.81</f>
        <v>319057.86</v>
      </c>
      <c r="N53" s="203">
        <f>307760.92+54.56</f>
        <v>307815.48</v>
      </c>
      <c r="O53" s="203">
        <f t="shared" ref="O53:O57" si="9">SUM(C53:N53)</f>
        <v>6599728.2899999991</v>
      </c>
    </row>
    <row r="54" spans="1:15" s="220" customFormat="1" ht="15.75" hidden="1" customHeight="1" x14ac:dyDescent="0.25">
      <c r="A54" s="219"/>
      <c r="B54" s="220" t="s">
        <v>838</v>
      </c>
      <c r="C54" s="229"/>
      <c r="D54" s="229"/>
      <c r="E54" s="229"/>
      <c r="F54" s="229"/>
      <c r="G54" s="229"/>
      <c r="H54" s="229"/>
      <c r="I54" s="229"/>
      <c r="J54" s="229"/>
      <c r="K54" s="229"/>
      <c r="L54" s="229"/>
      <c r="M54" s="229"/>
      <c r="N54" s="229"/>
      <c r="O54" s="203">
        <f t="shared" si="9"/>
        <v>0</v>
      </c>
    </row>
    <row r="55" spans="1:15" s="220" customFormat="1" ht="15.75" customHeight="1" x14ac:dyDescent="0.25">
      <c r="A55" s="219"/>
      <c r="B55" s="220" t="s">
        <v>31</v>
      </c>
      <c r="C55" s="203">
        <v>500</v>
      </c>
      <c r="D55" s="203">
        <v>14677.37</v>
      </c>
      <c r="E55" s="203">
        <v>21097.5</v>
      </c>
      <c r="F55" s="203">
        <v>35334.1</v>
      </c>
      <c r="G55" s="203">
        <v>21889.26</v>
      </c>
      <c r="H55" s="203">
        <v>100</v>
      </c>
      <c r="I55" s="203">
        <v>3200</v>
      </c>
      <c r="J55" s="203">
        <v>4799.7</v>
      </c>
      <c r="K55" s="203">
        <v>37436.49</v>
      </c>
      <c r="L55" s="203">
        <v>125090.64</v>
      </c>
      <c r="M55" s="203">
        <v>76718.740000000005</v>
      </c>
      <c r="N55" s="229"/>
      <c r="O55" s="203">
        <f t="shared" si="9"/>
        <v>340843.8</v>
      </c>
    </row>
    <row r="56" spans="1:15" s="220" customFormat="1" ht="15.75" hidden="1" customHeight="1" x14ac:dyDescent="0.2">
      <c r="A56" s="219">
        <f t="shared" ref="A56:A57" si="10">A55+1</f>
        <v>1</v>
      </c>
      <c r="B56" s="228" t="s">
        <v>1109</v>
      </c>
      <c r="C56" s="203"/>
      <c r="D56" s="203"/>
      <c r="E56" s="203"/>
      <c r="F56" s="203"/>
      <c r="G56" s="203"/>
      <c r="H56" s="203"/>
      <c r="I56" s="203"/>
      <c r="J56" s="203"/>
      <c r="K56" s="203"/>
      <c r="L56" s="203"/>
      <c r="M56" s="203"/>
      <c r="N56" s="203"/>
      <c r="O56" s="203">
        <f t="shared" si="9"/>
        <v>0</v>
      </c>
    </row>
    <row r="57" spans="1:15" s="220" customFormat="1" ht="15.75" hidden="1" customHeight="1" x14ac:dyDescent="0.2">
      <c r="A57" s="219">
        <f t="shared" si="10"/>
        <v>2</v>
      </c>
      <c r="B57" s="228" t="s">
        <v>36</v>
      </c>
      <c r="C57" s="203"/>
      <c r="D57" s="203"/>
      <c r="E57" s="203"/>
      <c r="F57" s="203"/>
      <c r="G57" s="203"/>
      <c r="H57" s="203"/>
      <c r="I57" s="203"/>
      <c r="J57" s="203"/>
      <c r="K57" s="203"/>
      <c r="L57" s="203"/>
      <c r="M57" s="203"/>
      <c r="N57" s="203"/>
      <c r="O57" s="203">
        <f t="shared" si="9"/>
        <v>0</v>
      </c>
    </row>
    <row r="58" spans="1:15" s="220" customFormat="1" ht="15.75" customHeight="1" x14ac:dyDescent="0.2">
      <c r="A58" s="228"/>
      <c r="B58" s="228"/>
      <c r="C58" s="203"/>
      <c r="D58" s="203"/>
      <c r="E58" s="203"/>
      <c r="F58" s="203"/>
      <c r="G58" s="203"/>
      <c r="H58" s="203"/>
      <c r="I58" s="203"/>
      <c r="J58" s="203"/>
      <c r="K58" s="203"/>
      <c r="L58" s="203"/>
      <c r="M58" s="203"/>
      <c r="N58" s="203"/>
      <c r="O58" s="203"/>
    </row>
    <row r="59" spans="1:15" s="220" customFormat="1" ht="15.75" customHeight="1" x14ac:dyDescent="0.25">
      <c r="A59" s="216" t="s">
        <v>75</v>
      </c>
      <c r="B59" s="226"/>
      <c r="C59" s="227">
        <f t="shared" ref="C59:O59" si="11">C60</f>
        <v>22164252.620000001</v>
      </c>
      <c r="D59" s="227">
        <f t="shared" si="11"/>
        <v>30063178.949999999</v>
      </c>
      <c r="E59" s="227">
        <f t="shared" si="11"/>
        <v>67675153.980000004</v>
      </c>
      <c r="F59" s="227">
        <f t="shared" si="11"/>
        <v>124809615.15000001</v>
      </c>
      <c r="G59" s="227">
        <f t="shared" si="11"/>
        <v>27129712.190000001</v>
      </c>
      <c r="H59" s="227">
        <f t="shared" si="11"/>
        <v>36342923.229999997</v>
      </c>
      <c r="I59" s="227">
        <f t="shared" si="11"/>
        <v>65764181.689999998</v>
      </c>
      <c r="J59" s="227">
        <f t="shared" si="11"/>
        <v>56828754.590000004</v>
      </c>
      <c r="K59" s="227">
        <f t="shared" si="11"/>
        <v>30051971.949999999</v>
      </c>
      <c r="L59" s="227">
        <f t="shared" si="11"/>
        <v>34900285.079999998</v>
      </c>
      <c r="M59" s="227">
        <f t="shared" si="11"/>
        <v>51904769.670000002</v>
      </c>
      <c r="N59" s="227">
        <f t="shared" si="11"/>
        <v>40246332.020000003</v>
      </c>
      <c r="O59" s="227">
        <f t="shared" si="11"/>
        <v>587881131.12</v>
      </c>
    </row>
    <row r="60" spans="1:15" s="220" customFormat="1" ht="15.75" customHeight="1" x14ac:dyDescent="0.2">
      <c r="A60" s="219"/>
      <c r="B60" s="220" t="s">
        <v>77</v>
      </c>
      <c r="C60" s="203">
        <v>22164252.620000001</v>
      </c>
      <c r="D60" s="203">
        <v>30063178.949999999</v>
      </c>
      <c r="E60" s="203">
        <v>67675153.980000004</v>
      </c>
      <c r="F60" s="203">
        <v>124809615.15000001</v>
      </c>
      <c r="G60" s="203">
        <v>27129712.190000001</v>
      </c>
      <c r="H60" s="203">
        <v>36342923.229999997</v>
      </c>
      <c r="I60" s="203">
        <v>65764181.689999998</v>
      </c>
      <c r="J60" s="203">
        <v>56828754.590000004</v>
      </c>
      <c r="K60" s="203">
        <v>30051971.949999999</v>
      </c>
      <c r="L60" s="203">
        <v>34900285.079999998</v>
      </c>
      <c r="M60" s="203">
        <v>51904769.670000002</v>
      </c>
      <c r="N60" s="203">
        <v>40246332.020000003</v>
      </c>
      <c r="O60" s="203">
        <f>SUM(C60:N60)</f>
        <v>587881131.12</v>
      </c>
    </row>
    <row r="61" spans="1:15" s="220" customFormat="1" ht="15.75" customHeight="1" x14ac:dyDescent="0.2">
      <c r="A61" s="228"/>
      <c r="C61" s="203"/>
      <c r="D61" s="203"/>
      <c r="E61" s="203"/>
      <c r="F61" s="203"/>
      <c r="G61" s="203"/>
      <c r="H61" s="203"/>
      <c r="I61" s="203"/>
      <c r="J61" s="203"/>
      <c r="K61" s="203"/>
      <c r="L61" s="203"/>
      <c r="M61" s="203"/>
      <c r="N61" s="203"/>
      <c r="O61" s="203"/>
    </row>
    <row r="62" spans="1:15" s="220" customFormat="1" ht="15.75" customHeight="1" x14ac:dyDescent="0.25">
      <c r="A62" s="216" t="s">
        <v>839</v>
      </c>
      <c r="B62" s="230"/>
      <c r="C62" s="227">
        <f t="shared" ref="C62:O62" si="12">SUM(C63:C70)</f>
        <v>248832817.08999997</v>
      </c>
      <c r="D62" s="227">
        <f t="shared" si="12"/>
        <v>110575287.11000003</v>
      </c>
      <c r="E62" s="227">
        <f t="shared" si="12"/>
        <v>315135731.89999998</v>
      </c>
      <c r="F62" s="227">
        <f t="shared" si="12"/>
        <v>328497059.28999996</v>
      </c>
      <c r="G62" s="227">
        <f t="shared" si="12"/>
        <v>427600690.70999998</v>
      </c>
      <c r="H62" s="227">
        <f t="shared" si="12"/>
        <v>412731323.4600001</v>
      </c>
      <c r="I62" s="227">
        <f t="shared" si="12"/>
        <v>381465297.32999986</v>
      </c>
      <c r="J62" s="227">
        <f t="shared" si="12"/>
        <v>487104796.55000007</v>
      </c>
      <c r="K62" s="227">
        <f t="shared" si="12"/>
        <v>558996275.34999979</v>
      </c>
      <c r="L62" s="227">
        <f t="shared" si="12"/>
        <v>373672525.11999995</v>
      </c>
      <c r="M62" s="227">
        <f t="shared" si="12"/>
        <v>124738012.13000044</v>
      </c>
      <c r="N62" s="227">
        <f t="shared" si="12"/>
        <v>184034593.65000018</v>
      </c>
      <c r="O62" s="227">
        <f t="shared" si="12"/>
        <v>3953384409.6900005</v>
      </c>
    </row>
    <row r="63" spans="1:15" s="220" customFormat="1" ht="14.25" x14ac:dyDescent="0.2">
      <c r="A63" s="219"/>
      <c r="B63" s="220" t="s">
        <v>79</v>
      </c>
      <c r="C63" s="203">
        <f>[1]DENR_FY2023!C10</f>
        <v>169353808.11000001</v>
      </c>
      <c r="D63" s="203">
        <f>[1]DENR_FY2023!D10</f>
        <v>41610177.06000001</v>
      </c>
      <c r="E63" s="203">
        <f>[1]DENR_FY2023!E10</f>
        <v>163852411.75</v>
      </c>
      <c r="F63" s="203">
        <f>[1]DENR_FY2023!F10</f>
        <v>127076531.22999999</v>
      </c>
      <c r="G63" s="203">
        <f>[1]DENR_FY2023!G10</f>
        <v>144916682.93000001</v>
      </c>
      <c r="H63" s="203">
        <f>[1]DENR_FY2023!H10</f>
        <v>104375957.81</v>
      </c>
      <c r="I63" s="203">
        <f>[1]DENR_FY2023!I10</f>
        <v>98864069.910000011</v>
      </c>
      <c r="J63" s="203">
        <f>[1]DENR_FY2023!J10</f>
        <v>63892858.999999993</v>
      </c>
      <c r="K63" s="203">
        <f>[1]DENR_FY2023!K10</f>
        <v>97867676.210000023</v>
      </c>
      <c r="L63" s="203">
        <f>[1]DENR_FY2023!L10</f>
        <v>92743712.560000002</v>
      </c>
      <c r="M63" s="203">
        <f>[1]DENR_FY2023!M10</f>
        <v>73142106.229999989</v>
      </c>
      <c r="N63" s="203">
        <f>[1]DENR_FY2023!N10</f>
        <v>154982660.54000002</v>
      </c>
      <c r="O63" s="203">
        <f t="shared" ref="O63:O70" si="13">SUM(C63:N63)</f>
        <v>1332678653.3399999</v>
      </c>
    </row>
    <row r="64" spans="1:15" s="220" customFormat="1" ht="15.75" customHeight="1" x14ac:dyDescent="0.2">
      <c r="A64" s="219"/>
      <c r="B64" s="220" t="s">
        <v>81</v>
      </c>
      <c r="C64" s="203">
        <v>4000</v>
      </c>
      <c r="D64" s="203">
        <v>0</v>
      </c>
      <c r="E64" s="203">
        <v>0</v>
      </c>
      <c r="F64" s="203">
        <v>0</v>
      </c>
      <c r="G64" s="203">
        <v>0</v>
      </c>
      <c r="H64" s="203"/>
      <c r="I64" s="203"/>
      <c r="J64" s="203"/>
      <c r="K64" s="203"/>
      <c r="L64" s="203"/>
      <c r="M64" s="203"/>
      <c r="N64" s="203"/>
      <c r="O64" s="203">
        <f t="shared" si="13"/>
        <v>4000</v>
      </c>
    </row>
    <row r="65" spans="1:15" s="220" customFormat="1" ht="15.75" hidden="1" customHeight="1" x14ac:dyDescent="0.2">
      <c r="A65" s="219"/>
      <c r="B65" s="220" t="s">
        <v>82</v>
      </c>
      <c r="C65" s="203"/>
      <c r="D65" s="203"/>
      <c r="E65" s="203"/>
      <c r="F65" s="203"/>
      <c r="G65" s="203"/>
      <c r="H65" s="203"/>
      <c r="I65" s="203"/>
      <c r="J65" s="203"/>
      <c r="K65" s="203"/>
      <c r="L65" s="203"/>
      <c r="M65" s="203"/>
      <c r="N65" s="203"/>
      <c r="O65" s="203">
        <f t="shared" si="13"/>
        <v>0</v>
      </c>
    </row>
    <row r="66" spans="1:15" s="220" customFormat="1" ht="15.75" customHeight="1" x14ac:dyDescent="0.2">
      <c r="A66" s="219"/>
      <c r="B66" s="220" t="s">
        <v>83</v>
      </c>
      <c r="C66" s="203">
        <v>40496</v>
      </c>
      <c r="D66" s="203">
        <v>64325</v>
      </c>
      <c r="E66" s="203">
        <v>114971</v>
      </c>
      <c r="F66" s="203">
        <v>59602</v>
      </c>
      <c r="G66" s="203">
        <v>81048</v>
      </c>
      <c r="H66" s="203">
        <f>27876</f>
        <v>27876</v>
      </c>
      <c r="I66" s="203">
        <v>59779</v>
      </c>
      <c r="J66" s="203">
        <f>49562</f>
        <v>49562</v>
      </c>
      <c r="K66" s="203">
        <f>52691</f>
        <v>52691</v>
      </c>
      <c r="L66" s="203">
        <f>22538</f>
        <v>22538</v>
      </c>
      <c r="M66" s="203">
        <f>19870</f>
        <v>19870</v>
      </c>
      <c r="N66" s="203"/>
      <c r="O66" s="203">
        <f t="shared" si="13"/>
        <v>592758</v>
      </c>
    </row>
    <row r="67" spans="1:15" s="220" customFormat="1" ht="15.75" customHeight="1" x14ac:dyDescent="0.2">
      <c r="A67" s="238"/>
      <c r="B67" s="236" t="s">
        <v>84</v>
      </c>
      <c r="C67" s="239">
        <v>59409398.269999996</v>
      </c>
      <c r="D67" s="239">
        <v>49443298.88000001</v>
      </c>
      <c r="E67" s="239">
        <v>135293580.04999998</v>
      </c>
      <c r="F67" s="239">
        <v>194131195.82999998</v>
      </c>
      <c r="G67" s="239">
        <v>273790433.06999993</v>
      </c>
      <c r="H67" s="239">
        <v>295350427.35000014</v>
      </c>
      <c r="I67" s="239">
        <v>269082130.19999981</v>
      </c>
      <c r="J67" s="239">
        <v>382887956.12000012</v>
      </c>
      <c r="K67" s="239">
        <v>410528306.97999978</v>
      </c>
      <c r="L67" s="239">
        <v>258642600.31999993</v>
      </c>
      <c r="M67" s="257">
        <v>46616574.270000458</v>
      </c>
      <c r="N67" s="257">
        <v>20705755.340000153</v>
      </c>
      <c r="O67" s="203">
        <f t="shared" si="13"/>
        <v>2395881656.6800003</v>
      </c>
    </row>
    <row r="68" spans="1:15" s="220" customFormat="1" ht="15.75" customHeight="1" x14ac:dyDescent="0.2">
      <c r="A68" s="219"/>
      <c r="B68" s="220" t="s">
        <v>85</v>
      </c>
      <c r="C68" s="203">
        <v>709842.26</v>
      </c>
      <c r="D68" s="203">
        <v>646494.14</v>
      </c>
      <c r="E68" s="203">
        <v>432412.8</v>
      </c>
      <c r="F68" s="203">
        <v>293184.17</v>
      </c>
      <c r="G68" s="203">
        <v>674311.47</v>
      </c>
      <c r="H68" s="203">
        <v>374857.46</v>
      </c>
      <c r="I68" s="203">
        <v>319022</v>
      </c>
      <c r="J68" s="203">
        <v>515681.4</v>
      </c>
      <c r="K68" s="203">
        <v>319887.23</v>
      </c>
      <c r="L68" s="203"/>
      <c r="M68" s="203"/>
      <c r="N68" s="203"/>
      <c r="O68" s="203">
        <f t="shared" si="13"/>
        <v>4285692.93</v>
      </c>
    </row>
    <row r="69" spans="1:15" s="220" customFormat="1" ht="15.75" customHeight="1" x14ac:dyDescent="0.2">
      <c r="A69" s="219"/>
      <c r="B69" s="220" t="s">
        <v>131</v>
      </c>
      <c r="C69" s="203">
        <v>19315272.449999999</v>
      </c>
      <c r="D69" s="203">
        <v>18810992.030000001</v>
      </c>
      <c r="E69" s="203">
        <v>15442356.300000001</v>
      </c>
      <c r="F69" s="203">
        <v>6936546.0599999996</v>
      </c>
      <c r="G69" s="203">
        <v>8138215.2400000002</v>
      </c>
      <c r="H69" s="203">
        <v>12602204.84</v>
      </c>
      <c r="I69" s="203">
        <v>13140296.220000001</v>
      </c>
      <c r="J69" s="203">
        <v>39758738.030000001</v>
      </c>
      <c r="K69" s="203">
        <v>50227713.93</v>
      </c>
      <c r="L69" s="203">
        <v>22263674.239999998</v>
      </c>
      <c r="M69" s="203">
        <v>4959461.63</v>
      </c>
      <c r="N69" s="203">
        <v>8346177.7699999996</v>
      </c>
      <c r="O69" s="203">
        <f t="shared" si="13"/>
        <v>219941648.74000001</v>
      </c>
    </row>
    <row r="70" spans="1:15" s="220" customFormat="1" ht="15.75" hidden="1" customHeight="1" x14ac:dyDescent="0.2">
      <c r="A70" s="258">
        <v>8</v>
      </c>
      <c r="B70" s="256" t="s">
        <v>840</v>
      </c>
      <c r="C70" s="237"/>
      <c r="D70" s="237"/>
      <c r="E70" s="237"/>
      <c r="F70" s="237"/>
      <c r="G70" s="237"/>
      <c r="H70" s="237"/>
      <c r="I70" s="237"/>
      <c r="J70" s="237"/>
      <c r="K70" s="237"/>
      <c r="L70" s="237"/>
      <c r="M70" s="237"/>
      <c r="N70" s="237"/>
      <c r="O70" s="203">
        <f t="shared" si="13"/>
        <v>0</v>
      </c>
    </row>
    <row r="71" spans="1:15" s="220" customFormat="1" ht="12.75" customHeight="1" x14ac:dyDescent="0.2">
      <c r="A71" s="228"/>
      <c r="C71" s="203"/>
      <c r="D71" s="203"/>
      <c r="E71" s="203"/>
      <c r="F71" s="203"/>
      <c r="G71" s="203"/>
      <c r="H71" s="203"/>
      <c r="I71" s="203"/>
      <c r="J71" s="203"/>
      <c r="K71" s="203"/>
      <c r="L71" s="203"/>
      <c r="M71" s="203"/>
      <c r="N71" s="203"/>
      <c r="O71" s="203"/>
    </row>
    <row r="72" spans="1:15" s="220" customFormat="1" ht="15.75" customHeight="1" x14ac:dyDescent="0.25">
      <c r="A72" s="216" t="s">
        <v>88</v>
      </c>
      <c r="B72" s="230"/>
      <c r="C72" s="227">
        <f t="shared" ref="C72:O72" si="14">SUM(C73:C79)-C75-C74</f>
        <v>43194005.639999986</v>
      </c>
      <c r="D72" s="227">
        <f t="shared" si="14"/>
        <v>88662578.680000007</v>
      </c>
      <c r="E72" s="227">
        <f t="shared" si="14"/>
        <v>91491552.300000012</v>
      </c>
      <c r="F72" s="227">
        <f t="shared" si="14"/>
        <v>37812404.120000005</v>
      </c>
      <c r="G72" s="227">
        <f t="shared" si="14"/>
        <v>58799049.720000006</v>
      </c>
      <c r="H72" s="227">
        <f t="shared" si="14"/>
        <v>40798333.609999999</v>
      </c>
      <c r="I72" s="227">
        <f t="shared" si="14"/>
        <v>126603797.13</v>
      </c>
      <c r="J72" s="227">
        <f t="shared" si="14"/>
        <v>110544244.52</v>
      </c>
      <c r="K72" s="227">
        <f t="shared" si="14"/>
        <v>65772349.200000003</v>
      </c>
      <c r="L72" s="227">
        <f t="shared" si="14"/>
        <v>46769235.890000001</v>
      </c>
      <c r="M72" s="227">
        <f t="shared" si="14"/>
        <v>61247935.769999996</v>
      </c>
      <c r="N72" s="227">
        <f t="shared" si="14"/>
        <v>66129346.689999998</v>
      </c>
      <c r="O72" s="227">
        <f t="shared" si="14"/>
        <v>837824833.26999998</v>
      </c>
    </row>
    <row r="73" spans="1:15" s="220" customFormat="1" ht="15.75" customHeight="1" x14ac:dyDescent="0.2">
      <c r="A73" s="219"/>
      <c r="B73" s="236" t="s">
        <v>89</v>
      </c>
      <c r="C73" s="203">
        <v>192850</v>
      </c>
      <c r="D73" s="203">
        <v>195230</v>
      </c>
      <c r="E73" s="203">
        <v>254095</v>
      </c>
      <c r="F73" s="203"/>
      <c r="G73" s="203"/>
      <c r="H73" s="203"/>
      <c r="I73" s="203"/>
      <c r="J73" s="203"/>
      <c r="K73" s="203"/>
      <c r="L73" s="203"/>
      <c r="M73" s="203">
        <v>0</v>
      </c>
      <c r="N73" s="203">
        <v>0</v>
      </c>
      <c r="O73" s="203">
        <f t="shared" ref="O73:O79" si="15">SUM(C73:N73)</f>
        <v>642175</v>
      </c>
    </row>
    <row r="74" spans="1:15" s="220" customFormat="1" ht="15.75" hidden="1" customHeight="1" x14ac:dyDescent="0.2">
      <c r="A74" s="219"/>
      <c r="B74" s="236" t="s">
        <v>841</v>
      </c>
      <c r="C74" s="203"/>
      <c r="D74" s="203"/>
      <c r="E74" s="203"/>
      <c r="F74" s="203"/>
      <c r="G74" s="203"/>
      <c r="H74" s="203"/>
      <c r="I74" s="203"/>
      <c r="J74" s="203"/>
      <c r="K74" s="203"/>
      <c r="L74" s="203"/>
      <c r="M74" s="203"/>
      <c r="N74" s="203"/>
      <c r="O74" s="203">
        <f t="shared" si="15"/>
        <v>0</v>
      </c>
    </row>
    <row r="75" spans="1:15" s="220" customFormat="1" ht="15.75" hidden="1" customHeight="1" x14ac:dyDescent="0.2">
      <c r="A75" s="219"/>
      <c r="B75" s="236" t="s">
        <v>489</v>
      </c>
      <c r="C75" s="203">
        <v>632962232.41999996</v>
      </c>
      <c r="D75" s="203">
        <v>141068504.03</v>
      </c>
      <c r="E75" s="203">
        <v>174222078.16</v>
      </c>
      <c r="F75" s="203">
        <v>102024419.09</v>
      </c>
      <c r="G75" s="203">
        <v>43195480.899999999</v>
      </c>
      <c r="H75" s="203"/>
      <c r="I75" s="203"/>
      <c r="J75" s="203"/>
      <c r="K75" s="203"/>
      <c r="L75" s="203"/>
      <c r="M75" s="203"/>
      <c r="N75" s="203"/>
      <c r="O75" s="203">
        <f t="shared" si="15"/>
        <v>1093472714.5999999</v>
      </c>
    </row>
    <row r="76" spans="1:15" s="220" customFormat="1" ht="15.75" customHeight="1" x14ac:dyDescent="0.2">
      <c r="A76" s="219"/>
      <c r="B76" s="236" t="s">
        <v>842</v>
      </c>
      <c r="C76" s="203">
        <v>35000</v>
      </c>
      <c r="D76" s="203">
        <v>0</v>
      </c>
      <c r="E76" s="203"/>
      <c r="F76" s="203"/>
      <c r="G76" s="203"/>
      <c r="H76" s="203"/>
      <c r="I76" s="203"/>
      <c r="J76" s="203"/>
      <c r="K76" s="203"/>
      <c r="L76" s="203"/>
      <c r="M76" s="203"/>
      <c r="N76" s="203"/>
      <c r="O76" s="203">
        <f t="shared" si="15"/>
        <v>35000</v>
      </c>
    </row>
    <row r="77" spans="1:15" s="220" customFormat="1" ht="15.75" customHeight="1" x14ac:dyDescent="0.2">
      <c r="A77" s="219"/>
      <c r="B77" s="236" t="s">
        <v>90</v>
      </c>
      <c r="C77" s="203">
        <v>38587324.630000003</v>
      </c>
      <c r="D77" s="203">
        <v>51376668.329999998</v>
      </c>
      <c r="E77" s="203">
        <v>48959844.329999998</v>
      </c>
      <c r="F77" s="203">
        <v>30032125</v>
      </c>
      <c r="G77" s="203">
        <v>44482007.270000003</v>
      </c>
      <c r="H77" s="203">
        <v>33661845.950000003</v>
      </c>
      <c r="I77" s="203">
        <v>31990975</v>
      </c>
      <c r="J77" s="203">
        <v>86618344.719999999</v>
      </c>
      <c r="K77" s="203">
        <v>37862296.57</v>
      </c>
      <c r="L77" s="203">
        <v>36830868.329999998</v>
      </c>
      <c r="M77" s="203">
        <v>52205920</v>
      </c>
      <c r="N77" s="203">
        <v>55788213.039999999</v>
      </c>
      <c r="O77" s="203">
        <f t="shared" si="15"/>
        <v>548396433.16999996</v>
      </c>
    </row>
    <row r="78" spans="1:15" s="220" customFormat="1" ht="15.75" hidden="1" customHeight="1" x14ac:dyDescent="0.2">
      <c r="A78" s="219"/>
      <c r="B78" s="236" t="s">
        <v>214</v>
      </c>
      <c r="C78" s="203"/>
      <c r="D78" s="203"/>
      <c r="E78" s="203"/>
      <c r="F78" s="203"/>
      <c r="G78" s="203"/>
      <c r="H78" s="203"/>
      <c r="I78" s="203"/>
      <c r="J78" s="203"/>
      <c r="K78" s="203"/>
      <c r="L78" s="203"/>
      <c r="M78" s="203"/>
      <c r="N78" s="203"/>
      <c r="O78" s="203">
        <f t="shared" si="15"/>
        <v>0</v>
      </c>
    </row>
    <row r="79" spans="1:15" s="220" customFormat="1" ht="15.75" customHeight="1" x14ac:dyDescent="0.2">
      <c r="A79" s="219"/>
      <c r="B79" s="236" t="s">
        <v>91</v>
      </c>
      <c r="C79" s="206">
        <v>4378831.01</v>
      </c>
      <c r="D79" s="206">
        <v>37090680.350000001</v>
      </c>
      <c r="E79" s="206">
        <v>42277612.969999999</v>
      </c>
      <c r="F79" s="212">
        <v>7780279.1200000001</v>
      </c>
      <c r="G79" s="203">
        <v>14317042.449999999</v>
      </c>
      <c r="H79" s="212">
        <v>7136487.6600000001</v>
      </c>
      <c r="I79" s="203">
        <v>94612822.129999995</v>
      </c>
      <c r="J79" s="203">
        <v>23925899.800000001</v>
      </c>
      <c r="K79" s="203">
        <v>27910052.629999999</v>
      </c>
      <c r="L79" s="211">
        <v>9938367.5600000005</v>
      </c>
      <c r="M79" s="212">
        <v>9042015.7699999996</v>
      </c>
      <c r="N79" s="203">
        <v>10341133.65</v>
      </c>
      <c r="O79" s="203">
        <f t="shared" si="15"/>
        <v>288751225.09999996</v>
      </c>
    </row>
    <row r="80" spans="1:15" s="220" customFormat="1" ht="12.75" customHeight="1" x14ac:dyDescent="0.2">
      <c r="A80" s="228"/>
      <c r="B80" s="228"/>
      <c r="C80" s="203"/>
      <c r="D80" s="203"/>
      <c r="E80" s="203"/>
      <c r="F80" s="203"/>
      <c r="G80" s="203"/>
      <c r="H80" s="203"/>
      <c r="I80" s="203"/>
      <c r="J80" s="203"/>
      <c r="K80" s="203"/>
      <c r="L80" s="203"/>
      <c r="M80" s="203"/>
      <c r="N80" s="203"/>
      <c r="O80" s="203"/>
    </row>
    <row r="81" spans="1:15" s="220" customFormat="1" ht="15.75" customHeight="1" x14ac:dyDescent="0.25">
      <c r="A81" s="216" t="s">
        <v>92</v>
      </c>
      <c r="B81" s="226"/>
      <c r="C81" s="227">
        <f t="shared" ref="C81:O81" si="16">C83</f>
        <v>318576168.27999997</v>
      </c>
      <c r="D81" s="227">
        <f t="shared" si="16"/>
        <v>314185729.23000002</v>
      </c>
      <c r="E81" s="227">
        <f t="shared" si="16"/>
        <v>288450707.30000001</v>
      </c>
      <c r="F81" s="227">
        <f t="shared" si="16"/>
        <v>240114274.91999999</v>
      </c>
      <c r="G81" s="227">
        <f t="shared" si="16"/>
        <v>259799584.06999999</v>
      </c>
      <c r="H81" s="227">
        <f t="shared" si="16"/>
        <v>267559038.59999999</v>
      </c>
      <c r="I81" s="227">
        <f t="shared" si="16"/>
        <v>288894550.18000001</v>
      </c>
      <c r="J81" s="227">
        <f t="shared" si="16"/>
        <v>257465107.56</v>
      </c>
      <c r="K81" s="227">
        <f t="shared" si="16"/>
        <v>237065611</v>
      </c>
      <c r="L81" s="227">
        <f t="shared" si="16"/>
        <v>216491724.16</v>
      </c>
      <c r="M81" s="227">
        <f t="shared" si="16"/>
        <v>205904092.75</v>
      </c>
      <c r="N81" s="227">
        <f t="shared" si="16"/>
        <v>155724884.93000001</v>
      </c>
      <c r="O81" s="227">
        <f t="shared" si="16"/>
        <v>3050231472.9799995</v>
      </c>
    </row>
    <row r="82" spans="1:15" s="220" customFormat="1" ht="15.75" hidden="1" customHeight="1" x14ac:dyDescent="0.2">
      <c r="A82" s="228"/>
      <c r="B82" s="228" t="s">
        <v>94</v>
      </c>
      <c r="C82" s="203"/>
      <c r="D82" s="203"/>
      <c r="E82" s="203"/>
      <c r="F82" s="203"/>
      <c r="G82" s="203"/>
      <c r="H82" s="203"/>
      <c r="I82" s="203"/>
      <c r="J82" s="203"/>
      <c r="K82" s="203"/>
      <c r="L82" s="203"/>
      <c r="M82" s="203"/>
      <c r="N82" s="203"/>
      <c r="O82" s="203">
        <f t="shared" ref="O82:O84" si="17">SUM(C82:N82)</f>
        <v>0</v>
      </c>
    </row>
    <row r="83" spans="1:15" s="220" customFormat="1" ht="15.75" customHeight="1" x14ac:dyDescent="0.2">
      <c r="A83" s="219"/>
      <c r="B83" s="220" t="s">
        <v>761</v>
      </c>
      <c r="C83" s="203">
        <v>318576168.27999997</v>
      </c>
      <c r="D83" s="203">
        <v>314185729.23000002</v>
      </c>
      <c r="E83" s="203">
        <v>288450707.30000001</v>
      </c>
      <c r="F83" s="203">
        <v>240114274.91999999</v>
      </c>
      <c r="G83" s="203">
        <v>259799584.06999999</v>
      </c>
      <c r="H83" s="203">
        <v>267559038.59999999</v>
      </c>
      <c r="I83" s="203">
        <v>288894550.18000001</v>
      </c>
      <c r="J83" s="203">
        <v>257465107.56</v>
      </c>
      <c r="K83" s="203">
        <v>237065611</v>
      </c>
      <c r="L83" s="203">
        <v>216491724.16</v>
      </c>
      <c r="M83" s="203">
        <v>205904092.75</v>
      </c>
      <c r="N83" s="203">
        <v>155724884.93000001</v>
      </c>
      <c r="O83" s="203">
        <f t="shared" si="17"/>
        <v>3050231472.9799995</v>
      </c>
    </row>
    <row r="84" spans="1:15" s="220" customFormat="1" ht="15.75" hidden="1" customHeight="1" x14ac:dyDescent="0.2">
      <c r="A84" s="228"/>
      <c r="B84" s="228" t="s">
        <v>491</v>
      </c>
      <c r="C84" s="203"/>
      <c r="D84" s="203"/>
      <c r="E84" s="203"/>
      <c r="F84" s="203"/>
      <c r="G84" s="203"/>
      <c r="H84" s="203"/>
      <c r="I84" s="203"/>
      <c r="J84" s="203"/>
      <c r="K84" s="203"/>
      <c r="L84" s="203"/>
      <c r="M84" s="203"/>
      <c r="N84" s="203"/>
      <c r="O84" s="203">
        <f t="shared" si="17"/>
        <v>0</v>
      </c>
    </row>
    <row r="85" spans="1:15" s="220" customFormat="1" ht="12.75" customHeight="1" x14ac:dyDescent="0.2">
      <c r="A85" s="228"/>
      <c r="B85" s="228"/>
      <c r="C85" s="203"/>
      <c r="D85" s="203"/>
      <c r="E85" s="203"/>
      <c r="F85" s="203"/>
      <c r="G85" s="203"/>
      <c r="H85" s="203"/>
      <c r="I85" s="203"/>
      <c r="J85" s="203"/>
      <c r="K85" s="203"/>
      <c r="L85" s="203"/>
      <c r="M85" s="203"/>
      <c r="N85" s="203"/>
      <c r="O85" s="203"/>
    </row>
    <row r="86" spans="1:15" s="220" customFormat="1" ht="15.75" customHeight="1" x14ac:dyDescent="0.25">
      <c r="A86" s="216" t="s">
        <v>96</v>
      </c>
      <c r="B86" s="226"/>
      <c r="C86" s="227">
        <f t="shared" ref="C86:O86" si="18">SUM(C87)</f>
        <v>1212550</v>
      </c>
      <c r="D86" s="227">
        <f t="shared" si="18"/>
        <v>831850</v>
      </c>
      <c r="E86" s="227">
        <f t="shared" si="18"/>
        <v>866050</v>
      </c>
      <c r="F86" s="227">
        <f t="shared" si="18"/>
        <v>487350</v>
      </c>
      <c r="G86" s="227">
        <f t="shared" si="18"/>
        <v>797350</v>
      </c>
      <c r="H86" s="227">
        <f t="shared" si="18"/>
        <v>790000</v>
      </c>
      <c r="I86" s="227">
        <f t="shared" si="18"/>
        <v>720300</v>
      </c>
      <c r="J86" s="227">
        <f t="shared" si="18"/>
        <v>739900</v>
      </c>
      <c r="K86" s="227">
        <f t="shared" si="18"/>
        <v>655700</v>
      </c>
      <c r="L86" s="227">
        <f t="shared" si="18"/>
        <v>3428830</v>
      </c>
      <c r="M86" s="227">
        <f t="shared" si="18"/>
        <v>3825430</v>
      </c>
      <c r="N86" s="227">
        <f t="shared" si="18"/>
        <v>4113786</v>
      </c>
      <c r="O86" s="227">
        <f t="shared" si="18"/>
        <v>18469096</v>
      </c>
    </row>
    <row r="87" spans="1:15" s="220" customFormat="1" ht="15.75" customHeight="1" x14ac:dyDescent="0.2">
      <c r="A87" s="219"/>
      <c r="B87" s="220" t="s">
        <v>97</v>
      </c>
      <c r="C87" s="203">
        <v>1212550</v>
      </c>
      <c r="D87" s="212">
        <v>831850</v>
      </c>
      <c r="E87" s="212">
        <v>866050</v>
      </c>
      <c r="F87" s="212">
        <v>487350</v>
      </c>
      <c r="G87" s="203">
        <v>797350</v>
      </c>
      <c r="H87" s="203">
        <v>790000</v>
      </c>
      <c r="I87" s="212">
        <v>720300</v>
      </c>
      <c r="J87" s="203">
        <v>739900</v>
      </c>
      <c r="K87" s="203">
        <v>655700</v>
      </c>
      <c r="L87" s="212">
        <v>3428830</v>
      </c>
      <c r="M87" s="212">
        <v>3825430</v>
      </c>
      <c r="N87" s="212">
        <v>4113786</v>
      </c>
      <c r="O87" s="203">
        <f>SUM(C87:N87)</f>
        <v>18469096</v>
      </c>
    </row>
    <row r="88" spans="1:15" s="220" customFormat="1" ht="12.75" hidden="1" customHeight="1" x14ac:dyDescent="0.2">
      <c r="A88" s="228"/>
      <c r="B88" s="228"/>
      <c r="C88" s="203"/>
      <c r="D88" s="203"/>
      <c r="E88" s="203"/>
      <c r="F88" s="203"/>
      <c r="G88" s="203"/>
      <c r="H88" s="203"/>
      <c r="I88" s="203"/>
      <c r="J88" s="203"/>
      <c r="K88" s="203"/>
      <c r="L88" s="203"/>
      <c r="M88" s="203"/>
      <c r="N88" s="203"/>
      <c r="O88" s="203"/>
    </row>
    <row r="89" spans="1:15" s="220" customFormat="1" ht="15.75" hidden="1" customHeight="1" x14ac:dyDescent="0.25">
      <c r="A89" s="216" t="s">
        <v>844</v>
      </c>
      <c r="B89" s="226"/>
      <c r="C89" s="227">
        <f t="shared" ref="C89:O89" si="19">SUM(C90:C91)</f>
        <v>0</v>
      </c>
      <c r="D89" s="227">
        <f t="shared" si="19"/>
        <v>0</v>
      </c>
      <c r="E89" s="227">
        <f t="shared" si="19"/>
        <v>0</v>
      </c>
      <c r="F89" s="227">
        <f t="shared" si="19"/>
        <v>0</v>
      </c>
      <c r="G89" s="227">
        <f t="shared" si="19"/>
        <v>0</v>
      </c>
      <c r="H89" s="227">
        <f t="shared" si="19"/>
        <v>0</v>
      </c>
      <c r="I89" s="227">
        <f t="shared" si="19"/>
        <v>0</v>
      </c>
      <c r="J89" s="227">
        <f t="shared" si="19"/>
        <v>0</v>
      </c>
      <c r="K89" s="227">
        <f t="shared" si="19"/>
        <v>0</v>
      </c>
      <c r="L89" s="227">
        <f t="shared" si="19"/>
        <v>0</v>
      </c>
      <c r="M89" s="227">
        <f t="shared" si="19"/>
        <v>0</v>
      </c>
      <c r="N89" s="227">
        <f t="shared" si="19"/>
        <v>0</v>
      </c>
      <c r="O89" s="227">
        <f t="shared" si="19"/>
        <v>0</v>
      </c>
    </row>
    <row r="90" spans="1:15" s="220" customFormat="1" ht="15.75" hidden="1" customHeight="1" x14ac:dyDescent="0.2">
      <c r="A90" s="219">
        <v>1</v>
      </c>
      <c r="B90" s="220" t="s">
        <v>1056</v>
      </c>
      <c r="C90" s="203">
        <v>0</v>
      </c>
      <c r="D90" s="203">
        <v>0</v>
      </c>
      <c r="E90" s="203">
        <v>0</v>
      </c>
      <c r="F90" s="203">
        <v>0</v>
      </c>
      <c r="G90" s="203">
        <v>0</v>
      </c>
      <c r="H90" s="203"/>
      <c r="I90" s="203"/>
      <c r="J90" s="203"/>
      <c r="K90" s="203"/>
      <c r="L90" s="203"/>
      <c r="M90" s="203"/>
      <c r="N90" s="203"/>
      <c r="O90" s="203">
        <f t="shared" ref="O90:O91" si="20">SUM(C90:N90)</f>
        <v>0</v>
      </c>
    </row>
    <row r="91" spans="1:15" s="220" customFormat="1" ht="15.75" hidden="1" customHeight="1" x14ac:dyDescent="0.2">
      <c r="A91" s="219">
        <v>2</v>
      </c>
      <c r="B91" s="220" t="s">
        <v>845</v>
      </c>
      <c r="C91" s="203"/>
      <c r="D91" s="203"/>
      <c r="E91" s="203"/>
      <c r="F91" s="203"/>
      <c r="G91" s="203"/>
      <c r="H91" s="203"/>
      <c r="I91" s="203"/>
      <c r="J91" s="203"/>
      <c r="K91" s="203"/>
      <c r="L91" s="203"/>
      <c r="M91" s="203"/>
      <c r="N91" s="203"/>
      <c r="O91" s="203">
        <f t="shared" si="20"/>
        <v>0</v>
      </c>
    </row>
    <row r="92" spans="1:15" s="220" customFormat="1" ht="15.75" customHeight="1" x14ac:dyDescent="0.2">
      <c r="A92" s="228"/>
      <c r="B92" s="228"/>
      <c r="C92" s="203"/>
      <c r="D92" s="203"/>
      <c r="E92" s="203"/>
      <c r="F92" s="203"/>
      <c r="G92" s="203"/>
      <c r="H92" s="203"/>
      <c r="I92" s="203"/>
      <c r="J92" s="203"/>
      <c r="K92" s="203"/>
      <c r="L92" s="203"/>
      <c r="M92" s="203"/>
      <c r="N92" s="203"/>
      <c r="O92" s="203"/>
    </row>
    <row r="93" spans="1:15" s="220" customFormat="1" ht="15.75" customHeight="1" x14ac:dyDescent="0.25">
      <c r="A93" s="216" t="s">
        <v>846</v>
      </c>
      <c r="B93" s="226"/>
      <c r="C93" s="227">
        <f t="shared" ref="C93:O93" si="21">SUM(C94:C95)</f>
        <v>1075265142.4300001</v>
      </c>
      <c r="D93" s="227">
        <f t="shared" si="21"/>
        <v>523876098.72000003</v>
      </c>
      <c r="E93" s="227">
        <f t="shared" si="21"/>
        <v>385188467.56</v>
      </c>
      <c r="F93" s="227">
        <f t="shared" si="21"/>
        <v>353317343.06</v>
      </c>
      <c r="G93" s="227">
        <f t="shared" si="21"/>
        <v>728703558</v>
      </c>
      <c r="H93" s="227">
        <f t="shared" si="21"/>
        <v>685616620.13999999</v>
      </c>
      <c r="I93" s="227">
        <f t="shared" si="21"/>
        <v>936578003.75999999</v>
      </c>
      <c r="J93" s="227">
        <f t="shared" si="21"/>
        <v>774950286.50999999</v>
      </c>
      <c r="K93" s="227">
        <f t="shared" si="21"/>
        <v>2182806647.0100002</v>
      </c>
      <c r="L93" s="227">
        <f t="shared" si="21"/>
        <v>514367959.48000002</v>
      </c>
      <c r="M93" s="227">
        <f t="shared" si="21"/>
        <v>821299020.64999998</v>
      </c>
      <c r="N93" s="227">
        <f t="shared" si="21"/>
        <v>455312261.94</v>
      </c>
      <c r="O93" s="227">
        <f t="shared" si="21"/>
        <v>9437281409.2600002</v>
      </c>
    </row>
    <row r="94" spans="1:15" s="220" customFormat="1" ht="15.75" hidden="1" customHeight="1" x14ac:dyDescent="0.2">
      <c r="A94" s="219">
        <v>1</v>
      </c>
      <c r="B94" s="228" t="s">
        <v>1057</v>
      </c>
      <c r="C94" s="203"/>
      <c r="D94" s="203"/>
      <c r="E94" s="203"/>
      <c r="F94" s="203"/>
      <c r="G94" s="203"/>
      <c r="H94" s="203"/>
      <c r="I94" s="203"/>
      <c r="J94" s="203"/>
      <c r="K94" s="203"/>
      <c r="L94" s="203"/>
      <c r="M94" s="203"/>
      <c r="N94" s="203"/>
      <c r="O94" s="203">
        <f t="shared" ref="O94:O95" si="22">SUM(C94:N94)</f>
        <v>0</v>
      </c>
    </row>
    <row r="95" spans="1:15" s="220" customFormat="1" ht="15.75" customHeight="1" x14ac:dyDescent="0.2">
      <c r="A95" s="219"/>
      <c r="B95" s="228" t="s">
        <v>37</v>
      </c>
      <c r="C95" s="203">
        <v>1075265142.4300001</v>
      </c>
      <c r="D95" s="203">
        <v>523876098.72000003</v>
      </c>
      <c r="E95" s="203">
        <v>385188467.56</v>
      </c>
      <c r="F95" s="203">
        <v>353317343.06</v>
      </c>
      <c r="G95" s="203">
        <v>728703558</v>
      </c>
      <c r="H95" s="203">
        <v>685616620.13999999</v>
      </c>
      <c r="I95" s="203">
        <v>936578003.75999999</v>
      </c>
      <c r="J95" s="203">
        <v>774950286.50999999</v>
      </c>
      <c r="K95" s="203">
        <v>2182806647.0100002</v>
      </c>
      <c r="L95" s="203">
        <v>514367959.48000002</v>
      </c>
      <c r="M95" s="203">
        <v>821299020.64999998</v>
      </c>
      <c r="N95" s="203">
        <v>455312261.94</v>
      </c>
      <c r="O95" s="203">
        <f t="shared" si="22"/>
        <v>9437281409.2600002</v>
      </c>
    </row>
    <row r="96" spans="1:15" s="220" customFormat="1" ht="15.75" customHeight="1" x14ac:dyDescent="0.2">
      <c r="A96" s="228"/>
      <c r="B96" s="228"/>
      <c r="C96" s="203"/>
      <c r="D96" s="203"/>
      <c r="E96" s="203"/>
      <c r="F96" s="203"/>
      <c r="G96" s="203"/>
      <c r="H96" s="203"/>
      <c r="I96" s="203"/>
      <c r="J96" s="203"/>
      <c r="K96" s="203"/>
      <c r="L96" s="203"/>
      <c r="M96" s="203"/>
      <c r="N96" s="203"/>
      <c r="O96" s="203"/>
    </row>
    <row r="97" spans="1:15" s="220" customFormat="1" ht="15.75" customHeight="1" x14ac:dyDescent="0.25">
      <c r="A97" s="216" t="s">
        <v>102</v>
      </c>
      <c r="B97" s="226"/>
      <c r="C97" s="227">
        <f>SUM(C98:C103)-C99</f>
        <v>84468.5</v>
      </c>
      <c r="D97" s="227">
        <f t="shared" ref="D97:O97" si="23">SUM(D98:D103)-D99</f>
        <v>98435</v>
      </c>
      <c r="E97" s="227">
        <f t="shared" si="23"/>
        <v>126649.25</v>
      </c>
      <c r="F97" s="227">
        <f t="shared" si="23"/>
        <v>71665.540000021458</v>
      </c>
      <c r="G97" s="227">
        <f t="shared" si="23"/>
        <v>70535</v>
      </c>
      <c r="H97" s="227">
        <f t="shared" si="23"/>
        <v>65085.319999992847</v>
      </c>
      <c r="I97" s="227">
        <f t="shared" si="23"/>
        <v>628341.35</v>
      </c>
      <c r="J97" s="227">
        <f t="shared" si="23"/>
        <v>276195.49</v>
      </c>
      <c r="K97" s="227">
        <f t="shared" si="23"/>
        <v>349780.52</v>
      </c>
      <c r="L97" s="227">
        <f t="shared" si="23"/>
        <v>132773.45000000001</v>
      </c>
      <c r="M97" s="227">
        <f t="shared" si="23"/>
        <v>89744.69</v>
      </c>
      <c r="N97" s="227">
        <f t="shared" si="23"/>
        <v>788522.45</v>
      </c>
      <c r="O97" s="227">
        <f t="shared" si="23"/>
        <v>2782196.5599999428</v>
      </c>
    </row>
    <row r="98" spans="1:15" s="220" customFormat="1" ht="15.75" hidden="1" customHeight="1" x14ac:dyDescent="0.25">
      <c r="A98" s="240">
        <v>1</v>
      </c>
      <c r="B98" s="220" t="s">
        <v>1110</v>
      </c>
      <c r="C98" s="241"/>
      <c r="D98" s="241"/>
      <c r="E98" s="241"/>
      <c r="F98" s="241"/>
      <c r="G98" s="241"/>
      <c r="H98" s="241"/>
      <c r="I98" s="241"/>
      <c r="J98" s="241"/>
      <c r="K98" s="241"/>
      <c r="L98" s="241"/>
      <c r="M98" s="241"/>
      <c r="N98" s="241"/>
      <c r="O98" s="203">
        <f t="shared" ref="O98:O103" si="24">SUM(C98:N98)</f>
        <v>0</v>
      </c>
    </row>
    <row r="99" spans="1:15" s="220" customFormat="1" ht="15.75" hidden="1" customHeight="1" x14ac:dyDescent="0.2">
      <c r="A99" s="219">
        <v>1</v>
      </c>
      <c r="B99" s="220" t="s">
        <v>103</v>
      </c>
      <c r="C99" s="203">
        <v>1006603927.531</v>
      </c>
      <c r="D99" s="203">
        <v>632914366.08000004</v>
      </c>
      <c r="E99" s="203">
        <v>425557624.69</v>
      </c>
      <c r="F99" s="203">
        <v>279742705.81099999</v>
      </c>
      <c r="G99" s="203">
        <v>198628195.502</v>
      </c>
      <c r="H99" s="203">
        <v>216781583.93000001</v>
      </c>
      <c r="I99" s="203"/>
      <c r="J99" s="203"/>
      <c r="K99" s="203"/>
      <c r="L99" s="203"/>
      <c r="M99" s="203"/>
      <c r="N99" s="203"/>
      <c r="O99" s="203">
        <f t="shared" si="24"/>
        <v>2760228403.5439997</v>
      </c>
    </row>
    <row r="100" spans="1:15" s="220" customFormat="1" ht="15.75" hidden="1" customHeight="1" x14ac:dyDescent="0.25">
      <c r="A100" s="240">
        <v>3</v>
      </c>
      <c r="B100" s="220" t="s">
        <v>104</v>
      </c>
      <c r="C100" s="241"/>
      <c r="D100" s="241"/>
      <c r="E100" s="241"/>
      <c r="F100" s="241"/>
      <c r="G100" s="241"/>
      <c r="H100" s="241"/>
      <c r="I100" s="241"/>
      <c r="J100" s="241"/>
      <c r="K100" s="241"/>
      <c r="L100" s="241"/>
      <c r="M100" s="241"/>
      <c r="N100" s="241"/>
      <c r="O100" s="203">
        <f t="shared" si="24"/>
        <v>0</v>
      </c>
    </row>
    <row r="101" spans="1:15" s="220" customFormat="1" ht="15.75" customHeight="1" x14ac:dyDescent="0.2">
      <c r="A101" s="219"/>
      <c r="B101" s="220" t="s">
        <v>105</v>
      </c>
      <c r="C101" s="203">
        <v>84468.5</v>
      </c>
      <c r="D101" s="203">
        <v>98435</v>
      </c>
      <c r="E101" s="203">
        <v>126649.25</v>
      </c>
      <c r="F101" s="203">
        <v>71665.539999999994</v>
      </c>
      <c r="G101" s="203">
        <v>70535</v>
      </c>
      <c r="H101" s="203">
        <v>65085.32</v>
      </c>
      <c r="I101" s="203">
        <v>628341.35</v>
      </c>
      <c r="J101" s="203">
        <v>276195.49</v>
      </c>
      <c r="K101" s="203">
        <v>349780.52</v>
      </c>
      <c r="L101" s="203">
        <v>132773.45000000001</v>
      </c>
      <c r="M101" s="203">
        <v>89744.69</v>
      </c>
      <c r="N101" s="203">
        <v>788522.45</v>
      </c>
      <c r="O101" s="203">
        <f t="shared" si="24"/>
        <v>2782196.5599999996</v>
      </c>
    </row>
    <row r="102" spans="1:15" s="220" customFormat="1" ht="15.75" hidden="1" customHeight="1" x14ac:dyDescent="0.2">
      <c r="A102" s="219">
        <v>2</v>
      </c>
      <c r="B102" s="220" t="s">
        <v>848</v>
      </c>
      <c r="C102" s="203"/>
      <c r="D102" s="203"/>
      <c r="E102" s="203"/>
      <c r="F102" s="203"/>
      <c r="G102" s="203"/>
      <c r="H102" s="203"/>
      <c r="I102" s="203"/>
      <c r="J102" s="203"/>
      <c r="K102" s="203"/>
      <c r="L102" s="203"/>
      <c r="M102" s="203"/>
      <c r="N102" s="203"/>
      <c r="O102" s="203">
        <f t="shared" si="24"/>
        <v>0</v>
      </c>
    </row>
    <row r="103" spans="1:15" s="220" customFormat="1" ht="15.75" hidden="1" customHeight="1" x14ac:dyDescent="0.2">
      <c r="A103" s="219">
        <v>3</v>
      </c>
      <c r="B103" s="220" t="s">
        <v>1058</v>
      </c>
      <c r="C103" s="203"/>
      <c r="D103" s="203"/>
      <c r="E103" s="203"/>
      <c r="F103" s="203"/>
      <c r="G103" s="203"/>
      <c r="H103" s="203"/>
      <c r="I103" s="203"/>
      <c r="J103" s="203"/>
      <c r="K103" s="203"/>
      <c r="L103" s="203"/>
      <c r="M103" s="203"/>
      <c r="N103" s="203"/>
      <c r="O103" s="203">
        <f t="shared" si="24"/>
        <v>0</v>
      </c>
    </row>
    <row r="104" spans="1:15" s="220" customFormat="1" ht="12.75" hidden="1" customHeight="1" x14ac:dyDescent="0.2">
      <c r="A104" s="228"/>
      <c r="B104" s="228"/>
      <c r="C104" s="203"/>
      <c r="D104" s="203"/>
      <c r="E104" s="203"/>
      <c r="F104" s="203"/>
      <c r="G104" s="203"/>
      <c r="H104" s="203"/>
      <c r="I104" s="203"/>
      <c r="J104" s="203"/>
      <c r="K104" s="203"/>
      <c r="L104" s="203"/>
      <c r="M104" s="203"/>
      <c r="N104" s="203"/>
      <c r="O104" s="203"/>
    </row>
    <row r="105" spans="1:15" s="220" customFormat="1" ht="12.75" customHeight="1" x14ac:dyDescent="0.2">
      <c r="A105" s="228"/>
      <c r="B105" s="228"/>
      <c r="C105" s="203"/>
      <c r="D105" s="203"/>
      <c r="E105" s="203"/>
      <c r="F105" s="203"/>
      <c r="G105" s="203"/>
      <c r="H105" s="203"/>
      <c r="I105" s="203"/>
      <c r="J105" s="203"/>
      <c r="K105" s="203"/>
      <c r="L105" s="203"/>
      <c r="M105" s="203"/>
      <c r="N105" s="203"/>
      <c r="O105" s="203"/>
    </row>
    <row r="106" spans="1:15" s="220" customFormat="1" ht="15.75" customHeight="1" x14ac:dyDescent="0.25">
      <c r="A106" s="216" t="s">
        <v>107</v>
      </c>
      <c r="B106" s="226"/>
      <c r="C106" s="227">
        <f t="shared" ref="C106:O106" si="25">SUM(C107:C114)</f>
        <v>1388958792.49</v>
      </c>
      <c r="D106" s="227">
        <f t="shared" si="25"/>
        <v>1307987993.27</v>
      </c>
      <c r="E106" s="227">
        <f t="shared" si="25"/>
        <v>1639388057.0999999</v>
      </c>
      <c r="F106" s="227">
        <f t="shared" si="25"/>
        <v>1216339399.1700001</v>
      </c>
      <c r="G106" s="227">
        <f t="shared" si="25"/>
        <v>1639716329.77</v>
      </c>
      <c r="H106" s="227">
        <f t="shared" si="25"/>
        <v>1542436405.96</v>
      </c>
      <c r="I106" s="227">
        <f t="shared" si="25"/>
        <v>1529726762.8299999</v>
      </c>
      <c r="J106" s="227">
        <f t="shared" si="25"/>
        <v>1743426655.78</v>
      </c>
      <c r="K106" s="227">
        <f t="shared" si="25"/>
        <v>1761094650.5699999</v>
      </c>
      <c r="L106" s="227">
        <f t="shared" si="25"/>
        <v>1669670928.46</v>
      </c>
      <c r="M106" s="227">
        <f t="shared" si="25"/>
        <v>1485541958.28</v>
      </c>
      <c r="N106" s="227">
        <f t="shared" si="25"/>
        <v>1268627097.79</v>
      </c>
      <c r="O106" s="227">
        <f t="shared" si="25"/>
        <v>18192915031.470001</v>
      </c>
    </row>
    <row r="107" spans="1:15" s="220" customFormat="1" ht="15.75" hidden="1" customHeight="1" x14ac:dyDescent="0.2">
      <c r="A107" s="219">
        <v>1</v>
      </c>
      <c r="B107" s="220" t="s">
        <v>109</v>
      </c>
      <c r="C107" s="203"/>
      <c r="D107" s="203"/>
      <c r="E107" s="203"/>
      <c r="F107" s="203"/>
      <c r="G107" s="203"/>
      <c r="H107" s="203"/>
      <c r="I107" s="203"/>
      <c r="J107" s="203"/>
      <c r="K107" s="203"/>
      <c r="L107" s="203"/>
      <c r="M107" s="203"/>
      <c r="N107" s="203"/>
      <c r="O107" s="203">
        <f t="shared" ref="O107:O114" si="26">SUM(C107:N107)</f>
        <v>0</v>
      </c>
    </row>
    <row r="108" spans="1:15" s="220" customFormat="1" ht="15.75" customHeight="1" x14ac:dyDescent="0.2">
      <c r="A108" s="219"/>
      <c r="B108" s="220" t="s">
        <v>110</v>
      </c>
      <c r="C108" s="203">
        <v>509428316.67000002</v>
      </c>
      <c r="D108" s="203">
        <v>443099204.56999999</v>
      </c>
      <c r="E108" s="203">
        <v>569985895.85000002</v>
      </c>
      <c r="F108" s="203">
        <v>454830212.35000002</v>
      </c>
      <c r="G108" s="203">
        <v>555302078.73000002</v>
      </c>
      <c r="H108" s="203">
        <v>512685597.86000001</v>
      </c>
      <c r="I108" s="203">
        <v>552203054.50999999</v>
      </c>
      <c r="J108" s="203">
        <v>551089104.25999999</v>
      </c>
      <c r="K108" s="203">
        <v>559595093.51999998</v>
      </c>
      <c r="L108" s="203">
        <v>533285266.30000001</v>
      </c>
      <c r="M108" s="203">
        <v>480758582.63999999</v>
      </c>
      <c r="N108" s="203">
        <v>423186737.69999999</v>
      </c>
      <c r="O108" s="203">
        <f t="shared" si="26"/>
        <v>6145449144.96</v>
      </c>
    </row>
    <row r="109" spans="1:15" s="220" customFormat="1" ht="15.75" hidden="1" customHeight="1" x14ac:dyDescent="0.2">
      <c r="A109" s="219"/>
      <c r="B109" s="220" t="s">
        <v>762</v>
      </c>
      <c r="C109" s="203"/>
      <c r="D109" s="203"/>
      <c r="E109" s="203"/>
      <c r="F109" s="203"/>
      <c r="G109" s="203"/>
      <c r="H109" s="203"/>
      <c r="I109" s="203"/>
      <c r="J109" s="203"/>
      <c r="K109" s="203"/>
      <c r="L109" s="203"/>
      <c r="M109" s="203"/>
      <c r="N109" s="203"/>
      <c r="O109" s="203">
        <f t="shared" si="26"/>
        <v>0</v>
      </c>
    </row>
    <row r="110" spans="1:15" s="220" customFormat="1" ht="15.75" customHeight="1" x14ac:dyDescent="0.2">
      <c r="A110" s="219"/>
      <c r="B110" s="220" t="s">
        <v>111</v>
      </c>
      <c r="C110" s="211">
        <v>797982239.40999997</v>
      </c>
      <c r="D110" s="211">
        <v>801478213.05999994</v>
      </c>
      <c r="E110" s="211">
        <v>1007227501.25</v>
      </c>
      <c r="F110" s="211">
        <v>717736593.82000005</v>
      </c>
      <c r="G110" s="211">
        <v>1026936822.04</v>
      </c>
      <c r="H110" s="211">
        <v>972817734.10000002</v>
      </c>
      <c r="I110" s="211">
        <v>919978752.32000005</v>
      </c>
      <c r="J110" s="211">
        <v>1133049586.52</v>
      </c>
      <c r="K110" s="211">
        <v>1146481520.05</v>
      </c>
      <c r="L110" s="211">
        <v>1089400247.1600001</v>
      </c>
      <c r="M110" s="211">
        <v>960192093.63999999</v>
      </c>
      <c r="N110" s="211">
        <v>811067347.09000003</v>
      </c>
      <c r="O110" s="203">
        <f t="shared" si="26"/>
        <v>11384348650.460001</v>
      </c>
    </row>
    <row r="111" spans="1:15" s="220" customFormat="1" ht="15.75" customHeight="1" x14ac:dyDescent="0.2">
      <c r="A111" s="219"/>
      <c r="B111" s="220" t="s">
        <v>112</v>
      </c>
      <c r="C111" s="203">
        <v>80011146</v>
      </c>
      <c r="D111" s="203">
        <v>60821697</v>
      </c>
      <c r="E111" s="212">
        <v>62174660</v>
      </c>
      <c r="F111" s="212">
        <v>43772593</v>
      </c>
      <c r="G111" s="203">
        <v>57477429</v>
      </c>
      <c r="H111" s="203">
        <v>56933074</v>
      </c>
      <c r="I111" s="203">
        <v>57544956</v>
      </c>
      <c r="J111" s="203">
        <v>59287965</v>
      </c>
      <c r="K111" s="203">
        <v>55018037</v>
      </c>
      <c r="L111" s="203">
        <v>46985415</v>
      </c>
      <c r="M111" s="203">
        <v>44591282</v>
      </c>
      <c r="N111" s="203">
        <v>34373013</v>
      </c>
      <c r="O111" s="203">
        <f t="shared" si="26"/>
        <v>658991267</v>
      </c>
    </row>
    <row r="112" spans="1:15" s="220" customFormat="1" ht="15.75" hidden="1" customHeight="1" x14ac:dyDescent="0.2">
      <c r="A112" s="219"/>
      <c r="B112" s="220" t="s">
        <v>498</v>
      </c>
      <c r="C112" s="203"/>
      <c r="D112" s="203"/>
      <c r="E112" s="203"/>
      <c r="F112" s="203"/>
      <c r="G112" s="203"/>
      <c r="H112" s="203"/>
      <c r="I112" s="203"/>
      <c r="J112" s="203"/>
      <c r="K112" s="203"/>
      <c r="L112" s="203"/>
      <c r="M112" s="203"/>
      <c r="N112" s="203"/>
      <c r="O112" s="203">
        <f t="shared" si="26"/>
        <v>0</v>
      </c>
    </row>
    <row r="113" spans="1:15" s="220" customFormat="1" ht="15.75" customHeight="1" x14ac:dyDescent="0.2">
      <c r="A113" s="219"/>
      <c r="B113" s="220" t="s">
        <v>849</v>
      </c>
      <c r="C113" s="203">
        <v>1537090.41</v>
      </c>
      <c r="D113" s="203">
        <v>2588878.64</v>
      </c>
      <c r="E113" s="203"/>
      <c r="F113" s="203"/>
      <c r="G113" s="203"/>
      <c r="H113" s="203"/>
      <c r="I113" s="211"/>
      <c r="J113" s="203"/>
      <c r="K113" s="203"/>
      <c r="L113" s="203"/>
      <c r="M113" s="203"/>
      <c r="N113" s="203"/>
      <c r="O113" s="203">
        <f t="shared" si="26"/>
        <v>4125969.05</v>
      </c>
    </row>
    <row r="114" spans="1:15" s="220" customFormat="1" ht="15.75" hidden="1" customHeight="1" x14ac:dyDescent="0.2">
      <c r="A114" s="219">
        <v>9</v>
      </c>
      <c r="B114" s="220" t="s">
        <v>850</v>
      </c>
      <c r="C114" s="203"/>
      <c r="D114" s="203"/>
      <c r="E114" s="203"/>
      <c r="F114" s="203"/>
      <c r="G114" s="203"/>
      <c r="H114" s="203"/>
      <c r="I114" s="211"/>
      <c r="J114" s="203"/>
      <c r="K114" s="203"/>
      <c r="L114" s="203"/>
      <c r="M114" s="203"/>
      <c r="N114" s="203"/>
      <c r="O114" s="203">
        <f t="shared" si="26"/>
        <v>0</v>
      </c>
    </row>
    <row r="115" spans="1:15" s="220" customFormat="1" ht="15.75" customHeight="1" x14ac:dyDescent="0.2">
      <c r="A115" s="228"/>
      <c r="B115" s="228"/>
      <c r="C115" s="203"/>
      <c r="D115" s="203"/>
      <c r="E115" s="203"/>
      <c r="F115" s="203"/>
      <c r="G115" s="203"/>
      <c r="H115" s="203"/>
      <c r="I115" s="203"/>
      <c r="J115" s="203"/>
      <c r="K115" s="203"/>
      <c r="L115" s="203"/>
      <c r="M115" s="203"/>
      <c r="N115" s="203"/>
      <c r="O115" s="203"/>
    </row>
    <row r="116" spans="1:15" s="220" customFormat="1" ht="15.75" customHeight="1" x14ac:dyDescent="0.25">
      <c r="A116" s="216" t="s">
        <v>113</v>
      </c>
      <c r="B116" s="226"/>
      <c r="C116" s="227">
        <f t="shared" ref="C116:O116" si="27">SUM(C117:C122)</f>
        <v>226352766.61000001</v>
      </c>
      <c r="D116" s="227">
        <f t="shared" si="27"/>
        <v>185125423.66</v>
      </c>
      <c r="E116" s="227">
        <f t="shared" si="27"/>
        <v>161708890.69</v>
      </c>
      <c r="F116" s="227">
        <f t="shared" si="27"/>
        <v>95938879.63000001</v>
      </c>
      <c r="G116" s="227">
        <f t="shared" si="27"/>
        <v>94272881.900000006</v>
      </c>
      <c r="H116" s="227">
        <f t="shared" si="27"/>
        <v>133301154.02</v>
      </c>
      <c r="I116" s="227">
        <f t="shared" si="27"/>
        <v>170058681.41</v>
      </c>
      <c r="J116" s="227">
        <f t="shared" si="27"/>
        <v>173524025.38</v>
      </c>
      <c r="K116" s="227">
        <f t="shared" si="27"/>
        <v>119845832.76000001</v>
      </c>
      <c r="L116" s="227">
        <f t="shared" si="27"/>
        <v>87971708.530000001</v>
      </c>
      <c r="M116" s="227">
        <f t="shared" si="27"/>
        <v>88939831.519999996</v>
      </c>
      <c r="N116" s="227">
        <f t="shared" si="27"/>
        <v>170821408.59</v>
      </c>
      <c r="O116" s="227">
        <f t="shared" si="27"/>
        <v>1707861484.6999998</v>
      </c>
    </row>
    <row r="117" spans="1:15" s="220" customFormat="1" ht="15.75" hidden="1" customHeight="1" x14ac:dyDescent="0.2">
      <c r="A117" s="259">
        <v>1</v>
      </c>
      <c r="B117" s="228" t="s">
        <v>763</v>
      </c>
      <c r="C117" s="203"/>
      <c r="D117" s="203"/>
      <c r="E117" s="203"/>
      <c r="F117" s="203"/>
      <c r="G117" s="203"/>
      <c r="H117" s="203"/>
      <c r="I117" s="203"/>
      <c r="J117" s="203"/>
      <c r="K117" s="203"/>
      <c r="L117" s="203"/>
      <c r="M117" s="203"/>
      <c r="N117" s="203"/>
      <c r="O117" s="203">
        <f t="shared" ref="O117:O122" si="28">SUM(C117:N117)</f>
        <v>0</v>
      </c>
    </row>
    <row r="118" spans="1:15" s="220" customFormat="1" ht="15.75" hidden="1" customHeight="1" x14ac:dyDescent="0.2">
      <c r="A118" s="226">
        <v>2</v>
      </c>
      <c r="B118" s="228" t="s">
        <v>114</v>
      </c>
      <c r="C118" s="206"/>
      <c r="D118" s="206"/>
      <c r="E118" s="206"/>
      <c r="F118" s="206"/>
      <c r="G118" s="206"/>
      <c r="H118" s="206"/>
      <c r="I118" s="206"/>
      <c r="J118" s="206"/>
      <c r="K118" s="206"/>
      <c r="L118" s="206"/>
      <c r="M118" s="203"/>
      <c r="N118" s="203"/>
      <c r="O118" s="203">
        <f t="shared" si="28"/>
        <v>0</v>
      </c>
    </row>
    <row r="119" spans="1:15" s="220" customFormat="1" ht="15.75" customHeight="1" x14ac:dyDescent="0.2">
      <c r="A119" s="228"/>
      <c r="B119" s="220" t="s">
        <v>115</v>
      </c>
      <c r="C119" s="203">
        <v>1295248.6100000001</v>
      </c>
      <c r="D119" s="203">
        <v>876031.92</v>
      </c>
      <c r="E119" s="203">
        <v>1272874.94</v>
      </c>
      <c r="F119" s="203">
        <v>1501687.73</v>
      </c>
      <c r="G119" s="203">
        <v>938173.03</v>
      </c>
      <c r="H119" s="203"/>
      <c r="I119" s="203"/>
      <c r="J119" s="203"/>
      <c r="K119" s="203"/>
      <c r="L119" s="203"/>
      <c r="M119" s="203"/>
      <c r="N119" s="203"/>
      <c r="O119" s="203">
        <f t="shared" si="28"/>
        <v>5884016.2300000004</v>
      </c>
    </row>
    <row r="120" spans="1:15" s="220" customFormat="1" ht="15.75" customHeight="1" x14ac:dyDescent="0.2">
      <c r="A120" s="228"/>
      <c r="B120" s="220" t="s">
        <v>851</v>
      </c>
      <c r="C120" s="203">
        <v>1684508</v>
      </c>
      <c r="D120" s="203">
        <v>1731986</v>
      </c>
      <c r="E120" s="203"/>
      <c r="F120" s="203"/>
      <c r="G120" s="203"/>
      <c r="H120" s="203"/>
      <c r="I120" s="203"/>
      <c r="J120" s="203"/>
      <c r="K120" s="203"/>
      <c r="L120" s="203"/>
      <c r="M120" s="203"/>
      <c r="N120" s="203"/>
      <c r="O120" s="203">
        <f t="shared" si="28"/>
        <v>3416494</v>
      </c>
    </row>
    <row r="121" spans="1:15" s="220" customFormat="1" ht="15.75" hidden="1" customHeight="1" x14ac:dyDescent="0.2">
      <c r="A121" s="228"/>
      <c r="B121" s="220" t="s">
        <v>852</v>
      </c>
      <c r="C121" s="203"/>
      <c r="D121" s="203"/>
      <c r="E121" s="203"/>
      <c r="F121" s="203"/>
      <c r="G121" s="203"/>
      <c r="H121" s="203"/>
      <c r="I121" s="203"/>
      <c r="J121" s="203"/>
      <c r="K121" s="203"/>
      <c r="L121" s="203"/>
      <c r="M121" s="203"/>
      <c r="N121" s="203"/>
      <c r="O121" s="203">
        <f t="shared" si="28"/>
        <v>0</v>
      </c>
    </row>
    <row r="122" spans="1:15" s="220" customFormat="1" ht="15.75" customHeight="1" x14ac:dyDescent="0.2">
      <c r="A122" s="228"/>
      <c r="B122" s="220" t="s">
        <v>41</v>
      </c>
      <c r="C122" s="211">
        <v>223373010</v>
      </c>
      <c r="D122" s="211">
        <v>182517405.74000001</v>
      </c>
      <c r="E122" s="211">
        <v>160436015.75</v>
      </c>
      <c r="F122" s="211">
        <v>94437191.900000006</v>
      </c>
      <c r="G122" s="211">
        <v>93334708.870000005</v>
      </c>
      <c r="H122" s="211">
        <v>133301154.02</v>
      </c>
      <c r="I122" s="211">
        <v>170058681.41</v>
      </c>
      <c r="J122" s="211">
        <v>173524025.38</v>
      </c>
      <c r="K122" s="211">
        <v>119845832.76000001</v>
      </c>
      <c r="L122" s="211">
        <v>87971708.530000001</v>
      </c>
      <c r="M122" s="211">
        <v>88939831.519999996</v>
      </c>
      <c r="N122" s="211">
        <v>170821408.59</v>
      </c>
      <c r="O122" s="203">
        <f t="shared" si="28"/>
        <v>1698560974.4699998</v>
      </c>
    </row>
    <row r="123" spans="1:15" s="220" customFormat="1" ht="15.75" customHeight="1" x14ac:dyDescent="0.2">
      <c r="A123" s="228"/>
      <c r="B123" s="228"/>
      <c r="C123" s="203"/>
      <c r="D123" s="203"/>
      <c r="E123" s="203"/>
      <c r="F123" s="203"/>
      <c r="G123" s="203"/>
      <c r="H123" s="203"/>
      <c r="I123" s="203"/>
      <c r="J123" s="203"/>
      <c r="K123" s="203"/>
      <c r="L123" s="203"/>
      <c r="M123" s="203"/>
      <c r="N123" s="203"/>
      <c r="O123" s="203"/>
    </row>
    <row r="124" spans="1:15" s="220" customFormat="1" ht="15.75" customHeight="1" x14ac:dyDescent="0.25">
      <c r="A124" s="216" t="s">
        <v>853</v>
      </c>
      <c r="B124" s="226"/>
      <c r="C124" s="227">
        <f t="shared" ref="C124:O124" si="29">C125</f>
        <v>25821866</v>
      </c>
      <c r="D124" s="227">
        <f t="shared" si="29"/>
        <v>16265145</v>
      </c>
      <c r="E124" s="227">
        <f t="shared" si="29"/>
        <v>13173400.42</v>
      </c>
      <c r="F124" s="227">
        <f t="shared" si="29"/>
        <v>14806047</v>
      </c>
      <c r="G124" s="227">
        <f t="shared" si="29"/>
        <v>0</v>
      </c>
      <c r="H124" s="227">
        <f t="shared" si="29"/>
        <v>0</v>
      </c>
      <c r="I124" s="227">
        <f t="shared" si="29"/>
        <v>0</v>
      </c>
      <c r="J124" s="227">
        <f t="shared" si="29"/>
        <v>0</v>
      </c>
      <c r="K124" s="227">
        <f t="shared" si="29"/>
        <v>0</v>
      </c>
      <c r="L124" s="227">
        <f t="shared" si="29"/>
        <v>0</v>
      </c>
      <c r="M124" s="227">
        <f t="shared" si="29"/>
        <v>0</v>
      </c>
      <c r="N124" s="227">
        <f t="shared" si="29"/>
        <v>0</v>
      </c>
      <c r="O124" s="227">
        <f t="shared" si="29"/>
        <v>70066458.420000002</v>
      </c>
    </row>
    <row r="125" spans="1:15" s="220" customFormat="1" ht="15.75" customHeight="1" x14ac:dyDescent="0.2">
      <c r="A125" s="228"/>
      <c r="B125" s="220" t="s">
        <v>854</v>
      </c>
      <c r="C125" s="203">
        <v>25821866</v>
      </c>
      <c r="D125" s="203">
        <v>16265145</v>
      </c>
      <c r="E125" s="203">
        <v>13173400.42</v>
      </c>
      <c r="F125" s="203">
        <v>14806047</v>
      </c>
      <c r="G125" s="203">
        <v>0</v>
      </c>
      <c r="H125" s="203">
        <v>0</v>
      </c>
      <c r="I125" s="203">
        <v>0</v>
      </c>
      <c r="J125" s="203">
        <v>0</v>
      </c>
      <c r="K125" s="203">
        <v>0</v>
      </c>
      <c r="L125" s="203">
        <v>0</v>
      </c>
      <c r="M125" s="203">
        <v>0</v>
      </c>
      <c r="N125" s="203">
        <v>0</v>
      </c>
      <c r="O125" s="203">
        <f>SUM(C125:N125)</f>
        <v>70066458.420000002</v>
      </c>
    </row>
    <row r="126" spans="1:15" s="220" customFormat="1" ht="15.75" customHeight="1" x14ac:dyDescent="0.2">
      <c r="A126" s="228"/>
      <c r="B126" s="228"/>
      <c r="C126" s="203"/>
      <c r="D126" s="203"/>
      <c r="E126" s="203"/>
      <c r="F126" s="203"/>
      <c r="G126" s="203"/>
      <c r="H126" s="203"/>
      <c r="I126" s="203"/>
      <c r="J126" s="203"/>
      <c r="K126" s="203"/>
      <c r="L126" s="203"/>
      <c r="M126" s="203"/>
      <c r="N126" s="203"/>
      <c r="O126" s="203"/>
    </row>
    <row r="127" spans="1:15" s="220" customFormat="1" ht="15.75" customHeight="1" x14ac:dyDescent="0.25">
      <c r="A127" s="216" t="s">
        <v>324</v>
      </c>
      <c r="B127" s="226"/>
      <c r="C127" s="227">
        <f t="shared" ref="C127:O127" si="30">SUM(C128:C135)</f>
        <v>1966233.1</v>
      </c>
      <c r="D127" s="227">
        <f t="shared" si="30"/>
        <v>15771700.870000001</v>
      </c>
      <c r="E127" s="227">
        <f t="shared" si="30"/>
        <v>1216472.6099999999</v>
      </c>
      <c r="F127" s="227">
        <f t="shared" si="30"/>
        <v>628006.68999999994</v>
      </c>
      <c r="G127" s="227">
        <f t="shared" si="30"/>
        <v>9002469.0899999999</v>
      </c>
      <c r="H127" s="227">
        <f t="shared" si="30"/>
        <v>19695379.879999999</v>
      </c>
      <c r="I127" s="227">
        <f t="shared" si="30"/>
        <v>985455.73</v>
      </c>
      <c r="J127" s="227">
        <f t="shared" si="30"/>
        <v>4806506.17</v>
      </c>
      <c r="K127" s="227">
        <f t="shared" si="30"/>
        <v>1054681.72</v>
      </c>
      <c r="L127" s="227">
        <f t="shared" si="30"/>
        <v>1197977.77</v>
      </c>
      <c r="M127" s="227">
        <f t="shared" si="30"/>
        <v>6458897.2600000007</v>
      </c>
      <c r="N127" s="227">
        <f t="shared" si="30"/>
        <v>1244805.24</v>
      </c>
      <c r="O127" s="227">
        <f t="shared" si="30"/>
        <v>64028586.13000001</v>
      </c>
    </row>
    <row r="128" spans="1:15" s="220" customFormat="1" ht="15.75" customHeight="1" x14ac:dyDescent="0.2">
      <c r="A128" s="219"/>
      <c r="B128" s="220" t="s">
        <v>855</v>
      </c>
      <c r="C128" s="203">
        <v>28500</v>
      </c>
      <c r="D128" s="203">
        <v>17500</v>
      </c>
      <c r="E128" s="203">
        <v>31000</v>
      </c>
      <c r="F128" s="203">
        <v>34500</v>
      </c>
      <c r="G128" s="203">
        <v>26500</v>
      </c>
      <c r="H128" s="203">
        <v>22500</v>
      </c>
      <c r="I128" s="203">
        <v>24000</v>
      </c>
      <c r="J128" s="203">
        <v>9500</v>
      </c>
      <c r="K128" s="203">
        <v>19500</v>
      </c>
      <c r="L128" s="203">
        <v>28500</v>
      </c>
      <c r="M128" s="203">
        <v>23000</v>
      </c>
      <c r="N128" s="203">
        <v>33500</v>
      </c>
      <c r="O128" s="203">
        <f t="shared" ref="O128:O135" si="31">SUM(C128:N128)</f>
        <v>298500</v>
      </c>
    </row>
    <row r="129" spans="1:15" s="220" customFormat="1" ht="15.75" hidden="1" customHeight="1" x14ac:dyDescent="0.2">
      <c r="A129" s="219"/>
      <c r="B129" s="220" t="s">
        <v>1059</v>
      </c>
      <c r="C129" s="206"/>
      <c r="D129" s="206"/>
      <c r="E129" s="206"/>
      <c r="F129" s="206"/>
      <c r="G129" s="206"/>
      <c r="H129" s="206"/>
      <c r="I129" s="206"/>
      <c r="J129" s="206"/>
      <c r="K129" s="206"/>
      <c r="L129" s="206"/>
      <c r="M129" s="203"/>
      <c r="N129" s="203">
        <v>0</v>
      </c>
      <c r="O129" s="203">
        <f t="shared" si="31"/>
        <v>0</v>
      </c>
    </row>
    <row r="130" spans="1:15" s="220" customFormat="1" ht="15.75" customHeight="1" x14ac:dyDescent="0.2">
      <c r="A130" s="219"/>
      <c r="B130" s="220" t="s">
        <v>856</v>
      </c>
      <c r="C130" s="203">
        <f>24637.5+336092.58</f>
        <v>360730.08</v>
      </c>
      <c r="D130" s="203">
        <f>2400967.84+79302.48</f>
        <v>2480270.3199999998</v>
      </c>
      <c r="E130" s="203">
        <f>422209.23+184844.98</f>
        <v>607054.21</v>
      </c>
      <c r="F130" s="203">
        <f>77551.03+53144.99</f>
        <v>130696.01999999999</v>
      </c>
      <c r="G130" s="203">
        <f>297360.88+227394.97</f>
        <v>524755.85</v>
      </c>
      <c r="H130" s="203">
        <f>339786.25+18113120.77</f>
        <v>18452907.02</v>
      </c>
      <c r="I130" s="203">
        <f>292416.46+117440.41</f>
        <v>409856.87</v>
      </c>
      <c r="J130" s="203">
        <f>495698.73+244901.65</f>
        <v>740600.38</v>
      </c>
      <c r="K130" s="203">
        <f>369252.14+357837.05</f>
        <v>727089.19</v>
      </c>
      <c r="L130" s="203">
        <f>545116+369227.06</f>
        <v>914343.06</v>
      </c>
      <c r="M130" s="203">
        <f>335731.24+5806885.57</f>
        <v>6142616.8100000005</v>
      </c>
      <c r="N130" s="203">
        <f>342288.33+357110.84</f>
        <v>699399.17</v>
      </c>
      <c r="O130" s="203">
        <f t="shared" si="31"/>
        <v>32190318.980000004</v>
      </c>
    </row>
    <row r="131" spans="1:15" s="220" customFormat="1" ht="15.75" customHeight="1" x14ac:dyDescent="0.2">
      <c r="A131" s="219"/>
      <c r="B131" s="220" t="s">
        <v>857</v>
      </c>
      <c r="C131" s="203">
        <v>328513.76</v>
      </c>
      <c r="D131" s="203">
        <v>366722.25</v>
      </c>
      <c r="E131" s="203"/>
      <c r="F131" s="203"/>
      <c r="G131" s="203"/>
      <c r="H131" s="203"/>
      <c r="I131" s="203"/>
      <c r="J131" s="203"/>
      <c r="K131" s="203"/>
      <c r="L131" s="203"/>
      <c r="M131" s="203"/>
      <c r="N131" s="203"/>
      <c r="O131" s="203">
        <f t="shared" si="31"/>
        <v>695236.01</v>
      </c>
    </row>
    <row r="132" spans="1:15" s="220" customFormat="1" ht="15.75" hidden="1" customHeight="1" x14ac:dyDescent="0.2">
      <c r="A132" s="219"/>
      <c r="B132" s="220" t="s">
        <v>858</v>
      </c>
      <c r="C132" s="203"/>
      <c r="D132" s="203"/>
      <c r="E132" s="203"/>
      <c r="F132" s="203"/>
      <c r="G132" s="203"/>
      <c r="H132" s="203"/>
      <c r="I132" s="203"/>
      <c r="J132" s="203"/>
      <c r="K132" s="203"/>
      <c r="L132" s="203"/>
      <c r="M132" s="203"/>
      <c r="N132" s="203"/>
      <c r="O132" s="203">
        <f t="shared" si="31"/>
        <v>0</v>
      </c>
    </row>
    <row r="133" spans="1:15" s="220" customFormat="1" ht="15.75" customHeight="1" x14ac:dyDescent="0.2">
      <c r="A133" s="219"/>
      <c r="B133" s="220" t="s">
        <v>859</v>
      </c>
      <c r="C133" s="203">
        <v>300</v>
      </c>
      <c r="D133" s="203">
        <v>150</v>
      </c>
      <c r="E133" s="203">
        <f>300+1686.4</f>
        <v>1986.4</v>
      </c>
      <c r="F133" s="203">
        <v>76200</v>
      </c>
      <c r="G133" s="203">
        <v>155285.5</v>
      </c>
      <c r="H133" s="203">
        <v>135450</v>
      </c>
      <c r="I133" s="211">
        <v>113367.11</v>
      </c>
      <c r="J133" s="203"/>
      <c r="K133" s="203"/>
      <c r="L133" s="203"/>
      <c r="M133" s="203"/>
      <c r="N133" s="203"/>
      <c r="O133" s="203">
        <f t="shared" si="31"/>
        <v>482739.01</v>
      </c>
    </row>
    <row r="134" spans="1:15" s="220" customFormat="1" ht="15.75" hidden="1" customHeight="1" x14ac:dyDescent="0.2">
      <c r="A134" s="219"/>
      <c r="B134" s="220" t="s">
        <v>512</v>
      </c>
      <c r="C134" s="203"/>
      <c r="D134" s="203"/>
      <c r="E134" s="203"/>
      <c r="F134" s="203"/>
      <c r="G134" s="203"/>
      <c r="H134" s="203"/>
      <c r="I134" s="203"/>
      <c r="J134" s="203"/>
      <c r="K134" s="203"/>
      <c r="L134" s="203"/>
      <c r="M134" s="203"/>
      <c r="N134" s="203"/>
      <c r="O134" s="203">
        <f t="shared" si="31"/>
        <v>0</v>
      </c>
    </row>
    <row r="135" spans="1:15" s="220" customFormat="1" ht="15.75" customHeight="1" x14ac:dyDescent="0.2">
      <c r="A135" s="219"/>
      <c r="B135" s="220" t="s">
        <v>860</v>
      </c>
      <c r="C135" s="203">
        <v>1248189.26</v>
      </c>
      <c r="D135" s="203">
        <v>12907058.300000001</v>
      </c>
      <c r="E135" s="203">
        <v>576432</v>
      </c>
      <c r="F135" s="203">
        <v>386610.67</v>
      </c>
      <c r="G135" s="203">
        <v>8295927.7400000002</v>
      </c>
      <c r="H135" s="203">
        <v>1084522.8600000001</v>
      </c>
      <c r="I135" s="203">
        <v>438231.75</v>
      </c>
      <c r="J135" s="203">
        <v>4056405.79</v>
      </c>
      <c r="K135" s="203">
        <v>308092.53000000003</v>
      </c>
      <c r="L135" s="203">
        <v>255134.71</v>
      </c>
      <c r="M135" s="203">
        <v>293280.45</v>
      </c>
      <c r="N135" s="203">
        <v>511906.07</v>
      </c>
      <c r="O135" s="203">
        <f t="shared" si="31"/>
        <v>30361792.129999999</v>
      </c>
    </row>
    <row r="136" spans="1:15" s="220" customFormat="1" ht="15.75" customHeight="1" x14ac:dyDescent="0.2">
      <c r="A136" s="228"/>
      <c r="B136" s="228"/>
      <c r="C136" s="203"/>
      <c r="D136" s="203"/>
      <c r="E136" s="203"/>
      <c r="F136" s="203"/>
      <c r="G136" s="203"/>
      <c r="H136" s="203"/>
      <c r="I136" s="203"/>
      <c r="J136" s="203"/>
      <c r="K136" s="203"/>
      <c r="L136" s="203"/>
      <c r="M136" s="203"/>
      <c r="N136" s="203"/>
      <c r="O136" s="203"/>
    </row>
    <row r="137" spans="1:15" s="220" customFormat="1" ht="15.75" customHeight="1" x14ac:dyDescent="0.25">
      <c r="A137" s="216" t="s">
        <v>128</v>
      </c>
      <c r="B137" s="226"/>
      <c r="C137" s="227">
        <f t="shared" ref="C137:O137" si="32">SUM(C138:C343)</f>
        <v>99098494.629999995</v>
      </c>
      <c r="D137" s="227">
        <f t="shared" si="32"/>
        <v>101625854.59</v>
      </c>
      <c r="E137" s="227">
        <f t="shared" si="32"/>
        <v>112062323.39000005</v>
      </c>
      <c r="F137" s="227">
        <f t="shared" si="32"/>
        <v>59927756.609999999</v>
      </c>
      <c r="G137" s="227">
        <f t="shared" si="32"/>
        <v>73195003.260000005</v>
      </c>
      <c r="H137" s="227">
        <f t="shared" si="32"/>
        <v>54067428.479999989</v>
      </c>
      <c r="I137" s="227">
        <f t="shared" si="32"/>
        <v>64160575.070000008</v>
      </c>
      <c r="J137" s="227">
        <f t="shared" si="32"/>
        <v>46178450.520000003</v>
      </c>
      <c r="K137" s="227">
        <f t="shared" si="32"/>
        <v>80822287.359999985</v>
      </c>
      <c r="L137" s="227">
        <f t="shared" si="32"/>
        <v>230356470.94</v>
      </c>
      <c r="M137" s="227">
        <f t="shared" si="32"/>
        <v>81503110.149999991</v>
      </c>
      <c r="N137" s="227">
        <f t="shared" si="32"/>
        <v>317975372.19000006</v>
      </c>
      <c r="O137" s="227">
        <f t="shared" si="32"/>
        <v>1320973127.1900001</v>
      </c>
    </row>
    <row r="138" spans="1:15" s="220" customFormat="1" ht="15.75" customHeight="1" x14ac:dyDescent="0.2">
      <c r="A138" s="228"/>
      <c r="B138" s="220" t="s">
        <v>765</v>
      </c>
      <c r="C138" s="211">
        <v>327239.37</v>
      </c>
      <c r="D138" s="211">
        <v>340440</v>
      </c>
      <c r="E138" s="203">
        <v>403330</v>
      </c>
      <c r="F138" s="203">
        <v>207080</v>
      </c>
      <c r="G138" s="203">
        <v>555530</v>
      </c>
      <c r="H138" s="203">
        <v>972520</v>
      </c>
      <c r="I138" s="203">
        <v>2443890</v>
      </c>
      <c r="J138" s="203">
        <v>1561270</v>
      </c>
      <c r="K138" s="203">
        <v>942830</v>
      </c>
      <c r="L138" s="203">
        <v>513580</v>
      </c>
      <c r="M138" s="203">
        <v>412300</v>
      </c>
      <c r="N138" s="203">
        <v>215560</v>
      </c>
      <c r="O138" s="203">
        <f t="shared" ref="O138:O154" si="33">SUM(C138:N138)</f>
        <v>8895569.370000001</v>
      </c>
    </row>
    <row r="139" spans="1:15" s="220" customFormat="1" ht="15.75" hidden="1" customHeight="1" x14ac:dyDescent="0.2">
      <c r="A139" s="228"/>
      <c r="B139" s="228" t="s">
        <v>861</v>
      </c>
      <c r="C139" s="206"/>
      <c r="D139" s="206"/>
      <c r="E139" s="203"/>
      <c r="F139" s="203"/>
      <c r="G139" s="203"/>
      <c r="H139" s="203"/>
      <c r="I139" s="203"/>
      <c r="J139" s="203"/>
      <c r="K139" s="203"/>
      <c r="L139" s="203"/>
      <c r="M139" s="203"/>
      <c r="N139" s="203"/>
      <c r="O139" s="203">
        <f t="shared" si="33"/>
        <v>0</v>
      </c>
    </row>
    <row r="140" spans="1:15" s="220" customFormat="1" ht="15.75" hidden="1" customHeight="1" x14ac:dyDescent="0.2">
      <c r="A140" s="228"/>
      <c r="B140" s="196" t="s">
        <v>862</v>
      </c>
      <c r="C140" s="206"/>
      <c r="D140" s="206"/>
      <c r="E140" s="203"/>
      <c r="F140" s="203"/>
      <c r="G140" s="203"/>
      <c r="H140" s="203"/>
      <c r="I140" s="203"/>
      <c r="J140" s="203"/>
      <c r="K140" s="203"/>
      <c r="L140" s="203"/>
      <c r="M140" s="203"/>
      <c r="N140" s="203"/>
      <c r="O140" s="203">
        <f t="shared" si="33"/>
        <v>0</v>
      </c>
    </row>
    <row r="141" spans="1:15" s="220" customFormat="1" ht="15.75" hidden="1" customHeight="1" x14ac:dyDescent="0.2">
      <c r="A141" s="228"/>
      <c r="B141" s="196" t="s">
        <v>863</v>
      </c>
      <c r="C141" s="206"/>
      <c r="D141" s="206"/>
      <c r="E141" s="203"/>
      <c r="F141" s="203"/>
      <c r="G141" s="203"/>
      <c r="H141" s="203"/>
      <c r="I141" s="203"/>
      <c r="J141" s="203"/>
      <c r="K141" s="203"/>
      <c r="L141" s="203"/>
      <c r="M141" s="203"/>
      <c r="N141" s="203"/>
      <c r="O141" s="203">
        <f t="shared" si="33"/>
        <v>0</v>
      </c>
    </row>
    <row r="142" spans="1:15" s="220" customFormat="1" ht="15.75" hidden="1" customHeight="1" x14ac:dyDescent="0.2">
      <c r="A142" s="228"/>
      <c r="B142" s="196" t="s">
        <v>864</v>
      </c>
      <c r="C142" s="206"/>
      <c r="D142" s="206"/>
      <c r="E142" s="203"/>
      <c r="F142" s="203"/>
      <c r="G142" s="203"/>
      <c r="H142" s="203"/>
      <c r="I142" s="203"/>
      <c r="J142" s="203"/>
      <c r="K142" s="203"/>
      <c r="L142" s="203"/>
      <c r="M142" s="203"/>
      <c r="N142" s="203"/>
      <c r="O142" s="203">
        <f t="shared" si="33"/>
        <v>0</v>
      </c>
    </row>
    <row r="143" spans="1:15" s="220" customFormat="1" ht="15.75" hidden="1" customHeight="1" x14ac:dyDescent="0.2">
      <c r="A143" s="228"/>
      <c r="B143" s="196" t="s">
        <v>865</v>
      </c>
      <c r="C143" s="206"/>
      <c r="D143" s="206"/>
      <c r="E143" s="203"/>
      <c r="F143" s="203"/>
      <c r="G143" s="203"/>
      <c r="H143" s="203"/>
      <c r="I143" s="203"/>
      <c r="J143" s="203"/>
      <c r="K143" s="203"/>
      <c r="L143" s="203"/>
      <c r="M143" s="203"/>
      <c r="N143" s="203"/>
      <c r="O143" s="203">
        <f t="shared" si="33"/>
        <v>0</v>
      </c>
    </row>
    <row r="144" spans="1:15" s="220" customFormat="1" ht="15.75" hidden="1" customHeight="1" x14ac:dyDescent="0.2">
      <c r="A144" s="228"/>
      <c r="B144" s="196" t="s">
        <v>866</v>
      </c>
      <c r="C144" s="206"/>
      <c r="D144" s="206"/>
      <c r="E144" s="203"/>
      <c r="F144" s="203"/>
      <c r="G144" s="203"/>
      <c r="H144" s="203"/>
      <c r="I144" s="203"/>
      <c r="J144" s="203"/>
      <c r="K144" s="203"/>
      <c r="L144" s="203"/>
      <c r="M144" s="203"/>
      <c r="N144" s="203"/>
      <c r="O144" s="203">
        <f t="shared" si="33"/>
        <v>0</v>
      </c>
    </row>
    <row r="145" spans="1:15" s="220" customFormat="1" ht="15.75" customHeight="1" x14ac:dyDescent="0.2">
      <c r="A145" s="228"/>
      <c r="B145" s="196" t="s">
        <v>867</v>
      </c>
      <c r="C145" s="206">
        <v>6630</v>
      </c>
      <c r="D145" s="206">
        <v>5120</v>
      </c>
      <c r="E145" s="203"/>
      <c r="F145" s="203"/>
      <c r="G145" s="203"/>
      <c r="H145" s="203"/>
      <c r="I145" s="203"/>
      <c r="J145" s="203"/>
      <c r="K145" s="203"/>
      <c r="L145" s="203"/>
      <c r="M145" s="203"/>
      <c r="N145" s="203"/>
      <c r="O145" s="203">
        <f t="shared" si="33"/>
        <v>11750</v>
      </c>
    </row>
    <row r="146" spans="1:15" s="220" customFormat="1" ht="15.75" customHeight="1" x14ac:dyDescent="0.2">
      <c r="A146" s="228"/>
      <c r="B146" s="196" t="s">
        <v>868</v>
      </c>
      <c r="C146" s="206">
        <v>2883068.59</v>
      </c>
      <c r="D146" s="206">
        <v>4793053.43</v>
      </c>
      <c r="E146" s="203"/>
      <c r="F146" s="203"/>
      <c r="G146" s="203"/>
      <c r="H146" s="203"/>
      <c r="I146" s="203"/>
      <c r="J146" s="203"/>
      <c r="K146" s="203"/>
      <c r="L146" s="203"/>
      <c r="M146" s="203"/>
      <c r="N146" s="203"/>
      <c r="O146" s="203">
        <f t="shared" si="33"/>
        <v>7676122.0199999996</v>
      </c>
    </row>
    <row r="147" spans="1:15" s="220" customFormat="1" ht="15.75" hidden="1" customHeight="1" x14ac:dyDescent="0.2">
      <c r="A147" s="228"/>
      <c r="B147" s="196" t="s">
        <v>1060</v>
      </c>
      <c r="C147" s="206"/>
      <c r="D147" s="206"/>
      <c r="E147" s="203"/>
      <c r="F147" s="203"/>
      <c r="G147" s="203"/>
      <c r="H147" s="203"/>
      <c r="I147" s="203"/>
      <c r="J147" s="203"/>
      <c r="K147" s="203"/>
      <c r="L147" s="203"/>
      <c r="M147" s="203"/>
      <c r="N147" s="203"/>
      <c r="O147" s="203">
        <f t="shared" si="33"/>
        <v>0</v>
      </c>
    </row>
    <row r="148" spans="1:15" s="220" customFormat="1" ht="15.75" customHeight="1" x14ac:dyDescent="0.2">
      <c r="A148" s="228"/>
      <c r="B148" s="196" t="s">
        <v>869</v>
      </c>
      <c r="C148" s="206">
        <v>25674.16</v>
      </c>
      <c r="D148" s="206">
        <v>44948.639999999999</v>
      </c>
      <c r="E148" s="203">
        <v>146007.15</v>
      </c>
      <c r="F148" s="203"/>
      <c r="G148" s="260"/>
      <c r="H148" s="206"/>
      <c r="I148" s="206"/>
      <c r="J148" s="203"/>
      <c r="K148" s="203"/>
      <c r="L148" s="203"/>
      <c r="M148" s="203"/>
      <c r="N148" s="203"/>
      <c r="O148" s="203">
        <f t="shared" si="33"/>
        <v>216629.95</v>
      </c>
    </row>
    <row r="149" spans="1:15" s="220" customFormat="1" ht="15.75" customHeight="1" x14ac:dyDescent="0.2">
      <c r="A149" s="228"/>
      <c r="B149" s="196" t="s">
        <v>870</v>
      </c>
      <c r="C149" s="206">
        <v>499330</v>
      </c>
      <c r="D149" s="206">
        <f>978430-499330</f>
        <v>479100</v>
      </c>
      <c r="E149" s="203">
        <f>1917380-479100-499330</f>
        <v>938950</v>
      </c>
      <c r="F149" s="203">
        <v>487785</v>
      </c>
      <c r="G149" s="203">
        <v>314455</v>
      </c>
      <c r="H149" s="203">
        <v>1883375</v>
      </c>
      <c r="I149" s="203">
        <v>141720</v>
      </c>
      <c r="J149" s="203">
        <v>27460</v>
      </c>
      <c r="K149" s="203">
        <v>206670</v>
      </c>
      <c r="L149" s="203">
        <v>366010</v>
      </c>
      <c r="M149" s="203">
        <v>584750</v>
      </c>
      <c r="N149" s="203">
        <v>756430</v>
      </c>
      <c r="O149" s="203">
        <f t="shared" si="33"/>
        <v>6686035</v>
      </c>
    </row>
    <row r="150" spans="1:15" s="220" customFormat="1" ht="15.75" customHeight="1" x14ac:dyDescent="0.2">
      <c r="A150" s="228"/>
      <c r="B150" s="196" t="s">
        <v>871</v>
      </c>
      <c r="C150" s="211">
        <v>112750</v>
      </c>
      <c r="D150" s="211">
        <v>62870</v>
      </c>
      <c r="E150" s="203">
        <v>483820</v>
      </c>
      <c r="F150" s="203">
        <v>0</v>
      </c>
      <c r="G150" s="203">
        <v>0</v>
      </c>
      <c r="H150" s="211">
        <v>47250</v>
      </c>
      <c r="I150" s="211">
        <v>167020</v>
      </c>
      <c r="J150" s="203"/>
      <c r="K150" s="203"/>
      <c r="L150" s="203"/>
      <c r="M150" s="203"/>
      <c r="N150" s="203"/>
      <c r="O150" s="203">
        <f t="shared" si="33"/>
        <v>873710</v>
      </c>
    </row>
    <row r="151" spans="1:15" s="220" customFormat="1" ht="15.75" customHeight="1" x14ac:dyDescent="0.2">
      <c r="A151" s="228"/>
      <c r="B151" s="196" t="s">
        <v>872</v>
      </c>
      <c r="C151" s="206">
        <v>38914.36</v>
      </c>
      <c r="D151" s="206">
        <v>309260</v>
      </c>
      <c r="E151" s="203">
        <v>198030</v>
      </c>
      <c r="F151" s="203">
        <v>225120</v>
      </c>
      <c r="G151" s="203">
        <v>397025</v>
      </c>
      <c r="H151" s="203">
        <v>227690</v>
      </c>
      <c r="I151" s="203">
        <v>209265</v>
      </c>
      <c r="J151" s="203">
        <v>341320</v>
      </c>
      <c r="K151" s="203">
        <v>58000</v>
      </c>
      <c r="L151" s="203">
        <v>62376</v>
      </c>
      <c r="M151" s="203">
        <v>79980</v>
      </c>
      <c r="N151" s="203">
        <v>103710</v>
      </c>
      <c r="O151" s="203">
        <f t="shared" si="33"/>
        <v>2250690.36</v>
      </c>
    </row>
    <row r="152" spans="1:15" s="220" customFormat="1" ht="15.75" customHeight="1" x14ac:dyDescent="0.2">
      <c r="A152" s="228"/>
      <c r="B152" s="196" t="s">
        <v>873</v>
      </c>
      <c r="C152" s="212">
        <v>54940</v>
      </c>
      <c r="D152" s="212">
        <v>65520</v>
      </c>
      <c r="E152" s="206">
        <v>1460930</v>
      </c>
      <c r="F152" s="212">
        <v>498750</v>
      </c>
      <c r="G152" s="206">
        <v>1121670</v>
      </c>
      <c r="H152" s="206">
        <v>1458620</v>
      </c>
      <c r="I152" s="211">
        <v>239060</v>
      </c>
      <c r="J152" s="211">
        <v>129770</v>
      </c>
      <c r="K152" s="211">
        <v>1066180</v>
      </c>
      <c r="L152" s="211">
        <v>15480</v>
      </c>
      <c r="M152" s="211">
        <v>102960</v>
      </c>
      <c r="N152" s="211">
        <v>3120</v>
      </c>
      <c r="O152" s="203">
        <f t="shared" si="33"/>
        <v>6217000</v>
      </c>
    </row>
    <row r="153" spans="1:15" s="220" customFormat="1" ht="15.75" customHeight="1" x14ac:dyDescent="0.2">
      <c r="A153" s="228"/>
      <c r="B153" s="196" t="s">
        <v>874</v>
      </c>
      <c r="C153" s="211">
        <v>1398118.35</v>
      </c>
      <c r="D153" s="211">
        <v>271478.44</v>
      </c>
      <c r="E153" s="211">
        <v>1113995.8400000001</v>
      </c>
      <c r="F153" s="211">
        <f>495406.79+4716.73</f>
        <v>500123.51999999996</v>
      </c>
      <c r="G153" s="211">
        <v>936672.77</v>
      </c>
      <c r="H153" s="211">
        <v>465434</v>
      </c>
      <c r="I153" s="203">
        <v>174833.55</v>
      </c>
      <c r="J153" s="211">
        <v>1470666.54</v>
      </c>
      <c r="K153" s="211">
        <v>428365.66</v>
      </c>
      <c r="L153" s="211">
        <v>1991664.3</v>
      </c>
      <c r="M153" s="203">
        <v>162106.13</v>
      </c>
      <c r="N153" s="211">
        <v>758563.4</v>
      </c>
      <c r="O153" s="203">
        <f t="shared" si="33"/>
        <v>9672022.5000000019</v>
      </c>
    </row>
    <row r="154" spans="1:15" s="220" customFormat="1" ht="15.75" customHeight="1" x14ac:dyDescent="0.2">
      <c r="A154" s="228"/>
      <c r="B154" s="196" t="s">
        <v>875</v>
      </c>
      <c r="C154" s="206">
        <v>363345.3</v>
      </c>
      <c r="D154" s="206">
        <v>126501.36</v>
      </c>
      <c r="E154" s="203">
        <v>416209.39</v>
      </c>
      <c r="F154" s="203">
        <v>298615.65999999997</v>
      </c>
      <c r="G154" s="203">
        <v>467089.44</v>
      </c>
      <c r="H154" s="203">
        <v>278510</v>
      </c>
      <c r="I154" s="203">
        <v>390006.9</v>
      </c>
      <c r="J154" s="203">
        <v>399025.6</v>
      </c>
      <c r="K154" s="203">
        <v>238229.76000000001</v>
      </c>
      <c r="L154" s="203">
        <v>122722.25</v>
      </c>
      <c r="M154" s="203">
        <v>103780</v>
      </c>
      <c r="N154" s="203">
        <v>198833</v>
      </c>
      <c r="O154" s="203">
        <f t="shared" si="33"/>
        <v>3402868.66</v>
      </c>
    </row>
    <row r="155" spans="1:15" s="220" customFormat="1" ht="15.75" hidden="1" customHeight="1" x14ac:dyDescent="0.2">
      <c r="A155" s="228"/>
      <c r="B155" s="196" t="s">
        <v>1061</v>
      </c>
      <c r="C155" s="206"/>
      <c r="D155" s="206"/>
      <c r="E155" s="203"/>
      <c r="F155" s="203"/>
      <c r="G155" s="203"/>
      <c r="H155" s="203"/>
      <c r="I155" s="203"/>
      <c r="J155" s="203"/>
      <c r="K155" s="203"/>
      <c r="L155" s="203"/>
      <c r="M155" s="203"/>
      <c r="N155" s="203"/>
      <c r="O155" s="203">
        <f t="shared" ref="O155:O191" si="34">SUM(C155:N155)</f>
        <v>0</v>
      </c>
    </row>
    <row r="156" spans="1:15" s="220" customFormat="1" ht="15.75" customHeight="1" x14ac:dyDescent="0.2">
      <c r="A156" s="228"/>
      <c r="B156" s="196" t="s">
        <v>876</v>
      </c>
      <c r="C156" s="206">
        <v>46199.62</v>
      </c>
      <c r="D156" s="206">
        <v>99300.84</v>
      </c>
      <c r="E156" s="203">
        <v>91363.5</v>
      </c>
      <c r="F156" s="203">
        <v>146725.20000000001</v>
      </c>
      <c r="G156" s="203">
        <v>102603.51</v>
      </c>
      <c r="H156" s="203">
        <v>104205.57</v>
      </c>
      <c r="I156" s="203">
        <v>91834.44</v>
      </c>
      <c r="J156" s="203">
        <v>167691.75</v>
      </c>
      <c r="K156" s="203">
        <v>144652.29999999999</v>
      </c>
      <c r="L156" s="203">
        <v>39887.440000000002</v>
      </c>
      <c r="M156" s="203">
        <v>54290</v>
      </c>
      <c r="N156" s="203">
        <v>173533.64</v>
      </c>
      <c r="O156" s="203">
        <f t="shared" si="34"/>
        <v>1262287.81</v>
      </c>
    </row>
    <row r="157" spans="1:15" s="220" customFormat="1" ht="15.75" customHeight="1" x14ac:dyDescent="0.2">
      <c r="A157" s="228"/>
      <c r="B157" s="196" t="s">
        <v>877</v>
      </c>
      <c r="C157" s="206">
        <v>15360</v>
      </c>
      <c r="D157" s="206">
        <v>145606.04999999999</v>
      </c>
      <c r="E157" s="203">
        <v>170530</v>
      </c>
      <c r="F157" s="203">
        <v>282810</v>
      </c>
      <c r="G157" s="203">
        <v>171239</v>
      </c>
      <c r="H157" s="203">
        <v>161312.4</v>
      </c>
      <c r="I157" s="203">
        <v>209066.73</v>
      </c>
      <c r="J157" s="203">
        <v>109550</v>
      </c>
      <c r="K157" s="203">
        <v>70750</v>
      </c>
      <c r="L157" s="203">
        <v>63030</v>
      </c>
      <c r="M157" s="203">
        <v>29568</v>
      </c>
      <c r="N157" s="203">
        <v>53270.68</v>
      </c>
      <c r="O157" s="203">
        <f t="shared" si="34"/>
        <v>1482092.86</v>
      </c>
    </row>
    <row r="158" spans="1:15" s="220" customFormat="1" ht="15.75" customHeight="1" x14ac:dyDescent="0.2">
      <c r="A158" s="228"/>
      <c r="B158" s="196" t="s">
        <v>878</v>
      </c>
      <c r="C158" s="203">
        <v>419330</v>
      </c>
      <c r="D158" s="203">
        <v>354819.97</v>
      </c>
      <c r="E158" s="203">
        <f>1302204.9+441.53</f>
        <v>1302646.43</v>
      </c>
      <c r="F158" s="203">
        <v>512624.38</v>
      </c>
      <c r="G158" s="203">
        <v>498487.89</v>
      </c>
      <c r="H158" s="203">
        <f>515745.76</f>
        <v>515745.76</v>
      </c>
      <c r="I158" s="203">
        <v>858591.19</v>
      </c>
      <c r="J158" s="203">
        <v>725026.3</v>
      </c>
      <c r="K158" s="203">
        <v>15476164.73</v>
      </c>
      <c r="L158" s="203">
        <v>346945.07</v>
      </c>
      <c r="M158" s="203">
        <v>842116.44</v>
      </c>
      <c r="N158" s="203">
        <f>4804177.1</f>
        <v>4804177.0999999996</v>
      </c>
      <c r="O158" s="203">
        <f t="shared" si="34"/>
        <v>26656675.259999998</v>
      </c>
    </row>
    <row r="159" spans="1:15" s="220" customFormat="1" ht="15.75" hidden="1" customHeight="1" x14ac:dyDescent="0.2">
      <c r="A159" s="228"/>
      <c r="B159" s="196" t="s">
        <v>1062</v>
      </c>
      <c r="C159" s="206"/>
      <c r="D159" s="206"/>
      <c r="E159" s="203"/>
      <c r="F159" s="203"/>
      <c r="G159" s="203"/>
      <c r="H159" s="203"/>
      <c r="I159" s="203"/>
      <c r="J159" s="203"/>
      <c r="K159" s="203"/>
      <c r="L159" s="203"/>
      <c r="M159" s="203"/>
      <c r="N159" s="203"/>
      <c r="O159" s="203">
        <f t="shared" si="34"/>
        <v>0</v>
      </c>
    </row>
    <row r="160" spans="1:15" s="220" customFormat="1" ht="15.75" customHeight="1" x14ac:dyDescent="0.2">
      <c r="A160" s="228"/>
      <c r="B160" s="196" t="s">
        <v>879</v>
      </c>
      <c r="C160" s="206">
        <v>75712.34</v>
      </c>
      <c r="D160" s="206">
        <v>40500</v>
      </c>
      <c r="E160" s="203">
        <v>415800</v>
      </c>
      <c r="F160" s="203">
        <v>214900</v>
      </c>
      <c r="G160" s="203">
        <v>160990</v>
      </c>
      <c r="H160" s="203">
        <v>147920</v>
      </c>
      <c r="I160" s="203">
        <v>233320</v>
      </c>
      <c r="J160" s="203">
        <v>120940</v>
      </c>
      <c r="K160" s="203">
        <v>82600</v>
      </c>
      <c r="L160" s="203">
        <v>126420</v>
      </c>
      <c r="M160" s="203">
        <v>77309</v>
      </c>
      <c r="N160" s="203">
        <v>170740</v>
      </c>
      <c r="O160" s="203">
        <f t="shared" si="34"/>
        <v>1867151.3399999999</v>
      </c>
    </row>
    <row r="161" spans="1:15" s="220" customFormat="1" ht="15.75" hidden="1" customHeight="1" x14ac:dyDescent="0.2">
      <c r="A161" s="228"/>
      <c r="B161" s="196" t="s">
        <v>1063</v>
      </c>
      <c r="C161" s="206"/>
      <c r="D161" s="206"/>
      <c r="E161" s="203"/>
      <c r="F161" s="203"/>
      <c r="G161" s="203"/>
      <c r="H161" s="203"/>
      <c r="I161" s="203"/>
      <c r="J161" s="203"/>
      <c r="K161" s="203"/>
      <c r="L161" s="203"/>
      <c r="M161" s="203"/>
      <c r="N161" s="203"/>
      <c r="O161" s="203">
        <f t="shared" si="34"/>
        <v>0</v>
      </c>
    </row>
    <row r="162" spans="1:15" s="220" customFormat="1" ht="15.75" customHeight="1" x14ac:dyDescent="0.2">
      <c r="A162" s="228"/>
      <c r="B162" s="196" t="s">
        <v>880</v>
      </c>
      <c r="C162" s="206">
        <v>115020</v>
      </c>
      <c r="D162" s="206">
        <v>334590</v>
      </c>
      <c r="E162" s="203">
        <v>152460</v>
      </c>
      <c r="F162" s="203">
        <v>30050</v>
      </c>
      <c r="G162" s="203">
        <v>110570</v>
      </c>
      <c r="H162" s="203">
        <v>87050</v>
      </c>
      <c r="I162" s="203">
        <v>145700</v>
      </c>
      <c r="J162" s="203">
        <v>192480</v>
      </c>
      <c r="K162" s="203">
        <v>504390</v>
      </c>
      <c r="L162" s="203">
        <v>354200</v>
      </c>
      <c r="M162" s="203">
        <v>247520</v>
      </c>
      <c r="N162" s="203">
        <v>52550</v>
      </c>
      <c r="O162" s="203">
        <f t="shared" si="34"/>
        <v>2326580</v>
      </c>
    </row>
    <row r="163" spans="1:15" s="220" customFormat="1" ht="15.75" customHeight="1" x14ac:dyDescent="0.2">
      <c r="A163" s="228"/>
      <c r="B163" s="196" t="s">
        <v>881</v>
      </c>
      <c r="C163" s="206">
        <v>157590</v>
      </c>
      <c r="D163" s="206">
        <v>142820</v>
      </c>
      <c r="E163" s="203">
        <v>277010</v>
      </c>
      <c r="F163" s="203">
        <v>308970</v>
      </c>
      <c r="G163" s="203">
        <v>532100</v>
      </c>
      <c r="H163" s="203">
        <v>340696.67</v>
      </c>
      <c r="I163" s="203">
        <v>1322228.0900000001</v>
      </c>
      <c r="J163" s="203">
        <v>1273030</v>
      </c>
      <c r="K163" s="203">
        <v>1142470</v>
      </c>
      <c r="L163" s="203"/>
      <c r="M163" s="203"/>
      <c r="N163" s="203"/>
      <c r="O163" s="203">
        <f t="shared" si="34"/>
        <v>5496914.7599999998</v>
      </c>
    </row>
    <row r="164" spans="1:15" s="220" customFormat="1" ht="15.75" hidden="1" customHeight="1" x14ac:dyDescent="0.2">
      <c r="A164" s="228"/>
      <c r="B164" s="196" t="s">
        <v>1064</v>
      </c>
      <c r="C164" s="206"/>
      <c r="D164" s="206"/>
      <c r="E164" s="203"/>
      <c r="F164" s="203"/>
      <c r="G164" s="203"/>
      <c r="H164" s="203"/>
      <c r="I164" s="203"/>
      <c r="J164" s="203"/>
      <c r="K164" s="203"/>
      <c r="L164" s="203"/>
      <c r="M164" s="203"/>
      <c r="N164" s="203"/>
      <c r="O164" s="203">
        <f t="shared" si="34"/>
        <v>0</v>
      </c>
    </row>
    <row r="165" spans="1:15" s="220" customFormat="1" ht="15.75" customHeight="1" x14ac:dyDescent="0.2">
      <c r="A165" s="228"/>
      <c r="B165" s="196" t="s">
        <v>882</v>
      </c>
      <c r="C165" s="206">
        <v>105160</v>
      </c>
      <c r="D165" s="206">
        <v>72250</v>
      </c>
      <c r="E165" s="203">
        <v>156357.25</v>
      </c>
      <c r="F165" s="203"/>
      <c r="G165" s="203"/>
      <c r="H165" s="203"/>
      <c r="I165" s="203"/>
      <c r="J165" s="203"/>
      <c r="K165" s="203"/>
      <c r="L165" s="203"/>
      <c r="M165" s="203"/>
      <c r="N165" s="203"/>
      <c r="O165" s="203">
        <f t="shared" si="34"/>
        <v>333767.25</v>
      </c>
    </row>
    <row r="166" spans="1:15" s="220" customFormat="1" ht="15.75" hidden="1" customHeight="1" x14ac:dyDescent="0.2">
      <c r="A166" s="228"/>
      <c r="B166" s="196" t="s">
        <v>1065</v>
      </c>
      <c r="C166" s="206"/>
      <c r="D166" s="206"/>
      <c r="E166" s="203"/>
      <c r="F166" s="203"/>
      <c r="G166" s="203"/>
      <c r="H166" s="203"/>
      <c r="I166" s="203"/>
      <c r="J166" s="203"/>
      <c r="K166" s="203"/>
      <c r="L166" s="203"/>
      <c r="M166" s="203"/>
      <c r="N166" s="203"/>
      <c r="O166" s="203">
        <f t="shared" si="34"/>
        <v>0</v>
      </c>
    </row>
    <row r="167" spans="1:15" s="220" customFormat="1" ht="15.75" hidden="1" customHeight="1" x14ac:dyDescent="0.2">
      <c r="A167" s="228"/>
      <c r="B167" s="196" t="s">
        <v>1066</v>
      </c>
      <c r="C167" s="206"/>
      <c r="D167" s="206"/>
      <c r="E167" s="203"/>
      <c r="F167" s="203"/>
      <c r="G167" s="203"/>
      <c r="H167" s="203"/>
      <c r="I167" s="203"/>
      <c r="J167" s="203"/>
      <c r="K167" s="203"/>
      <c r="L167" s="203"/>
      <c r="M167" s="203"/>
      <c r="N167" s="203"/>
      <c r="O167" s="203">
        <f t="shared" si="34"/>
        <v>0</v>
      </c>
    </row>
    <row r="168" spans="1:15" s="220" customFormat="1" ht="15.75" customHeight="1" x14ac:dyDescent="0.2">
      <c r="A168" s="228"/>
      <c r="B168" s="196" t="s">
        <v>883</v>
      </c>
      <c r="C168" s="206">
        <v>0</v>
      </c>
      <c r="D168" s="206">
        <v>148154.88</v>
      </c>
      <c r="E168" s="203">
        <v>345590</v>
      </c>
      <c r="F168" s="203">
        <v>433479.61</v>
      </c>
      <c r="G168" s="203">
        <v>259310</v>
      </c>
      <c r="H168" s="203">
        <v>211210</v>
      </c>
      <c r="I168" s="203"/>
      <c r="J168" s="203"/>
      <c r="K168" s="203"/>
      <c r="L168" s="203"/>
      <c r="M168" s="203"/>
      <c r="N168" s="203"/>
      <c r="O168" s="203">
        <f t="shared" si="34"/>
        <v>1397744.49</v>
      </c>
    </row>
    <row r="169" spans="1:15" s="220" customFormat="1" ht="15.75" customHeight="1" x14ac:dyDescent="0.2">
      <c r="A169" s="228"/>
      <c r="B169" s="196" t="s">
        <v>884</v>
      </c>
      <c r="C169" s="206">
        <v>37525.51</v>
      </c>
      <c r="D169" s="206">
        <v>238886.61</v>
      </c>
      <c r="E169" s="203"/>
      <c r="F169" s="203"/>
      <c r="G169" s="203"/>
      <c r="H169" s="203"/>
      <c r="I169" s="203"/>
      <c r="J169" s="203"/>
      <c r="K169" s="203"/>
      <c r="L169" s="203"/>
      <c r="M169" s="203"/>
      <c r="N169" s="203"/>
      <c r="O169" s="203">
        <f t="shared" si="34"/>
        <v>276412.12</v>
      </c>
    </row>
    <row r="170" spans="1:15" s="220" customFormat="1" ht="15.75" customHeight="1" x14ac:dyDescent="0.2">
      <c r="A170" s="228"/>
      <c r="B170" s="196" t="s">
        <v>885</v>
      </c>
      <c r="C170" s="206">
        <v>215923.9</v>
      </c>
      <c r="D170" s="206">
        <v>542272.16</v>
      </c>
      <c r="E170" s="203"/>
      <c r="F170" s="203"/>
      <c r="G170" s="203"/>
      <c r="H170" s="203"/>
      <c r="I170" s="203"/>
      <c r="J170" s="203"/>
      <c r="K170" s="203"/>
      <c r="L170" s="203"/>
      <c r="M170" s="203"/>
      <c r="N170" s="203"/>
      <c r="O170" s="203">
        <f t="shared" si="34"/>
        <v>758196.06</v>
      </c>
    </row>
    <row r="171" spans="1:15" s="220" customFormat="1" ht="15.75" hidden="1" customHeight="1" x14ac:dyDescent="0.2">
      <c r="A171" s="228"/>
      <c r="B171" s="196" t="s">
        <v>1067</v>
      </c>
      <c r="C171" s="206"/>
      <c r="D171" s="206"/>
      <c r="E171" s="203"/>
      <c r="F171" s="203"/>
      <c r="G171" s="203"/>
      <c r="H171" s="203"/>
      <c r="I171" s="203"/>
      <c r="J171" s="203"/>
      <c r="K171" s="203"/>
      <c r="L171" s="203"/>
      <c r="M171" s="203"/>
      <c r="N171" s="203"/>
      <c r="O171" s="203">
        <f t="shared" si="34"/>
        <v>0</v>
      </c>
    </row>
    <row r="172" spans="1:15" s="220" customFormat="1" ht="15.75" customHeight="1" x14ac:dyDescent="0.2">
      <c r="A172" s="228"/>
      <c r="B172" s="196" t="s">
        <v>886</v>
      </c>
      <c r="C172" s="206">
        <v>112060</v>
      </c>
      <c r="D172" s="206">
        <v>425668.98</v>
      </c>
      <c r="E172" s="203">
        <v>197970</v>
      </c>
      <c r="F172" s="203">
        <v>139453.31</v>
      </c>
      <c r="G172" s="203">
        <v>273680</v>
      </c>
      <c r="H172" s="203">
        <v>177820</v>
      </c>
      <c r="I172" s="203">
        <v>382696.32</v>
      </c>
      <c r="J172" s="203">
        <v>691375.32</v>
      </c>
      <c r="K172" s="203">
        <v>345466.66</v>
      </c>
      <c r="L172" s="203">
        <v>196021.88</v>
      </c>
      <c r="M172" s="203">
        <v>112359.76</v>
      </c>
      <c r="N172" s="203">
        <v>150799.07</v>
      </c>
      <c r="O172" s="203">
        <f t="shared" si="34"/>
        <v>3205371.3</v>
      </c>
    </row>
    <row r="173" spans="1:15" s="220" customFormat="1" ht="15.75" hidden="1" customHeight="1" x14ac:dyDescent="0.2">
      <c r="A173" s="228"/>
      <c r="B173" s="196" t="s">
        <v>887</v>
      </c>
      <c r="C173" s="206"/>
      <c r="D173" s="206"/>
      <c r="E173" s="203"/>
      <c r="F173" s="203"/>
      <c r="G173" s="203"/>
      <c r="H173" s="203"/>
      <c r="I173" s="203"/>
      <c r="J173" s="203"/>
      <c r="K173" s="203"/>
      <c r="L173" s="203"/>
      <c r="M173" s="203"/>
      <c r="N173" s="203"/>
      <c r="O173" s="203">
        <f t="shared" si="34"/>
        <v>0</v>
      </c>
    </row>
    <row r="174" spans="1:15" s="220" customFormat="1" ht="15.75" hidden="1" customHeight="1" x14ac:dyDescent="0.2">
      <c r="A174" s="228"/>
      <c r="B174" s="196" t="s">
        <v>888</v>
      </c>
      <c r="C174" s="206"/>
      <c r="D174" s="206"/>
      <c r="E174" s="203"/>
      <c r="F174" s="203"/>
      <c r="G174" s="203"/>
      <c r="H174" s="203"/>
      <c r="I174" s="203"/>
      <c r="J174" s="203"/>
      <c r="K174" s="203"/>
      <c r="L174" s="203"/>
      <c r="M174" s="203"/>
      <c r="N174" s="203"/>
      <c r="O174" s="203">
        <f t="shared" si="34"/>
        <v>0</v>
      </c>
    </row>
    <row r="175" spans="1:15" s="220" customFormat="1" ht="15.75" customHeight="1" x14ac:dyDescent="0.2">
      <c r="A175" s="228"/>
      <c r="B175" s="196" t="s">
        <v>889</v>
      </c>
      <c r="C175" s="206">
        <v>28195.119999999999</v>
      </c>
      <c r="D175" s="206">
        <v>144175</v>
      </c>
      <c r="E175" s="203"/>
      <c r="F175" s="203"/>
      <c r="G175" s="203"/>
      <c r="H175" s="203"/>
      <c r="I175" s="203"/>
      <c r="J175" s="203"/>
      <c r="K175" s="203"/>
      <c r="L175" s="203"/>
      <c r="M175" s="203"/>
      <c r="N175" s="203"/>
      <c r="O175" s="203">
        <f t="shared" si="34"/>
        <v>172370.12</v>
      </c>
    </row>
    <row r="176" spans="1:15" s="220" customFormat="1" ht="15.75" customHeight="1" x14ac:dyDescent="0.2">
      <c r="A176" s="228"/>
      <c r="B176" s="196" t="s">
        <v>890</v>
      </c>
      <c r="C176" s="206">
        <v>75710</v>
      </c>
      <c r="D176" s="206">
        <v>315960</v>
      </c>
      <c r="E176" s="203"/>
      <c r="F176" s="203"/>
      <c r="G176" s="203"/>
      <c r="H176" s="203"/>
      <c r="I176" s="203"/>
      <c r="J176" s="203"/>
      <c r="K176" s="203"/>
      <c r="L176" s="203"/>
      <c r="M176" s="203"/>
      <c r="N176" s="203"/>
      <c r="O176" s="203">
        <f t="shared" si="34"/>
        <v>391670</v>
      </c>
    </row>
    <row r="177" spans="1:15" s="220" customFormat="1" ht="15.75" hidden="1" customHeight="1" x14ac:dyDescent="0.2">
      <c r="A177" s="228"/>
      <c r="B177" s="196" t="s">
        <v>891</v>
      </c>
      <c r="C177" s="206"/>
      <c r="D177" s="206"/>
      <c r="E177" s="203"/>
      <c r="F177" s="203"/>
      <c r="G177" s="203"/>
      <c r="H177" s="203"/>
      <c r="I177" s="203"/>
      <c r="J177" s="203"/>
      <c r="K177" s="203"/>
      <c r="L177" s="203"/>
      <c r="M177" s="203"/>
      <c r="N177" s="203"/>
      <c r="O177" s="203">
        <f t="shared" si="34"/>
        <v>0</v>
      </c>
    </row>
    <row r="178" spans="1:15" s="220" customFormat="1" ht="15.75" customHeight="1" x14ac:dyDescent="0.2">
      <c r="A178" s="228"/>
      <c r="B178" s="196" t="s">
        <v>892</v>
      </c>
      <c r="C178" s="206"/>
      <c r="D178" s="206">
        <v>51060</v>
      </c>
      <c r="E178" s="203"/>
      <c r="F178" s="203"/>
      <c r="G178" s="203"/>
      <c r="H178" s="203"/>
      <c r="I178" s="203"/>
      <c r="J178" s="203"/>
      <c r="K178" s="203"/>
      <c r="L178" s="203"/>
      <c r="M178" s="203"/>
      <c r="N178" s="203"/>
      <c r="O178" s="203">
        <f t="shared" si="34"/>
        <v>51060</v>
      </c>
    </row>
    <row r="179" spans="1:15" s="220" customFormat="1" ht="15.75" customHeight="1" x14ac:dyDescent="0.2">
      <c r="A179" s="228"/>
      <c r="B179" s="196" t="s">
        <v>893</v>
      </c>
      <c r="C179" s="206">
        <v>10960</v>
      </c>
      <c r="D179" s="206">
        <v>95770</v>
      </c>
      <c r="E179" s="203">
        <v>254749</v>
      </c>
      <c r="F179" s="203">
        <v>109630</v>
      </c>
      <c r="G179" s="203">
        <v>168750</v>
      </c>
      <c r="H179" s="203">
        <v>40350</v>
      </c>
      <c r="I179" s="203"/>
      <c r="J179" s="203"/>
      <c r="K179" s="203"/>
      <c r="L179" s="203"/>
      <c r="M179" s="203"/>
      <c r="N179" s="203"/>
      <c r="O179" s="203">
        <f t="shared" si="34"/>
        <v>680209</v>
      </c>
    </row>
    <row r="180" spans="1:15" s="220" customFormat="1" ht="15.75" customHeight="1" x14ac:dyDescent="0.2">
      <c r="A180" s="228"/>
      <c r="B180" s="196" t="s">
        <v>894</v>
      </c>
      <c r="C180" s="206">
        <v>77400</v>
      </c>
      <c r="D180" s="206">
        <v>70470</v>
      </c>
      <c r="E180" s="203"/>
      <c r="F180" s="203"/>
      <c r="G180" s="203"/>
      <c r="H180" s="203"/>
      <c r="I180" s="203"/>
      <c r="J180" s="203"/>
      <c r="K180" s="203"/>
      <c r="L180" s="203"/>
      <c r="M180" s="203"/>
      <c r="N180" s="203"/>
      <c r="O180" s="203">
        <f t="shared" si="34"/>
        <v>147870</v>
      </c>
    </row>
    <row r="181" spans="1:15" s="220" customFormat="1" ht="15.75" hidden="1" customHeight="1" x14ac:dyDescent="0.2">
      <c r="A181" s="228"/>
      <c r="B181" s="196" t="s">
        <v>895</v>
      </c>
      <c r="C181" s="206"/>
      <c r="D181" s="206"/>
      <c r="E181" s="203"/>
      <c r="F181" s="203"/>
      <c r="G181" s="203"/>
      <c r="H181" s="203"/>
      <c r="I181" s="203"/>
      <c r="J181" s="203"/>
      <c r="K181" s="203"/>
      <c r="L181" s="203"/>
      <c r="M181" s="203"/>
      <c r="N181" s="203"/>
      <c r="O181" s="203">
        <f t="shared" si="34"/>
        <v>0</v>
      </c>
    </row>
    <row r="182" spans="1:15" s="220" customFormat="1" ht="15.75" hidden="1" customHeight="1" x14ac:dyDescent="0.2">
      <c r="A182" s="228"/>
      <c r="B182" s="196" t="s">
        <v>896</v>
      </c>
      <c r="C182" s="206"/>
      <c r="D182" s="206"/>
      <c r="E182" s="203"/>
      <c r="F182" s="203"/>
      <c r="G182" s="203"/>
      <c r="H182" s="203"/>
      <c r="I182" s="203"/>
      <c r="J182" s="203"/>
      <c r="K182" s="203"/>
      <c r="L182" s="203"/>
      <c r="M182" s="203"/>
      <c r="N182" s="203"/>
      <c r="O182" s="203">
        <f t="shared" si="34"/>
        <v>0</v>
      </c>
    </row>
    <row r="183" spans="1:15" s="220" customFormat="1" ht="15.75" hidden="1" customHeight="1" x14ac:dyDescent="0.2">
      <c r="A183" s="228"/>
      <c r="B183" s="196" t="s">
        <v>1068</v>
      </c>
      <c r="C183" s="206"/>
      <c r="D183" s="206"/>
      <c r="E183" s="203"/>
      <c r="F183" s="203"/>
      <c r="G183" s="203"/>
      <c r="H183" s="203"/>
      <c r="I183" s="203"/>
      <c r="J183" s="203"/>
      <c r="K183" s="203"/>
      <c r="L183" s="203"/>
      <c r="M183" s="203"/>
      <c r="N183" s="203"/>
      <c r="O183" s="203">
        <f t="shared" si="34"/>
        <v>0</v>
      </c>
    </row>
    <row r="184" spans="1:15" s="220" customFormat="1" ht="15.75" customHeight="1" x14ac:dyDescent="0.2">
      <c r="A184" s="228"/>
      <c r="B184" s="196" t="s">
        <v>897</v>
      </c>
      <c r="C184" s="206">
        <v>23760</v>
      </c>
      <c r="D184" s="206">
        <v>44450</v>
      </c>
      <c r="E184" s="203">
        <v>397230</v>
      </c>
      <c r="F184" s="203">
        <v>487490</v>
      </c>
      <c r="G184" s="203">
        <v>502250</v>
      </c>
      <c r="H184" s="203">
        <v>215590</v>
      </c>
      <c r="I184" s="203">
        <v>347380</v>
      </c>
      <c r="J184" s="203">
        <v>177610</v>
      </c>
      <c r="K184" s="203">
        <v>151680</v>
      </c>
      <c r="L184" s="203"/>
      <c r="M184" s="203"/>
      <c r="N184" s="203"/>
      <c r="O184" s="203">
        <f t="shared" si="34"/>
        <v>2347440</v>
      </c>
    </row>
    <row r="185" spans="1:15" s="220" customFormat="1" ht="15.75" hidden="1" customHeight="1" x14ac:dyDescent="0.2">
      <c r="A185" s="228"/>
      <c r="B185" s="196" t="s">
        <v>1069</v>
      </c>
      <c r="C185" s="206"/>
      <c r="D185" s="206"/>
      <c r="E185" s="203"/>
      <c r="F185" s="203"/>
      <c r="G185" s="203"/>
      <c r="H185" s="203"/>
      <c r="I185" s="203"/>
      <c r="J185" s="203"/>
      <c r="K185" s="203"/>
      <c r="L185" s="203"/>
      <c r="M185" s="203"/>
      <c r="N185" s="203"/>
      <c r="O185" s="203">
        <f t="shared" si="34"/>
        <v>0</v>
      </c>
    </row>
    <row r="186" spans="1:15" s="220" customFormat="1" ht="15.75" customHeight="1" x14ac:dyDescent="0.2">
      <c r="A186" s="228"/>
      <c r="B186" s="196" t="s">
        <v>898</v>
      </c>
      <c r="C186" s="206">
        <v>417750</v>
      </c>
      <c r="D186" s="206">
        <v>361370</v>
      </c>
      <c r="E186" s="203"/>
      <c r="F186" s="203"/>
      <c r="G186" s="203"/>
      <c r="H186" s="203"/>
      <c r="I186" s="203"/>
      <c r="J186" s="203"/>
      <c r="K186" s="203"/>
      <c r="L186" s="203"/>
      <c r="M186" s="203"/>
      <c r="N186" s="203"/>
      <c r="O186" s="203">
        <f t="shared" si="34"/>
        <v>779120</v>
      </c>
    </row>
    <row r="187" spans="1:15" s="220" customFormat="1" ht="15.75" customHeight="1" x14ac:dyDescent="0.2">
      <c r="A187" s="228"/>
      <c r="B187" s="196" t="s">
        <v>899</v>
      </c>
      <c r="C187" s="206">
        <v>865850.43</v>
      </c>
      <c r="D187" s="206">
        <v>1215256.6299999999</v>
      </c>
      <c r="E187" s="203"/>
      <c r="F187" s="203"/>
      <c r="G187" s="203"/>
      <c r="H187" s="203"/>
      <c r="I187" s="203"/>
      <c r="J187" s="203"/>
      <c r="K187" s="203"/>
      <c r="L187" s="203"/>
      <c r="M187" s="203"/>
      <c r="N187" s="203"/>
      <c r="O187" s="203">
        <f t="shared" si="34"/>
        <v>2081107.06</v>
      </c>
    </row>
    <row r="188" spans="1:15" s="220" customFormat="1" ht="15.75" customHeight="1" x14ac:dyDescent="0.2">
      <c r="A188" s="228"/>
      <c r="B188" s="196" t="s">
        <v>900</v>
      </c>
      <c r="C188" s="206">
        <v>0</v>
      </c>
      <c r="D188" s="206">
        <v>944770</v>
      </c>
      <c r="E188" s="203"/>
      <c r="F188" s="203"/>
      <c r="G188" s="203"/>
      <c r="H188" s="203"/>
      <c r="I188" s="203"/>
      <c r="J188" s="203"/>
      <c r="K188" s="203"/>
      <c r="L188" s="203"/>
      <c r="M188" s="203"/>
      <c r="N188" s="203"/>
      <c r="O188" s="203">
        <f t="shared" si="34"/>
        <v>944770</v>
      </c>
    </row>
    <row r="189" spans="1:15" s="220" customFormat="1" ht="15.75" hidden="1" customHeight="1" x14ac:dyDescent="0.2">
      <c r="A189" s="228"/>
      <c r="B189" s="196" t="s">
        <v>1070</v>
      </c>
      <c r="C189" s="206"/>
      <c r="D189" s="206"/>
      <c r="E189" s="203"/>
      <c r="F189" s="203"/>
      <c r="G189" s="203"/>
      <c r="H189" s="203"/>
      <c r="I189" s="203"/>
      <c r="J189" s="203"/>
      <c r="K189" s="203"/>
      <c r="L189" s="203"/>
      <c r="M189" s="203"/>
      <c r="N189" s="203"/>
      <c r="O189" s="203">
        <f t="shared" si="34"/>
        <v>0</v>
      </c>
    </row>
    <row r="190" spans="1:15" s="220" customFormat="1" ht="15.75" hidden="1" customHeight="1" x14ac:dyDescent="0.2">
      <c r="A190" s="228"/>
      <c r="B190" s="196" t="s">
        <v>1071</v>
      </c>
      <c r="C190" s="206"/>
      <c r="D190" s="206"/>
      <c r="E190" s="203"/>
      <c r="F190" s="203"/>
      <c r="G190" s="203"/>
      <c r="H190" s="203"/>
      <c r="I190" s="203"/>
      <c r="J190" s="203"/>
      <c r="K190" s="203"/>
      <c r="L190" s="203"/>
      <c r="M190" s="203"/>
      <c r="N190" s="203"/>
      <c r="O190" s="203">
        <f t="shared" si="34"/>
        <v>0</v>
      </c>
    </row>
    <row r="191" spans="1:15" s="220" customFormat="1" ht="15.75" customHeight="1" x14ac:dyDescent="0.2">
      <c r="A191" s="228"/>
      <c r="B191" s="196" t="s">
        <v>901</v>
      </c>
      <c r="C191" s="206">
        <v>0</v>
      </c>
      <c r="D191" s="206">
        <f>314580+3921.37</f>
        <v>318501.37</v>
      </c>
      <c r="E191" s="203">
        <f>769920+301.87</f>
        <v>770221.87</v>
      </c>
      <c r="F191" s="203">
        <f>530510</f>
        <v>530510</v>
      </c>
      <c r="G191" s="203">
        <v>395070</v>
      </c>
      <c r="H191" s="203">
        <f>330070+10965.69</f>
        <v>341035.69</v>
      </c>
      <c r="I191" s="203">
        <f>277500+323.36</f>
        <v>277823.35999999999</v>
      </c>
      <c r="J191" s="203">
        <f>34450+1777.91</f>
        <v>36227.910000000003</v>
      </c>
      <c r="K191" s="203">
        <f>89420+3559.59</f>
        <v>92979.59</v>
      </c>
      <c r="L191" s="203">
        <f>59220+948.3</f>
        <v>60168.3</v>
      </c>
      <c r="M191" s="203">
        <f>10160+5725.15</f>
        <v>15885.15</v>
      </c>
      <c r="N191" s="203">
        <f>62400+1181.44+7038117.62</f>
        <v>7101699.0600000005</v>
      </c>
      <c r="O191" s="203">
        <f t="shared" si="34"/>
        <v>9940122.3000000007</v>
      </c>
    </row>
    <row r="192" spans="1:15" s="220" customFormat="1" ht="15.75" customHeight="1" x14ac:dyDescent="0.2">
      <c r="A192" s="228"/>
      <c r="B192" s="196" t="s">
        <v>902</v>
      </c>
      <c r="C192" s="206">
        <v>34120</v>
      </c>
      <c r="D192" s="206">
        <v>141680</v>
      </c>
      <c r="E192" s="203"/>
      <c r="F192" s="203"/>
      <c r="G192" s="203"/>
      <c r="H192" s="203"/>
      <c r="I192" s="203"/>
      <c r="J192" s="203"/>
      <c r="K192" s="203"/>
      <c r="L192" s="203"/>
      <c r="M192" s="203"/>
      <c r="N192" s="203"/>
      <c r="O192" s="203">
        <f>SUM(B192:N192)</f>
        <v>175800</v>
      </c>
    </row>
    <row r="193" spans="1:15" s="220" customFormat="1" ht="15.75" customHeight="1" x14ac:dyDescent="0.2">
      <c r="A193" s="228"/>
      <c r="B193" s="196" t="s">
        <v>903</v>
      </c>
      <c r="C193" s="206">
        <v>1325170</v>
      </c>
      <c r="D193" s="206">
        <v>2837064.04</v>
      </c>
      <c r="E193" s="203">
        <v>3008240</v>
      </c>
      <c r="F193" s="203">
        <v>1676769.12</v>
      </c>
      <c r="G193" s="203">
        <v>2632260</v>
      </c>
      <c r="H193" s="203">
        <v>2369420.69</v>
      </c>
      <c r="I193" s="203">
        <v>1536947.98</v>
      </c>
      <c r="J193" s="203">
        <v>1572170</v>
      </c>
      <c r="K193" s="203">
        <v>1596280</v>
      </c>
      <c r="L193" s="203">
        <v>1150705.05</v>
      </c>
      <c r="M193" s="203">
        <v>429293.61</v>
      </c>
      <c r="N193" s="203">
        <v>4022570.02</v>
      </c>
      <c r="O193" s="203">
        <f t="shared" ref="O193:O199" si="35">SUM(C193:N193)</f>
        <v>24156890.509999998</v>
      </c>
    </row>
    <row r="194" spans="1:15" s="220" customFormat="1" ht="15.75" customHeight="1" x14ac:dyDescent="0.2">
      <c r="A194" s="228"/>
      <c r="B194" s="196" t="s">
        <v>904</v>
      </c>
      <c r="C194" s="206">
        <v>1698529.58</v>
      </c>
      <c r="D194" s="206">
        <v>639870.21</v>
      </c>
      <c r="E194" s="203">
        <v>1883231.74</v>
      </c>
      <c r="F194" s="203">
        <v>1111400</v>
      </c>
      <c r="G194" s="203">
        <v>1509148.3</v>
      </c>
      <c r="H194" s="203">
        <v>1689615.02</v>
      </c>
      <c r="I194" s="203">
        <v>615160</v>
      </c>
      <c r="J194" s="203">
        <v>417810</v>
      </c>
      <c r="K194" s="203">
        <v>487210</v>
      </c>
      <c r="L194" s="203">
        <v>1111949.1499999999</v>
      </c>
      <c r="M194" s="203">
        <v>2034565.86</v>
      </c>
      <c r="N194" s="203">
        <v>1363280</v>
      </c>
      <c r="O194" s="203">
        <f t="shared" si="35"/>
        <v>14561769.859999999</v>
      </c>
    </row>
    <row r="195" spans="1:15" s="220" customFormat="1" ht="15.75" customHeight="1" x14ac:dyDescent="0.2">
      <c r="A195" s="228"/>
      <c r="B195" s="196" t="s">
        <v>905</v>
      </c>
      <c r="C195" s="206">
        <v>2288645.5</v>
      </c>
      <c r="D195" s="206">
        <v>1274130</v>
      </c>
      <c r="E195" s="203">
        <v>3252100</v>
      </c>
      <c r="F195" s="203">
        <v>3980214.24</v>
      </c>
      <c r="G195" s="203">
        <v>922824.24</v>
      </c>
      <c r="H195" s="203">
        <v>756601.96</v>
      </c>
      <c r="I195" s="203">
        <v>568590</v>
      </c>
      <c r="J195" s="203">
        <v>342874.42</v>
      </c>
      <c r="K195" s="203">
        <v>303884.42</v>
      </c>
      <c r="L195" s="203">
        <v>210309.1</v>
      </c>
      <c r="M195" s="203">
        <v>478172.8</v>
      </c>
      <c r="N195" s="203">
        <v>2427570</v>
      </c>
      <c r="O195" s="203">
        <f t="shared" si="35"/>
        <v>16805916.68</v>
      </c>
    </row>
    <row r="196" spans="1:15" s="220" customFormat="1" ht="15.75" customHeight="1" x14ac:dyDescent="0.2">
      <c r="A196" s="228"/>
      <c r="B196" s="196" t="s">
        <v>906</v>
      </c>
      <c r="C196" s="206">
        <v>1676601.7</v>
      </c>
      <c r="D196" s="206">
        <v>5417020</v>
      </c>
      <c r="E196" s="203"/>
      <c r="F196" s="203"/>
      <c r="G196" s="203"/>
      <c r="H196" s="203"/>
      <c r="I196" s="203"/>
      <c r="J196" s="203"/>
      <c r="K196" s="203"/>
      <c r="L196" s="203"/>
      <c r="M196" s="203"/>
      <c r="N196" s="203"/>
      <c r="O196" s="203">
        <f t="shared" si="35"/>
        <v>7093621.7000000002</v>
      </c>
    </row>
    <row r="197" spans="1:15" s="220" customFormat="1" ht="15.75" customHeight="1" x14ac:dyDescent="0.2">
      <c r="A197" s="228"/>
      <c r="B197" s="196" t="s">
        <v>907</v>
      </c>
      <c r="C197" s="206">
        <f>4310000+19440</f>
        <v>4329440</v>
      </c>
      <c r="D197" s="206">
        <f>5510000+468540+3690.45</f>
        <v>5982230.4500000002</v>
      </c>
      <c r="E197" s="203">
        <f>3880000+773360+21755.18</f>
        <v>4675115.18</v>
      </c>
      <c r="F197" s="203">
        <f>2235000+283850+125000+120</f>
        <v>2643970</v>
      </c>
      <c r="G197" s="203">
        <f>2775000+233000+973.69</f>
        <v>3008973.69</v>
      </c>
      <c r="H197" s="203">
        <f>1780000+87620</f>
        <v>1867620</v>
      </c>
      <c r="I197" s="203">
        <f>485000+462580</f>
        <v>947580</v>
      </c>
      <c r="J197" s="203">
        <f>750000+136570</f>
        <v>886570</v>
      </c>
      <c r="K197" s="203">
        <f>165000+154300+1000.73</f>
        <v>320300.73</v>
      </c>
      <c r="L197" s="203">
        <f>3865000+241150+125000+3002.19</f>
        <v>4234152.1900000004</v>
      </c>
      <c r="M197" s="203">
        <f>9965000+165310</f>
        <v>10130310</v>
      </c>
      <c r="N197" s="203">
        <f>12980000+392880+1206.33</f>
        <v>13374086.33</v>
      </c>
      <c r="O197" s="203">
        <f t="shared" si="35"/>
        <v>52400348.57</v>
      </c>
    </row>
    <row r="198" spans="1:15" s="220" customFormat="1" ht="15.75" customHeight="1" x14ac:dyDescent="0.2">
      <c r="A198" s="228"/>
      <c r="B198" s="196" t="s">
        <v>908</v>
      </c>
      <c r="C198" s="206">
        <v>98150</v>
      </c>
      <c r="D198" s="206">
        <v>52110</v>
      </c>
      <c r="E198" s="203">
        <v>8660</v>
      </c>
      <c r="F198" s="203">
        <v>52560</v>
      </c>
      <c r="G198" s="203">
        <v>104520</v>
      </c>
      <c r="H198" s="203">
        <v>539920</v>
      </c>
      <c r="I198" s="203">
        <v>209740</v>
      </c>
      <c r="J198" s="203">
        <v>824100</v>
      </c>
      <c r="K198" s="203">
        <v>199050</v>
      </c>
      <c r="L198" s="203">
        <v>158790</v>
      </c>
      <c r="M198" s="203">
        <v>138960</v>
      </c>
      <c r="N198" s="203">
        <f>12826928.75</f>
        <v>12826928.75</v>
      </c>
      <c r="O198" s="203">
        <f t="shared" si="35"/>
        <v>15213488.75</v>
      </c>
    </row>
    <row r="199" spans="1:15" s="220" customFormat="1" ht="15.75" customHeight="1" x14ac:dyDescent="0.2">
      <c r="A199" s="228"/>
      <c r="B199" s="196" t="s">
        <v>909</v>
      </c>
      <c r="C199" s="206">
        <v>0</v>
      </c>
      <c r="D199" s="206">
        <v>0</v>
      </c>
      <c r="E199" s="203">
        <v>74880</v>
      </c>
      <c r="F199" s="203"/>
      <c r="G199" s="203"/>
      <c r="H199" s="203"/>
      <c r="I199" s="203"/>
      <c r="J199" s="203"/>
      <c r="K199" s="203"/>
      <c r="L199" s="203"/>
      <c r="M199" s="203"/>
      <c r="N199" s="203"/>
      <c r="O199" s="203">
        <f t="shared" si="35"/>
        <v>74880</v>
      </c>
    </row>
    <row r="200" spans="1:15" s="220" customFormat="1" ht="15.75" customHeight="1" x14ac:dyDescent="0.2">
      <c r="A200" s="228"/>
      <c r="B200" s="196" t="s">
        <v>910</v>
      </c>
      <c r="C200" s="212">
        <v>128124</v>
      </c>
      <c r="D200" s="212">
        <v>149510</v>
      </c>
      <c r="E200" s="203">
        <v>102510</v>
      </c>
      <c r="F200" s="203">
        <v>136450</v>
      </c>
      <c r="G200" s="203">
        <v>47560</v>
      </c>
      <c r="H200" s="203">
        <v>56060</v>
      </c>
      <c r="I200" s="203">
        <v>239450</v>
      </c>
      <c r="J200" s="203">
        <v>173020</v>
      </c>
      <c r="K200" s="203">
        <v>86480</v>
      </c>
      <c r="L200" s="203">
        <v>79160</v>
      </c>
      <c r="M200" s="203">
        <v>58750</v>
      </c>
      <c r="N200" s="203">
        <v>16994766.5</v>
      </c>
      <c r="O200" s="203">
        <f t="shared" ref="O200:O212" si="36">SUM(C200:N200)</f>
        <v>18251840.5</v>
      </c>
    </row>
    <row r="201" spans="1:15" s="220" customFormat="1" ht="15.75" customHeight="1" x14ac:dyDescent="0.2">
      <c r="A201" s="228"/>
      <c r="B201" s="196" t="s">
        <v>911</v>
      </c>
      <c r="C201" s="211">
        <v>48702.85</v>
      </c>
      <c r="D201" s="211">
        <v>192210</v>
      </c>
      <c r="E201" s="203">
        <v>203250</v>
      </c>
      <c r="F201" s="203">
        <v>123950</v>
      </c>
      <c r="G201" s="203">
        <v>310142.96999999997</v>
      </c>
      <c r="H201" s="203">
        <v>56690</v>
      </c>
      <c r="I201" s="211">
        <v>326530</v>
      </c>
      <c r="J201" s="203">
        <v>70360</v>
      </c>
      <c r="K201" s="211">
        <v>130390</v>
      </c>
      <c r="L201" s="211">
        <v>75810</v>
      </c>
      <c r="M201" s="211">
        <v>23160</v>
      </c>
      <c r="N201" s="211">
        <v>7073048.1900000004</v>
      </c>
      <c r="O201" s="203">
        <f t="shared" si="36"/>
        <v>8634244.0099999998</v>
      </c>
    </row>
    <row r="202" spans="1:15" s="220" customFormat="1" ht="15.75" customHeight="1" x14ac:dyDescent="0.2">
      <c r="A202" s="228"/>
      <c r="B202" s="196" t="s">
        <v>912</v>
      </c>
      <c r="C202" s="206">
        <v>20680</v>
      </c>
      <c r="D202" s="206">
        <v>14550</v>
      </c>
      <c r="E202" s="203">
        <v>79970</v>
      </c>
      <c r="F202" s="203">
        <v>67850</v>
      </c>
      <c r="G202" s="203">
        <v>159176</v>
      </c>
      <c r="H202" s="203">
        <v>141910</v>
      </c>
      <c r="I202" s="203">
        <v>228690</v>
      </c>
      <c r="J202" s="203">
        <v>230760</v>
      </c>
      <c r="K202" s="203">
        <v>96474</v>
      </c>
      <c r="L202" s="203">
        <v>149630</v>
      </c>
      <c r="M202" s="203">
        <f>1245950-1189690</f>
        <v>56260</v>
      </c>
      <c r="N202" s="203">
        <f>8282310.25-1245950</f>
        <v>7036360.25</v>
      </c>
      <c r="O202" s="203">
        <f t="shared" si="36"/>
        <v>8282310.25</v>
      </c>
    </row>
    <row r="203" spans="1:15" s="220" customFormat="1" ht="15.75" customHeight="1" x14ac:dyDescent="0.2">
      <c r="A203" s="228"/>
      <c r="B203" s="196" t="s">
        <v>913</v>
      </c>
      <c r="C203" s="206">
        <v>0</v>
      </c>
      <c r="D203" s="206">
        <v>13060</v>
      </c>
      <c r="E203" s="203">
        <v>10200</v>
      </c>
      <c r="F203" s="212">
        <v>51150</v>
      </c>
      <c r="G203" s="203">
        <v>54800</v>
      </c>
      <c r="H203" s="203">
        <v>15840</v>
      </c>
      <c r="I203" s="203">
        <v>29760</v>
      </c>
      <c r="J203" s="203">
        <v>33100</v>
      </c>
      <c r="K203" s="212">
        <v>62330</v>
      </c>
      <c r="L203" s="212">
        <v>30890</v>
      </c>
      <c r="M203" s="203">
        <v>32190</v>
      </c>
      <c r="N203" s="203">
        <v>5806645.5</v>
      </c>
      <c r="O203" s="203">
        <f t="shared" si="36"/>
        <v>6139965.5</v>
      </c>
    </row>
    <row r="204" spans="1:15" s="220" customFormat="1" ht="15.75" customHeight="1" x14ac:dyDescent="0.2">
      <c r="A204" s="228"/>
      <c r="B204" s="196" t="s">
        <v>914</v>
      </c>
      <c r="C204" s="206">
        <v>11590</v>
      </c>
      <c r="D204" s="206">
        <v>267870</v>
      </c>
      <c r="E204" s="203">
        <v>742612.37</v>
      </c>
      <c r="F204" s="203">
        <v>423310</v>
      </c>
      <c r="G204" s="203">
        <v>668210</v>
      </c>
      <c r="H204" s="203">
        <v>385360</v>
      </c>
      <c r="I204" s="203">
        <v>133840</v>
      </c>
      <c r="J204" s="203">
        <v>295510</v>
      </c>
      <c r="K204" s="203"/>
      <c r="L204" s="203"/>
      <c r="M204" s="203"/>
      <c r="N204" s="203"/>
      <c r="O204" s="203">
        <f t="shared" si="36"/>
        <v>2928302.37</v>
      </c>
    </row>
    <row r="205" spans="1:15" s="220" customFormat="1" ht="15.75" customHeight="1" x14ac:dyDescent="0.2">
      <c r="A205" s="228"/>
      <c r="B205" s="196" t="s">
        <v>915</v>
      </c>
      <c r="C205" s="206">
        <v>90220.74</v>
      </c>
      <c r="D205" s="206">
        <v>88700.7</v>
      </c>
      <c r="E205" s="203">
        <v>156222.91</v>
      </c>
      <c r="F205" s="203">
        <v>97306.96</v>
      </c>
      <c r="G205" s="203">
        <v>102909.23</v>
      </c>
      <c r="H205" s="203">
        <v>105856.36</v>
      </c>
      <c r="I205" s="203">
        <v>145240.22</v>
      </c>
      <c r="J205" s="203">
        <v>64800.33</v>
      </c>
      <c r="K205" s="203">
        <v>86139.91</v>
      </c>
      <c r="L205" s="203">
        <v>115227.78</v>
      </c>
      <c r="M205" s="203">
        <v>74380.7</v>
      </c>
      <c r="N205" s="203">
        <v>15483051.869999999</v>
      </c>
      <c r="O205" s="203">
        <f t="shared" si="36"/>
        <v>16610057.709999999</v>
      </c>
    </row>
    <row r="206" spans="1:15" s="220" customFormat="1" ht="15.75" customHeight="1" x14ac:dyDescent="0.2">
      <c r="A206" s="228"/>
      <c r="B206" s="196" t="s">
        <v>916</v>
      </c>
      <c r="C206" s="211">
        <v>29700</v>
      </c>
      <c r="D206" s="211">
        <v>6795.29</v>
      </c>
      <c r="E206" s="203">
        <v>19050.25</v>
      </c>
      <c r="F206" s="203">
        <v>14220</v>
      </c>
      <c r="G206" s="203">
        <v>25008.99</v>
      </c>
      <c r="H206" s="203">
        <v>17010</v>
      </c>
      <c r="I206" s="203">
        <v>26500.35</v>
      </c>
      <c r="J206" s="203">
        <v>14490</v>
      </c>
      <c r="K206" s="203">
        <v>32410</v>
      </c>
      <c r="L206" s="203">
        <v>9000</v>
      </c>
      <c r="M206" s="203">
        <v>17370</v>
      </c>
      <c r="N206" s="203">
        <v>19609.7</v>
      </c>
      <c r="O206" s="203">
        <f t="shared" si="36"/>
        <v>231164.58000000002</v>
      </c>
    </row>
    <row r="207" spans="1:15" s="220" customFormat="1" ht="15.75" customHeight="1" x14ac:dyDescent="0.2">
      <c r="A207" s="228"/>
      <c r="B207" s="196" t="s">
        <v>917</v>
      </c>
      <c r="C207" s="206">
        <v>322478.46999999997</v>
      </c>
      <c r="D207" s="206">
        <v>23679.65</v>
      </c>
      <c r="E207" s="203">
        <v>113767.97</v>
      </c>
      <c r="F207" s="203">
        <f>71110+5792.94</f>
        <v>76902.94</v>
      </c>
      <c r="G207" s="203">
        <f>81810+4370.45</f>
        <v>86180.45</v>
      </c>
      <c r="H207" s="203">
        <f>3556.76+141000</f>
        <v>144556.76</v>
      </c>
      <c r="I207" s="203">
        <f>14440.5+67400</f>
        <v>81840.5</v>
      </c>
      <c r="J207" s="203">
        <f>2478.72+320290</f>
        <v>322768.71999999997</v>
      </c>
      <c r="K207" s="203">
        <f>6864.59+163360</f>
        <v>170224.59</v>
      </c>
      <c r="L207" s="203">
        <f>4484.7+64990</f>
        <v>69474.7</v>
      </c>
      <c r="M207" s="203">
        <f>1898.89+200500</f>
        <v>202398.89</v>
      </c>
      <c r="N207" s="203">
        <f>72360+1211.33</f>
        <v>73571.33</v>
      </c>
      <c r="O207" s="203">
        <f t="shared" si="36"/>
        <v>1687844.9700000002</v>
      </c>
    </row>
    <row r="208" spans="1:15" s="220" customFormat="1" ht="15.75" customHeight="1" x14ac:dyDescent="0.2">
      <c r="A208" s="228"/>
      <c r="B208" s="196" t="s">
        <v>918</v>
      </c>
      <c r="C208" s="206">
        <v>0</v>
      </c>
      <c r="D208" s="206">
        <v>3694.39</v>
      </c>
      <c r="E208" s="203">
        <f>1524.3</f>
        <v>1524.3</v>
      </c>
      <c r="F208" s="203">
        <v>960</v>
      </c>
      <c r="G208" s="211">
        <v>104551.36</v>
      </c>
      <c r="H208" s="203">
        <v>7555.14</v>
      </c>
      <c r="I208" s="203">
        <v>16400</v>
      </c>
      <c r="J208" s="203">
        <v>22000</v>
      </c>
      <c r="K208" s="203">
        <v>64300</v>
      </c>
      <c r="L208" s="203">
        <v>59393.16</v>
      </c>
      <c r="M208" s="203">
        <v>0</v>
      </c>
      <c r="N208" s="203">
        <f>33660+6758947.75</f>
        <v>6792607.75</v>
      </c>
      <c r="O208" s="203">
        <f t="shared" si="36"/>
        <v>7072986.0999999996</v>
      </c>
    </row>
    <row r="209" spans="1:15" s="220" customFormat="1" ht="15.75" customHeight="1" x14ac:dyDescent="0.2">
      <c r="A209" s="228"/>
      <c r="B209" s="196" t="s">
        <v>919</v>
      </c>
      <c r="C209" s="206">
        <v>103720</v>
      </c>
      <c r="D209" s="206">
        <v>21280</v>
      </c>
      <c r="E209" s="203">
        <v>25689.41</v>
      </c>
      <c r="F209" s="203">
        <v>0</v>
      </c>
      <c r="G209" s="203">
        <v>0</v>
      </c>
      <c r="H209" s="203">
        <v>0</v>
      </c>
      <c r="I209" s="203">
        <v>16380</v>
      </c>
      <c r="J209" s="203">
        <f>83700+68405.2</f>
        <v>152105.20000000001</v>
      </c>
      <c r="K209" s="203">
        <v>81540</v>
      </c>
      <c r="L209" s="203">
        <v>31500</v>
      </c>
      <c r="M209" s="203">
        <v>25240</v>
      </c>
      <c r="N209" s="203">
        <v>66012.36</v>
      </c>
      <c r="O209" s="203">
        <f t="shared" si="36"/>
        <v>523466.97</v>
      </c>
    </row>
    <row r="210" spans="1:15" s="220" customFormat="1" ht="15.75" customHeight="1" x14ac:dyDescent="0.2">
      <c r="A210" s="228"/>
      <c r="B210" s="196" t="s">
        <v>920</v>
      </c>
      <c r="C210" s="206">
        <v>0</v>
      </c>
      <c r="D210" s="206">
        <v>12540</v>
      </c>
      <c r="E210" s="203">
        <v>3060</v>
      </c>
      <c r="F210" s="203">
        <v>49300</v>
      </c>
      <c r="G210" s="203">
        <v>116220</v>
      </c>
      <c r="H210" s="203">
        <v>28470</v>
      </c>
      <c r="I210" s="203">
        <v>37393.75</v>
      </c>
      <c r="J210" s="203">
        <v>41887.599999999999</v>
      </c>
      <c r="K210" s="203">
        <v>81940</v>
      </c>
      <c r="L210" s="203">
        <v>28811.45</v>
      </c>
      <c r="M210" s="203">
        <v>27431.89</v>
      </c>
      <c r="N210" s="203">
        <v>1260</v>
      </c>
      <c r="O210" s="203">
        <f t="shared" si="36"/>
        <v>428314.69</v>
      </c>
    </row>
    <row r="211" spans="1:15" s="220" customFormat="1" ht="15.75" customHeight="1" x14ac:dyDescent="0.2">
      <c r="A211" s="228"/>
      <c r="B211" s="196" t="s">
        <v>921</v>
      </c>
      <c r="C211" s="211">
        <v>59156.65</v>
      </c>
      <c r="D211" s="211">
        <v>87875.23</v>
      </c>
      <c r="E211" s="203">
        <v>484270</v>
      </c>
      <c r="F211" s="203">
        <v>245350</v>
      </c>
      <c r="G211" s="203">
        <v>276140</v>
      </c>
      <c r="H211" s="203">
        <v>304734.03999999998</v>
      </c>
      <c r="I211" s="203">
        <v>288530</v>
      </c>
      <c r="J211" s="203">
        <v>196438.99</v>
      </c>
      <c r="K211" s="203">
        <v>108600</v>
      </c>
      <c r="L211" s="203">
        <v>240902.86</v>
      </c>
      <c r="M211" s="203">
        <v>204080</v>
      </c>
      <c r="N211" s="203">
        <v>5021370.2300000004</v>
      </c>
      <c r="O211" s="203">
        <f t="shared" si="36"/>
        <v>7517448</v>
      </c>
    </row>
    <row r="212" spans="1:15" s="220" customFormat="1" ht="15.75" customHeight="1" x14ac:dyDescent="0.2">
      <c r="A212" s="228"/>
      <c r="B212" s="196" t="s">
        <v>922</v>
      </c>
      <c r="C212" s="206">
        <v>77197.25</v>
      </c>
      <c r="D212" s="206">
        <v>150083.25</v>
      </c>
      <c r="E212" s="203">
        <v>62471.38</v>
      </c>
      <c r="F212" s="203">
        <v>122325.57</v>
      </c>
      <c r="G212" s="203">
        <v>103178.98</v>
      </c>
      <c r="H212" s="203">
        <v>174720.59</v>
      </c>
      <c r="I212" s="203">
        <v>197423.19</v>
      </c>
      <c r="J212" s="203">
        <v>286102.65000000002</v>
      </c>
      <c r="K212" s="203">
        <v>66228.39</v>
      </c>
      <c r="L212" s="203">
        <v>132341.72</v>
      </c>
      <c r="M212" s="203">
        <v>110700.59</v>
      </c>
      <c r="N212" s="203">
        <v>19959793.77</v>
      </c>
      <c r="O212" s="203">
        <f t="shared" si="36"/>
        <v>21442567.329999998</v>
      </c>
    </row>
    <row r="213" spans="1:15" s="220" customFormat="1" ht="15.75" customHeight="1" x14ac:dyDescent="0.2">
      <c r="A213" s="228"/>
      <c r="B213" s="196" t="s">
        <v>923</v>
      </c>
      <c r="C213" s="212">
        <v>51600</v>
      </c>
      <c r="D213" s="212">
        <v>74890</v>
      </c>
      <c r="E213" s="203">
        <v>40323.24</v>
      </c>
      <c r="F213" s="203">
        <v>160367.79999999999</v>
      </c>
      <c r="G213" s="203">
        <v>532810</v>
      </c>
      <c r="H213" s="211">
        <v>160710</v>
      </c>
      <c r="I213" s="203">
        <v>264210</v>
      </c>
      <c r="J213" s="203"/>
      <c r="K213" s="203"/>
      <c r="L213" s="203"/>
      <c r="M213" s="203"/>
      <c r="N213" s="203"/>
      <c r="O213" s="203">
        <f t="shared" ref="O213:O215" si="37">SUM(C213:N213)</f>
        <v>1284911.04</v>
      </c>
    </row>
    <row r="214" spans="1:15" s="220" customFormat="1" ht="15.75" customHeight="1" x14ac:dyDescent="0.2">
      <c r="A214" s="228"/>
      <c r="B214" s="196" t="s">
        <v>924</v>
      </c>
      <c r="C214" s="206">
        <v>8368</v>
      </c>
      <c r="D214" s="206">
        <v>12056</v>
      </c>
      <c r="E214" s="203">
        <v>1316.45</v>
      </c>
      <c r="F214" s="203">
        <v>8484.9</v>
      </c>
      <c r="G214" s="203">
        <v>6586.5</v>
      </c>
      <c r="H214" s="203">
        <v>0</v>
      </c>
      <c r="I214" s="203">
        <v>8730</v>
      </c>
      <c r="J214" s="203">
        <v>5100</v>
      </c>
      <c r="K214" s="203">
        <v>9723</v>
      </c>
      <c r="L214" s="203">
        <v>101270.39999999999</v>
      </c>
      <c r="M214" s="203">
        <v>103700</v>
      </c>
      <c r="N214" s="203">
        <v>7299177.75</v>
      </c>
      <c r="O214" s="203">
        <f t="shared" si="37"/>
        <v>7564513</v>
      </c>
    </row>
    <row r="215" spans="1:15" s="220" customFormat="1" ht="15.75" customHeight="1" x14ac:dyDescent="0.2">
      <c r="A215" s="228"/>
      <c r="B215" s="196" t="s">
        <v>925</v>
      </c>
      <c r="C215" s="212">
        <v>366978.17</v>
      </c>
      <c r="D215" s="212">
        <v>165845</v>
      </c>
      <c r="E215" s="203">
        <v>160960</v>
      </c>
      <c r="F215" s="203">
        <v>202150</v>
      </c>
      <c r="G215" s="203">
        <v>283530</v>
      </c>
      <c r="H215" s="203">
        <v>512511.4</v>
      </c>
      <c r="I215" s="203">
        <v>381530.8</v>
      </c>
      <c r="J215" s="203">
        <v>114785</v>
      </c>
      <c r="K215" s="203">
        <f>133590+13976.5</f>
        <v>147566.5</v>
      </c>
      <c r="L215" s="203">
        <f>122880+9064.13</f>
        <v>131944.13</v>
      </c>
      <c r="M215" s="203">
        <f>127850+57299.29</f>
        <v>185149.29</v>
      </c>
      <c r="N215" s="203">
        <f>112200+3908+3721429+50000</f>
        <v>3887537</v>
      </c>
      <c r="O215" s="203">
        <f t="shared" si="37"/>
        <v>6540487.29</v>
      </c>
    </row>
    <row r="216" spans="1:15" s="220" customFormat="1" ht="15.75" customHeight="1" x14ac:dyDescent="0.2">
      <c r="A216" s="228"/>
      <c r="B216" s="196" t="s">
        <v>926</v>
      </c>
      <c r="C216" s="212">
        <v>66145.289999999994</v>
      </c>
      <c r="D216" s="212">
        <v>43506.47</v>
      </c>
      <c r="E216" s="203">
        <v>74235.59</v>
      </c>
      <c r="F216" s="212">
        <v>101064.55</v>
      </c>
      <c r="G216" s="203">
        <v>906008.4</v>
      </c>
      <c r="H216" s="203">
        <v>171444.61</v>
      </c>
      <c r="I216" s="203">
        <v>156903.07</v>
      </c>
      <c r="J216" s="203">
        <v>128541.74</v>
      </c>
      <c r="K216" s="203">
        <v>206559.45</v>
      </c>
      <c r="L216" s="203">
        <v>48052.17</v>
      </c>
      <c r="M216" s="203">
        <v>8685.7800000000007</v>
      </c>
      <c r="N216" s="203">
        <v>58899.06</v>
      </c>
      <c r="O216" s="203">
        <f t="shared" ref="O216:O254" si="38">SUM(C216:N216)</f>
        <v>1970046.1800000002</v>
      </c>
    </row>
    <row r="217" spans="1:15" s="220" customFormat="1" ht="15.75" customHeight="1" x14ac:dyDescent="0.2">
      <c r="A217" s="228"/>
      <c r="B217" s="196" t="s">
        <v>927</v>
      </c>
      <c r="C217" s="203">
        <v>5702659.0099999998</v>
      </c>
      <c r="D217" s="203">
        <v>444715</v>
      </c>
      <c r="E217" s="203">
        <v>15341120</v>
      </c>
      <c r="F217" s="203">
        <v>390436.8</v>
      </c>
      <c r="G217" s="203">
        <v>582260</v>
      </c>
      <c r="H217" s="203">
        <v>563610</v>
      </c>
      <c r="I217" s="203">
        <v>477214.32</v>
      </c>
      <c r="J217" s="203">
        <v>506180</v>
      </c>
      <c r="K217" s="203">
        <v>820590</v>
      </c>
      <c r="L217" s="203">
        <v>4320213.41</v>
      </c>
      <c r="M217" s="203">
        <v>21327540</v>
      </c>
      <c r="N217" s="203">
        <v>10769481.029999999</v>
      </c>
      <c r="O217" s="203">
        <f t="shared" si="38"/>
        <v>61246019.57</v>
      </c>
    </row>
    <row r="218" spans="1:15" s="220" customFormat="1" ht="15.75" customHeight="1" x14ac:dyDescent="0.2">
      <c r="A218" s="228"/>
      <c r="B218" s="196" t="s">
        <v>928</v>
      </c>
      <c r="C218" s="206">
        <v>136373.07999999999</v>
      </c>
      <c r="D218" s="206">
        <v>202260</v>
      </c>
      <c r="E218" s="203">
        <v>236060</v>
      </c>
      <c r="F218" s="203">
        <v>291650</v>
      </c>
      <c r="G218" s="203">
        <v>211956.4</v>
      </c>
      <c r="H218" s="203">
        <v>291040</v>
      </c>
      <c r="I218" s="203">
        <v>606621.77</v>
      </c>
      <c r="J218" s="203">
        <v>929270</v>
      </c>
      <c r="K218" s="203">
        <v>715300</v>
      </c>
      <c r="L218" s="203">
        <v>552800</v>
      </c>
      <c r="M218" s="203">
        <v>671516</v>
      </c>
      <c r="N218" s="203">
        <v>485981</v>
      </c>
      <c r="O218" s="203">
        <f t="shared" si="38"/>
        <v>5330828.25</v>
      </c>
    </row>
    <row r="219" spans="1:15" s="220" customFormat="1" ht="15.75" hidden="1" customHeight="1" x14ac:dyDescent="0.2">
      <c r="A219" s="228"/>
      <c r="B219" s="196" t="s">
        <v>1072</v>
      </c>
      <c r="C219" s="206"/>
      <c r="D219" s="206"/>
      <c r="E219" s="203"/>
      <c r="F219" s="203"/>
      <c r="G219" s="203"/>
      <c r="H219" s="203"/>
      <c r="I219" s="203"/>
      <c r="J219" s="203"/>
      <c r="K219" s="203"/>
      <c r="L219" s="203"/>
      <c r="M219" s="203"/>
      <c r="N219" s="203"/>
      <c r="O219" s="203">
        <f t="shared" si="38"/>
        <v>0</v>
      </c>
    </row>
    <row r="220" spans="1:15" s="220" customFormat="1" ht="15.75" hidden="1" customHeight="1" x14ac:dyDescent="0.2">
      <c r="A220" s="228"/>
      <c r="B220" s="196" t="s">
        <v>1073</v>
      </c>
      <c r="C220" s="206"/>
      <c r="D220" s="206"/>
      <c r="E220" s="203"/>
      <c r="F220" s="203"/>
      <c r="G220" s="203"/>
      <c r="H220" s="203"/>
      <c r="I220" s="203"/>
      <c r="J220" s="203"/>
      <c r="K220" s="203"/>
      <c r="L220" s="203"/>
      <c r="M220" s="203"/>
      <c r="N220" s="203"/>
      <c r="O220" s="203">
        <f t="shared" si="38"/>
        <v>0</v>
      </c>
    </row>
    <row r="221" spans="1:15" s="220" customFormat="1" ht="15.75" hidden="1" customHeight="1" x14ac:dyDescent="0.2">
      <c r="A221" s="228"/>
      <c r="B221" s="196" t="s">
        <v>1074</v>
      </c>
      <c r="C221" s="206"/>
      <c r="D221" s="206"/>
      <c r="E221" s="203"/>
      <c r="F221" s="203"/>
      <c r="G221" s="203"/>
      <c r="H221" s="203"/>
      <c r="I221" s="203"/>
      <c r="J221" s="203"/>
      <c r="K221" s="203"/>
      <c r="L221" s="203"/>
      <c r="M221" s="203"/>
      <c r="N221" s="203"/>
      <c r="O221" s="203">
        <f t="shared" si="38"/>
        <v>0</v>
      </c>
    </row>
    <row r="222" spans="1:15" s="220" customFormat="1" ht="15.75" hidden="1" customHeight="1" x14ac:dyDescent="0.2">
      <c r="A222" s="228"/>
      <c r="B222" s="196" t="s">
        <v>1075</v>
      </c>
      <c r="C222" s="206"/>
      <c r="D222" s="206"/>
      <c r="E222" s="203"/>
      <c r="F222" s="203"/>
      <c r="G222" s="203"/>
      <c r="H222" s="203"/>
      <c r="I222" s="203"/>
      <c r="J222" s="203"/>
      <c r="K222" s="203"/>
      <c r="L222" s="203"/>
      <c r="M222" s="203"/>
      <c r="N222" s="203"/>
      <c r="O222" s="203">
        <f t="shared" si="38"/>
        <v>0</v>
      </c>
    </row>
    <row r="223" spans="1:15" s="220" customFormat="1" ht="15.75" hidden="1" customHeight="1" x14ac:dyDescent="0.2">
      <c r="A223" s="228"/>
      <c r="B223" s="196" t="s">
        <v>1076</v>
      </c>
      <c r="C223" s="206"/>
      <c r="D223" s="206"/>
      <c r="E223" s="203"/>
      <c r="F223" s="203"/>
      <c r="G223" s="203"/>
      <c r="H223" s="203"/>
      <c r="I223" s="203"/>
      <c r="J223" s="203"/>
      <c r="K223" s="203"/>
      <c r="L223" s="203"/>
      <c r="M223" s="203"/>
      <c r="N223" s="203"/>
      <c r="O223" s="203">
        <f t="shared" si="38"/>
        <v>0</v>
      </c>
    </row>
    <row r="224" spans="1:15" s="220" customFormat="1" ht="15.75" customHeight="1" x14ac:dyDescent="0.2">
      <c r="A224" s="228"/>
      <c r="B224" s="196" t="s">
        <v>929</v>
      </c>
      <c r="C224" s="206">
        <v>302155</v>
      </c>
      <c r="D224" s="206">
        <v>248948.3</v>
      </c>
      <c r="E224" s="203">
        <v>175232</v>
      </c>
      <c r="F224" s="203">
        <v>231870</v>
      </c>
      <c r="G224" s="203">
        <v>571060</v>
      </c>
      <c r="H224" s="203">
        <v>379100</v>
      </c>
      <c r="I224" s="203">
        <v>557726.09</v>
      </c>
      <c r="J224" s="203">
        <v>344620</v>
      </c>
      <c r="K224" s="203">
        <v>434116.39</v>
      </c>
      <c r="L224" s="203">
        <v>178366.68</v>
      </c>
      <c r="M224" s="203">
        <v>172620</v>
      </c>
      <c r="N224" s="203">
        <v>495100</v>
      </c>
      <c r="O224" s="203">
        <f t="shared" si="38"/>
        <v>4090914.4600000004</v>
      </c>
    </row>
    <row r="225" spans="1:15" s="220" customFormat="1" ht="15.75" hidden="1" customHeight="1" x14ac:dyDescent="0.2">
      <c r="A225" s="228"/>
      <c r="B225" s="196" t="s">
        <v>1077</v>
      </c>
      <c r="C225" s="206"/>
      <c r="D225" s="206"/>
      <c r="E225" s="203"/>
      <c r="F225" s="203"/>
      <c r="G225" s="203"/>
      <c r="H225" s="203"/>
      <c r="I225" s="203"/>
      <c r="J225" s="203"/>
      <c r="K225" s="203"/>
      <c r="L225" s="203"/>
      <c r="M225" s="203"/>
      <c r="N225" s="203"/>
      <c r="O225" s="203">
        <f t="shared" si="38"/>
        <v>0</v>
      </c>
    </row>
    <row r="226" spans="1:15" s="220" customFormat="1" ht="15.75" customHeight="1" x14ac:dyDescent="0.2">
      <c r="A226" s="228"/>
      <c r="B226" s="196" t="s">
        <v>930</v>
      </c>
      <c r="C226" s="206">
        <v>2082760</v>
      </c>
      <c r="D226" s="206">
        <v>2187390</v>
      </c>
      <c r="E226" s="203">
        <v>2365950</v>
      </c>
      <c r="F226" s="203">
        <v>1842900</v>
      </c>
      <c r="G226" s="203">
        <v>2157720</v>
      </c>
      <c r="H226" s="203">
        <v>1353640</v>
      </c>
      <c r="I226" s="203">
        <v>2678140</v>
      </c>
      <c r="J226" s="203">
        <v>2421260</v>
      </c>
      <c r="K226" s="203">
        <v>2141970</v>
      </c>
      <c r="L226" s="203">
        <v>2643694.86</v>
      </c>
      <c r="M226" s="203">
        <v>2158980</v>
      </c>
      <c r="N226" s="203">
        <v>1438740</v>
      </c>
      <c r="O226" s="203">
        <f t="shared" si="38"/>
        <v>25473144.859999999</v>
      </c>
    </row>
    <row r="227" spans="1:15" s="220" customFormat="1" ht="15.75" customHeight="1" x14ac:dyDescent="0.2">
      <c r="A227" s="228"/>
      <c r="B227" s="196" t="s">
        <v>931</v>
      </c>
      <c r="C227" s="206">
        <v>21020</v>
      </c>
      <c r="D227" s="206">
        <v>120770</v>
      </c>
      <c r="E227" s="203">
        <v>231770</v>
      </c>
      <c r="F227" s="203">
        <v>142520</v>
      </c>
      <c r="G227" s="203">
        <v>1006453.65</v>
      </c>
      <c r="H227" s="203">
        <v>236100</v>
      </c>
      <c r="I227" s="203">
        <v>218310</v>
      </c>
      <c r="J227" s="203">
        <v>243730</v>
      </c>
      <c r="K227" s="203">
        <v>245570</v>
      </c>
      <c r="L227" s="203">
        <v>160510</v>
      </c>
      <c r="M227" s="203">
        <v>305200</v>
      </c>
      <c r="N227" s="203">
        <v>129620</v>
      </c>
      <c r="O227" s="203">
        <f t="shared" si="38"/>
        <v>3061573.65</v>
      </c>
    </row>
    <row r="228" spans="1:15" s="220" customFormat="1" ht="15.75" customHeight="1" x14ac:dyDescent="0.2">
      <c r="A228" s="228"/>
      <c r="B228" s="196" t="s">
        <v>932</v>
      </c>
      <c r="C228" s="206">
        <v>1100000</v>
      </c>
      <c r="D228" s="206">
        <v>25135000</v>
      </c>
      <c r="E228" s="203">
        <v>20725000</v>
      </c>
      <c r="F228" s="203">
        <v>11730000</v>
      </c>
      <c r="G228" s="203">
        <v>16100000</v>
      </c>
      <c r="H228" s="203">
        <v>9290000</v>
      </c>
      <c r="I228" s="203">
        <v>1765000</v>
      </c>
      <c r="J228" s="203">
        <v>6066000</v>
      </c>
      <c r="K228" s="203">
        <v>50000</v>
      </c>
      <c r="L228" s="203">
        <v>245000</v>
      </c>
      <c r="M228" s="203">
        <v>11085000</v>
      </c>
      <c r="N228" s="203">
        <v>25595000</v>
      </c>
      <c r="O228" s="203">
        <f t="shared" si="38"/>
        <v>128886000</v>
      </c>
    </row>
    <row r="229" spans="1:15" s="220" customFormat="1" ht="15.75" customHeight="1" x14ac:dyDescent="0.2">
      <c r="A229" s="228"/>
      <c r="B229" s="196" t="s">
        <v>933</v>
      </c>
      <c r="C229" s="212">
        <v>280000</v>
      </c>
      <c r="D229" s="212">
        <v>177940</v>
      </c>
      <c r="E229" s="212">
        <v>141260</v>
      </c>
      <c r="F229" s="212">
        <v>57110</v>
      </c>
      <c r="G229" s="212">
        <v>58290</v>
      </c>
      <c r="H229" s="212">
        <v>109820</v>
      </c>
      <c r="I229" s="203">
        <v>131300</v>
      </c>
      <c r="J229" s="203">
        <v>190800</v>
      </c>
      <c r="K229" s="203">
        <v>138170</v>
      </c>
      <c r="L229" s="212">
        <v>203880</v>
      </c>
      <c r="M229" s="203">
        <v>71780</v>
      </c>
      <c r="N229" s="203">
        <v>218.77</v>
      </c>
      <c r="O229" s="203">
        <f t="shared" si="38"/>
        <v>1560568.77</v>
      </c>
    </row>
    <row r="230" spans="1:15" s="220" customFormat="1" ht="15.75" customHeight="1" x14ac:dyDescent="0.2">
      <c r="A230" s="228"/>
      <c r="B230" s="196" t="s">
        <v>934</v>
      </c>
      <c r="C230" s="206">
        <v>2340</v>
      </c>
      <c r="D230" s="206">
        <v>108964.6</v>
      </c>
      <c r="E230" s="203">
        <v>392920</v>
      </c>
      <c r="F230" s="203">
        <v>94120</v>
      </c>
      <c r="G230" s="203">
        <v>358460</v>
      </c>
      <c r="H230" s="203">
        <v>90430</v>
      </c>
      <c r="I230" s="203">
        <v>275870</v>
      </c>
      <c r="J230" s="203">
        <v>144550</v>
      </c>
      <c r="K230" s="203">
        <v>60750</v>
      </c>
      <c r="L230" s="203">
        <v>203749.9</v>
      </c>
      <c r="M230" s="203">
        <v>110759.34</v>
      </c>
      <c r="N230" s="203">
        <v>182900.17</v>
      </c>
      <c r="O230" s="203">
        <f t="shared" si="38"/>
        <v>2025814.01</v>
      </c>
    </row>
    <row r="231" spans="1:15" s="220" customFormat="1" ht="15.75" customHeight="1" x14ac:dyDescent="0.2">
      <c r="B231" s="196" t="s">
        <v>935</v>
      </c>
      <c r="C231" s="212">
        <v>26050</v>
      </c>
      <c r="D231" s="212">
        <v>48810</v>
      </c>
      <c r="E231" s="211">
        <v>237240</v>
      </c>
      <c r="F231" s="211">
        <v>386560</v>
      </c>
      <c r="G231" s="211">
        <v>135060</v>
      </c>
      <c r="H231" s="211">
        <v>163880</v>
      </c>
      <c r="I231" s="211">
        <v>125490</v>
      </c>
      <c r="J231" s="211">
        <v>271250</v>
      </c>
      <c r="K231" s="211">
        <v>107110</v>
      </c>
      <c r="L231" s="211">
        <v>121740</v>
      </c>
      <c r="M231" s="211">
        <v>127480</v>
      </c>
      <c r="N231" s="211">
        <v>96550</v>
      </c>
      <c r="O231" s="211">
        <f t="shared" si="38"/>
        <v>1847220</v>
      </c>
    </row>
    <row r="232" spans="1:15" s="220" customFormat="1" ht="15.75" customHeight="1" x14ac:dyDescent="0.2">
      <c r="A232" s="228"/>
      <c r="B232" s="196" t="s">
        <v>936</v>
      </c>
      <c r="C232" s="206">
        <v>4660</v>
      </c>
      <c r="D232" s="206">
        <v>94365.440000000002</v>
      </c>
      <c r="E232" s="203">
        <f>126700+736</f>
        <v>127436</v>
      </c>
      <c r="F232" s="203">
        <f>207520</f>
        <v>207520</v>
      </c>
      <c r="G232" s="203">
        <f>95060+474.32</f>
        <v>95534.32</v>
      </c>
      <c r="H232" s="203">
        <v>82420</v>
      </c>
      <c r="I232" s="203">
        <v>9560</v>
      </c>
      <c r="J232" s="203">
        <f>10760+439300</f>
        <v>450060</v>
      </c>
      <c r="K232" s="203">
        <v>76980</v>
      </c>
      <c r="L232" s="203">
        <f>125560+5527.48</f>
        <v>131087.48000000001</v>
      </c>
      <c r="M232" s="203">
        <f>149600+2205.38</f>
        <v>151805.38</v>
      </c>
      <c r="N232" s="203">
        <v>20700</v>
      </c>
      <c r="O232" s="203">
        <f t="shared" si="38"/>
        <v>1452128.62</v>
      </c>
    </row>
    <row r="233" spans="1:15" s="220" customFormat="1" ht="15.75" customHeight="1" x14ac:dyDescent="0.2">
      <c r="A233" s="228"/>
      <c r="B233" s="196" t="s">
        <v>937</v>
      </c>
      <c r="C233" s="206">
        <v>133809.94</v>
      </c>
      <c r="D233" s="206">
        <v>324639.53000000003</v>
      </c>
      <c r="E233" s="203">
        <v>925455.57</v>
      </c>
      <c r="F233" s="203">
        <v>576455.42000000004</v>
      </c>
      <c r="G233" s="203">
        <v>559974.88</v>
      </c>
      <c r="H233" s="203">
        <v>519625.18</v>
      </c>
      <c r="I233" s="203">
        <v>538883.28</v>
      </c>
      <c r="J233" s="203">
        <v>679055.17</v>
      </c>
      <c r="K233" s="203">
        <v>460516.57</v>
      </c>
      <c r="L233" s="203">
        <v>233914.89</v>
      </c>
      <c r="M233" s="203">
        <v>368975.41</v>
      </c>
      <c r="N233" s="203">
        <v>1723717.18</v>
      </c>
      <c r="O233" s="203">
        <f t="shared" si="38"/>
        <v>7045023.0199999996</v>
      </c>
    </row>
    <row r="234" spans="1:15" s="220" customFormat="1" ht="15.75" customHeight="1" x14ac:dyDescent="0.2">
      <c r="A234" s="228"/>
      <c r="B234" s="196" t="s">
        <v>938</v>
      </c>
      <c r="C234" s="206">
        <v>176860</v>
      </c>
      <c r="D234" s="206">
        <v>27933.42</v>
      </c>
      <c r="E234" s="203">
        <v>812920</v>
      </c>
      <c r="F234" s="203">
        <v>259630</v>
      </c>
      <c r="G234" s="203">
        <v>110211.73</v>
      </c>
      <c r="H234" s="203">
        <v>99040</v>
      </c>
      <c r="I234" s="203">
        <v>188027</v>
      </c>
      <c r="J234" s="203">
        <v>326650</v>
      </c>
      <c r="K234" s="203">
        <v>260020</v>
      </c>
      <c r="L234" s="203">
        <v>317530</v>
      </c>
      <c r="M234" s="203">
        <v>472190</v>
      </c>
      <c r="N234" s="203">
        <v>0</v>
      </c>
      <c r="O234" s="203">
        <f t="shared" si="38"/>
        <v>3051012.15</v>
      </c>
    </row>
    <row r="235" spans="1:15" s="220" customFormat="1" ht="15.75" customHeight="1" x14ac:dyDescent="0.2">
      <c r="A235" s="228"/>
      <c r="B235" s="196" t="s">
        <v>939</v>
      </c>
      <c r="C235" s="212">
        <v>21070</v>
      </c>
      <c r="D235" s="212">
        <v>2790</v>
      </c>
      <c r="E235" s="212">
        <v>257080</v>
      </c>
      <c r="F235" s="212">
        <v>186270</v>
      </c>
      <c r="G235" s="212">
        <v>92320</v>
      </c>
      <c r="H235" s="212">
        <v>191660</v>
      </c>
      <c r="I235" s="212">
        <v>145800</v>
      </c>
      <c r="J235" s="212">
        <v>115600</v>
      </c>
      <c r="K235" s="212">
        <v>129640</v>
      </c>
      <c r="L235" s="212">
        <v>144190</v>
      </c>
      <c r="M235" s="212">
        <v>130160</v>
      </c>
      <c r="N235" s="212">
        <v>156910</v>
      </c>
      <c r="O235" s="206">
        <f t="shared" si="38"/>
        <v>1573490</v>
      </c>
    </row>
    <row r="236" spans="1:15" s="220" customFormat="1" ht="15.75" customHeight="1" x14ac:dyDescent="0.2">
      <c r="A236" s="228"/>
      <c r="B236" s="196" t="s">
        <v>940</v>
      </c>
      <c r="C236" s="206">
        <v>20340</v>
      </c>
      <c r="D236" s="206">
        <v>67360</v>
      </c>
      <c r="E236" s="203">
        <v>155050</v>
      </c>
      <c r="F236" s="203">
        <v>137220</v>
      </c>
      <c r="G236" s="203">
        <v>117260</v>
      </c>
      <c r="H236" s="203">
        <v>108180</v>
      </c>
      <c r="I236" s="203">
        <v>149710</v>
      </c>
      <c r="J236" s="203">
        <v>132770</v>
      </c>
      <c r="K236" s="203">
        <v>87920</v>
      </c>
      <c r="L236" s="203">
        <v>35190</v>
      </c>
      <c r="M236" s="203">
        <v>158990</v>
      </c>
      <c r="N236" s="203">
        <v>114710</v>
      </c>
      <c r="O236" s="203">
        <f t="shared" si="38"/>
        <v>1284700</v>
      </c>
    </row>
    <row r="237" spans="1:15" s="220" customFormat="1" ht="15.75" customHeight="1" x14ac:dyDescent="0.2">
      <c r="A237" s="228"/>
      <c r="B237" s="196" t="s">
        <v>941</v>
      </c>
      <c r="C237" s="206">
        <v>11610</v>
      </c>
      <c r="D237" s="206">
        <v>24930</v>
      </c>
      <c r="E237" s="203">
        <v>67870</v>
      </c>
      <c r="F237" s="203">
        <v>18680</v>
      </c>
      <c r="G237" s="203">
        <v>33610</v>
      </c>
      <c r="H237" s="203">
        <v>65680</v>
      </c>
      <c r="I237" s="203">
        <v>109290</v>
      </c>
      <c r="J237" s="203">
        <v>132330</v>
      </c>
      <c r="K237" s="203">
        <v>113830</v>
      </c>
      <c r="L237" s="203">
        <v>19480</v>
      </c>
      <c r="M237" s="203">
        <v>50460</v>
      </c>
      <c r="N237" s="203">
        <v>94110</v>
      </c>
      <c r="O237" s="203">
        <f t="shared" si="38"/>
        <v>741880</v>
      </c>
    </row>
    <row r="238" spans="1:15" s="220" customFormat="1" ht="15.75" customHeight="1" x14ac:dyDescent="0.2">
      <c r="A238" s="228"/>
      <c r="B238" s="196" t="s">
        <v>942</v>
      </c>
      <c r="C238" s="206">
        <v>42339</v>
      </c>
      <c r="D238" s="206">
        <v>1782</v>
      </c>
      <c r="E238" s="203">
        <v>121913</v>
      </c>
      <c r="F238" s="203">
        <v>28974</v>
      </c>
      <c r="G238" s="203">
        <v>50963</v>
      </c>
      <c r="H238" s="203">
        <v>104973</v>
      </c>
      <c r="I238" s="203">
        <v>49005</v>
      </c>
      <c r="J238" s="203">
        <v>97229</v>
      </c>
      <c r="K238" s="203">
        <v>216972</v>
      </c>
      <c r="L238" s="203">
        <v>40830</v>
      </c>
      <c r="M238" s="203">
        <v>81320</v>
      </c>
      <c r="N238" s="203">
        <v>60320</v>
      </c>
      <c r="O238" s="203">
        <f t="shared" si="38"/>
        <v>896620</v>
      </c>
    </row>
    <row r="239" spans="1:15" s="220" customFormat="1" ht="15.75" customHeight="1" x14ac:dyDescent="0.2">
      <c r="A239" s="228"/>
      <c r="B239" s="196" t="s">
        <v>943</v>
      </c>
      <c r="C239" s="206">
        <v>9240</v>
      </c>
      <c r="D239" s="206">
        <v>0</v>
      </c>
      <c r="E239" s="203">
        <v>37910</v>
      </c>
      <c r="F239" s="203">
        <v>81990</v>
      </c>
      <c r="G239" s="203">
        <v>100561.93</v>
      </c>
      <c r="H239" s="203">
        <v>43350</v>
      </c>
      <c r="I239" s="203">
        <v>28100</v>
      </c>
      <c r="J239" s="203">
        <v>16560</v>
      </c>
      <c r="K239" s="203">
        <v>21900</v>
      </c>
      <c r="L239" s="203">
        <v>52920</v>
      </c>
      <c r="M239" s="203">
        <v>18424.25</v>
      </c>
      <c r="N239" s="203">
        <v>22640</v>
      </c>
      <c r="O239" s="203">
        <f t="shared" si="38"/>
        <v>433596.18</v>
      </c>
    </row>
    <row r="240" spans="1:15" s="220" customFormat="1" ht="15.75" customHeight="1" x14ac:dyDescent="0.2">
      <c r="A240" s="228"/>
      <c r="B240" s="196" t="s">
        <v>944</v>
      </c>
      <c r="C240" s="206">
        <v>277610</v>
      </c>
      <c r="D240" s="206">
        <v>281750</v>
      </c>
      <c r="E240" s="203">
        <v>444390</v>
      </c>
      <c r="F240" s="203">
        <v>269940</v>
      </c>
      <c r="G240" s="203">
        <v>610860</v>
      </c>
      <c r="H240" s="203">
        <v>697700</v>
      </c>
      <c r="I240" s="203">
        <v>597000</v>
      </c>
      <c r="J240" s="203">
        <v>329790</v>
      </c>
      <c r="K240" s="203">
        <v>974400</v>
      </c>
      <c r="L240" s="203">
        <v>669340</v>
      </c>
      <c r="M240" s="203">
        <v>508480</v>
      </c>
      <c r="N240" s="203">
        <v>394370</v>
      </c>
      <c r="O240" s="203">
        <f t="shared" si="38"/>
        <v>6055630</v>
      </c>
    </row>
    <row r="241" spans="1:15" s="220" customFormat="1" ht="15.75" customHeight="1" x14ac:dyDescent="0.2">
      <c r="A241" s="228"/>
      <c r="B241" s="196" t="s">
        <v>945</v>
      </c>
      <c r="C241" s="212">
        <v>225390</v>
      </c>
      <c r="D241" s="211">
        <v>83750</v>
      </c>
      <c r="E241" s="203">
        <v>181800</v>
      </c>
      <c r="F241" s="203">
        <v>328190</v>
      </c>
      <c r="G241" s="203">
        <v>577720</v>
      </c>
      <c r="H241" s="203">
        <v>384140</v>
      </c>
      <c r="I241" s="211">
        <v>751620</v>
      </c>
      <c r="J241" s="203">
        <v>512240</v>
      </c>
      <c r="K241" s="211">
        <v>454280</v>
      </c>
      <c r="L241" s="203">
        <v>560280</v>
      </c>
      <c r="M241" s="203">
        <v>422300</v>
      </c>
      <c r="N241" s="203">
        <v>40712845.740000002</v>
      </c>
      <c r="O241" s="203">
        <f t="shared" si="38"/>
        <v>45194555.740000002</v>
      </c>
    </row>
    <row r="242" spans="1:15" s="220" customFormat="1" ht="15.75" customHeight="1" x14ac:dyDescent="0.2">
      <c r="A242" s="228"/>
      <c r="B242" s="196" t="s">
        <v>946</v>
      </c>
      <c r="C242" s="206">
        <v>951670</v>
      </c>
      <c r="D242" s="206">
        <v>791050</v>
      </c>
      <c r="E242" s="203">
        <v>3122170</v>
      </c>
      <c r="F242" s="203">
        <v>2956810</v>
      </c>
      <c r="G242" s="203">
        <v>4101670</v>
      </c>
      <c r="H242" s="203">
        <v>2351750</v>
      </c>
      <c r="I242" s="203"/>
      <c r="J242" s="203"/>
      <c r="K242" s="203"/>
      <c r="L242" s="203"/>
      <c r="M242" s="203"/>
      <c r="N242" s="203"/>
      <c r="O242" s="203">
        <f t="shared" si="38"/>
        <v>14275120</v>
      </c>
    </row>
    <row r="243" spans="1:15" s="220" customFormat="1" ht="15.75" customHeight="1" x14ac:dyDescent="0.2">
      <c r="A243" s="222"/>
      <c r="B243" s="261" t="s">
        <v>947</v>
      </c>
      <c r="C243" s="206">
        <v>334690</v>
      </c>
      <c r="D243" s="206">
        <v>683942.51</v>
      </c>
      <c r="E243" s="203">
        <v>3305047</v>
      </c>
      <c r="F243" s="203">
        <v>808589</v>
      </c>
      <c r="G243" s="203">
        <v>722245</v>
      </c>
      <c r="H243" s="203">
        <v>640540</v>
      </c>
      <c r="I243" s="203">
        <v>478470</v>
      </c>
      <c r="J243" s="203">
        <v>600601.61</v>
      </c>
      <c r="K243" s="203">
        <v>395674.12</v>
      </c>
      <c r="L243" s="203">
        <v>520960</v>
      </c>
      <c r="M243" s="203">
        <v>625110</v>
      </c>
      <c r="N243" s="203">
        <v>3565220</v>
      </c>
      <c r="O243" s="203">
        <f t="shared" si="38"/>
        <v>12681089.24</v>
      </c>
    </row>
    <row r="244" spans="1:15" s="220" customFormat="1" ht="15.75" customHeight="1" x14ac:dyDescent="0.2">
      <c r="A244" s="228"/>
      <c r="B244" s="196" t="s">
        <v>948</v>
      </c>
      <c r="C244" s="206">
        <v>399694.89</v>
      </c>
      <c r="D244" s="206">
        <v>3960036.04</v>
      </c>
      <c r="E244" s="203">
        <v>1092630</v>
      </c>
      <c r="F244" s="203"/>
      <c r="G244" s="203"/>
      <c r="H244" s="203"/>
      <c r="I244" s="203"/>
      <c r="J244" s="203"/>
      <c r="K244" s="203"/>
      <c r="L244" s="203"/>
      <c r="M244" s="203"/>
      <c r="N244" s="203"/>
      <c r="O244" s="203">
        <f t="shared" si="38"/>
        <v>5452360.9299999997</v>
      </c>
    </row>
    <row r="245" spans="1:15" s="220" customFormat="1" ht="15.75" hidden="1" customHeight="1" x14ac:dyDescent="0.2">
      <c r="A245" s="228"/>
      <c r="B245" s="196" t="s">
        <v>949</v>
      </c>
      <c r="C245" s="206"/>
      <c r="D245" s="206"/>
      <c r="E245" s="203"/>
      <c r="F245" s="203"/>
      <c r="G245" s="203"/>
      <c r="H245" s="203"/>
      <c r="I245" s="203"/>
      <c r="J245" s="203"/>
      <c r="K245" s="203"/>
      <c r="L245" s="203"/>
      <c r="M245" s="203"/>
      <c r="N245" s="203"/>
      <c r="O245" s="203">
        <f t="shared" si="38"/>
        <v>0</v>
      </c>
    </row>
    <row r="246" spans="1:15" s="220" customFormat="1" ht="15.75" customHeight="1" x14ac:dyDescent="0.2">
      <c r="A246" s="228"/>
      <c r="B246" s="196" t="s">
        <v>950</v>
      </c>
      <c r="C246" s="206">
        <v>4315.8900000000003</v>
      </c>
      <c r="D246" s="206">
        <v>41030</v>
      </c>
      <c r="E246" s="203">
        <v>113380</v>
      </c>
      <c r="F246" s="203">
        <v>13277.5</v>
      </c>
      <c r="G246" s="203">
        <v>134634</v>
      </c>
      <c r="H246" s="203">
        <v>220329.24</v>
      </c>
      <c r="I246" s="203">
        <v>250205.7</v>
      </c>
      <c r="J246" s="203">
        <v>355571.3</v>
      </c>
      <c r="K246" s="203">
        <v>219430</v>
      </c>
      <c r="L246" s="203">
        <v>210460</v>
      </c>
      <c r="M246" s="203">
        <v>266091.78999999998</v>
      </c>
      <c r="N246" s="203">
        <v>281340</v>
      </c>
      <c r="O246" s="203">
        <f t="shared" si="38"/>
        <v>2110065.42</v>
      </c>
    </row>
    <row r="247" spans="1:15" s="220" customFormat="1" ht="15.75" customHeight="1" x14ac:dyDescent="0.2">
      <c r="A247" s="228"/>
      <c r="B247" s="196" t="s">
        <v>951</v>
      </c>
      <c r="C247" s="206">
        <v>36271</v>
      </c>
      <c r="D247" s="206">
        <v>1804</v>
      </c>
      <c r="E247" s="203"/>
      <c r="F247" s="203"/>
      <c r="G247" s="203"/>
      <c r="H247" s="203"/>
      <c r="I247" s="203"/>
      <c r="J247" s="203"/>
      <c r="K247" s="203"/>
      <c r="L247" s="203"/>
      <c r="M247" s="203"/>
      <c r="N247" s="203"/>
      <c r="O247" s="203">
        <f t="shared" si="38"/>
        <v>38075</v>
      </c>
    </row>
    <row r="248" spans="1:15" s="220" customFormat="1" ht="15.75" customHeight="1" x14ac:dyDescent="0.2">
      <c r="A248" s="228"/>
      <c r="B248" s="196" t="s">
        <v>952</v>
      </c>
      <c r="C248" s="206">
        <v>1740</v>
      </c>
      <c r="D248" s="206">
        <v>3220</v>
      </c>
      <c r="E248" s="203"/>
      <c r="F248" s="203"/>
      <c r="G248" s="203"/>
      <c r="H248" s="203"/>
      <c r="I248" s="203"/>
      <c r="J248" s="203"/>
      <c r="K248" s="203"/>
      <c r="L248" s="203"/>
      <c r="M248" s="203"/>
      <c r="N248" s="203"/>
      <c r="O248" s="203">
        <f t="shared" si="38"/>
        <v>4960</v>
      </c>
    </row>
    <row r="249" spans="1:15" s="220" customFormat="1" ht="15.75" customHeight="1" x14ac:dyDescent="0.2">
      <c r="A249" s="228"/>
      <c r="B249" s="196" t="s">
        <v>953</v>
      </c>
      <c r="C249" s="206">
        <f>31410</f>
        <v>31410</v>
      </c>
      <c r="D249" s="206">
        <f>35760</f>
        <v>35760</v>
      </c>
      <c r="E249" s="203">
        <v>38876.730000000003</v>
      </c>
      <c r="F249" s="203">
        <v>60100</v>
      </c>
      <c r="G249" s="203">
        <v>115000.47</v>
      </c>
      <c r="H249" s="203">
        <v>54424.45</v>
      </c>
      <c r="I249" s="203">
        <v>57330</v>
      </c>
      <c r="J249" s="203">
        <v>105490</v>
      </c>
      <c r="K249" s="203">
        <v>102360</v>
      </c>
      <c r="L249" s="203">
        <f>55160+12212.86</f>
        <v>67372.86</v>
      </c>
      <c r="M249" s="203">
        <v>61981.120000000003</v>
      </c>
      <c r="N249" s="203">
        <v>25352.35</v>
      </c>
      <c r="O249" s="203">
        <f t="shared" si="38"/>
        <v>755457.98</v>
      </c>
    </row>
    <row r="250" spans="1:15" s="220" customFormat="1" ht="15.75" customHeight="1" x14ac:dyDescent="0.2">
      <c r="A250" s="228"/>
      <c r="B250" s="196" t="s">
        <v>954</v>
      </c>
      <c r="C250" s="206">
        <v>48215.26</v>
      </c>
      <c r="D250" s="206">
        <v>8418662.2599999998</v>
      </c>
      <c r="E250" s="203">
        <v>6696771.3899999997</v>
      </c>
      <c r="F250" s="203">
        <v>1102447.26</v>
      </c>
      <c r="G250" s="203">
        <f>692490+1800+3964.99+405000</f>
        <v>1103254.99</v>
      </c>
      <c r="H250" s="203"/>
      <c r="I250" s="203"/>
      <c r="J250" s="203"/>
      <c r="K250" s="203"/>
      <c r="L250" s="203"/>
      <c r="M250" s="203"/>
      <c r="N250" s="203"/>
      <c r="O250" s="203">
        <f t="shared" si="38"/>
        <v>17369351.16</v>
      </c>
    </row>
    <row r="251" spans="1:15" s="220" customFormat="1" ht="15.75" customHeight="1" x14ac:dyDescent="0.2">
      <c r="A251" s="228"/>
      <c r="B251" s="196" t="s">
        <v>955</v>
      </c>
      <c r="C251" s="211">
        <v>35610</v>
      </c>
      <c r="D251" s="211">
        <v>24620</v>
      </c>
      <c r="E251" s="203">
        <v>45170</v>
      </c>
      <c r="F251" s="212">
        <v>139170</v>
      </c>
      <c r="G251" s="203"/>
      <c r="H251" s="203"/>
      <c r="I251" s="203"/>
      <c r="J251" s="203"/>
      <c r="K251" s="203"/>
      <c r="L251" s="203"/>
      <c r="M251" s="203"/>
      <c r="N251" s="203"/>
      <c r="O251" s="203">
        <f t="shared" si="38"/>
        <v>244570</v>
      </c>
    </row>
    <row r="252" spans="1:15" s="220" customFormat="1" ht="15.75" customHeight="1" x14ac:dyDescent="0.2">
      <c r="A252" s="228"/>
      <c r="B252" s="196" t="s">
        <v>956</v>
      </c>
      <c r="C252" s="212">
        <v>27222.12</v>
      </c>
      <c r="D252" s="212">
        <v>48830.18</v>
      </c>
      <c r="E252" s="203"/>
      <c r="F252" s="203"/>
      <c r="G252" s="203"/>
      <c r="H252" s="203"/>
      <c r="I252" s="203"/>
      <c r="J252" s="203"/>
      <c r="K252" s="203"/>
      <c r="L252" s="203"/>
      <c r="M252" s="203"/>
      <c r="N252" s="203"/>
      <c r="O252" s="203">
        <f t="shared" si="38"/>
        <v>76052.3</v>
      </c>
    </row>
    <row r="253" spans="1:15" s="220" customFormat="1" ht="15.75" customHeight="1" x14ac:dyDescent="0.2">
      <c r="A253" s="228"/>
      <c r="B253" s="196" t="s">
        <v>957</v>
      </c>
      <c r="C253" s="206">
        <v>22646.48</v>
      </c>
      <c r="D253" s="206">
        <v>12349.84</v>
      </c>
      <c r="E253" s="203"/>
      <c r="F253" s="203"/>
      <c r="G253" s="203"/>
      <c r="H253" s="203"/>
      <c r="I253" s="203"/>
      <c r="J253" s="203"/>
      <c r="K253" s="203"/>
      <c r="L253" s="203"/>
      <c r="M253" s="203"/>
      <c r="N253" s="203"/>
      <c r="O253" s="203">
        <f t="shared" si="38"/>
        <v>34996.32</v>
      </c>
    </row>
    <row r="254" spans="1:15" s="220" customFormat="1" ht="15.75" customHeight="1" x14ac:dyDescent="0.2">
      <c r="A254" s="228"/>
      <c r="B254" s="196" t="s">
        <v>958</v>
      </c>
      <c r="C254" s="206">
        <v>133336.84</v>
      </c>
      <c r="D254" s="206">
        <v>271905</v>
      </c>
      <c r="E254" s="203">
        <v>361690</v>
      </c>
      <c r="F254" s="203">
        <v>196650</v>
      </c>
      <c r="G254" s="203">
        <v>181440</v>
      </c>
      <c r="H254" s="203">
        <v>227790</v>
      </c>
      <c r="I254" s="212">
        <v>164670</v>
      </c>
      <c r="J254" s="212">
        <v>236050</v>
      </c>
      <c r="K254" s="212">
        <v>91902.2</v>
      </c>
      <c r="L254" s="212">
        <v>23990</v>
      </c>
      <c r="M254" s="212">
        <v>92170</v>
      </c>
      <c r="N254" s="212">
        <v>824746.5</v>
      </c>
      <c r="O254" s="203">
        <f t="shared" si="38"/>
        <v>2806340.54</v>
      </c>
    </row>
    <row r="255" spans="1:15" s="220" customFormat="1" ht="15.75" customHeight="1" x14ac:dyDescent="0.2">
      <c r="A255" s="228"/>
      <c r="B255" s="196" t="s">
        <v>959</v>
      </c>
      <c r="C255" s="206">
        <v>11880</v>
      </c>
      <c r="D255" s="206">
        <v>78370</v>
      </c>
      <c r="E255" s="203">
        <v>33315.18</v>
      </c>
      <c r="F255" s="203">
        <v>54720</v>
      </c>
      <c r="G255" s="203">
        <v>64110</v>
      </c>
      <c r="H255" s="203">
        <v>224680</v>
      </c>
      <c r="I255" s="203">
        <v>49830</v>
      </c>
      <c r="J255" s="203">
        <v>192650</v>
      </c>
      <c r="K255" s="203">
        <v>93050</v>
      </c>
      <c r="L255" s="203">
        <v>65620</v>
      </c>
      <c r="M255" s="203">
        <v>42430</v>
      </c>
      <c r="N255" s="203">
        <v>74920</v>
      </c>
      <c r="O255" s="203">
        <f t="shared" ref="O255:O287" si="39">SUM(C255:N255)</f>
        <v>985575.17999999993</v>
      </c>
    </row>
    <row r="256" spans="1:15" s="220" customFormat="1" ht="15.75" customHeight="1" x14ac:dyDescent="0.2">
      <c r="A256" s="228"/>
      <c r="B256" s="196" t="s">
        <v>960</v>
      </c>
      <c r="C256" s="206">
        <v>34690</v>
      </c>
      <c r="D256" s="206">
        <v>82670</v>
      </c>
      <c r="E256" s="203">
        <v>210030</v>
      </c>
      <c r="F256" s="203">
        <v>328790</v>
      </c>
      <c r="G256" s="203">
        <v>298340</v>
      </c>
      <c r="H256" s="203">
        <v>175380</v>
      </c>
      <c r="I256" s="203">
        <v>121290</v>
      </c>
      <c r="J256" s="203">
        <v>75030</v>
      </c>
      <c r="K256" s="203">
        <v>115140</v>
      </c>
      <c r="L256" s="203">
        <v>36100</v>
      </c>
      <c r="M256" s="203">
        <v>24210</v>
      </c>
      <c r="N256" s="203">
        <v>33070</v>
      </c>
      <c r="O256" s="203">
        <f t="shared" si="39"/>
        <v>1534740</v>
      </c>
    </row>
    <row r="257" spans="1:15" s="220" customFormat="1" ht="15.75" customHeight="1" x14ac:dyDescent="0.2">
      <c r="A257" s="228"/>
      <c r="B257" s="196" t="s">
        <v>961</v>
      </c>
      <c r="C257" s="206">
        <v>16080</v>
      </c>
      <c r="D257" s="206">
        <v>0</v>
      </c>
      <c r="E257" s="203"/>
      <c r="F257" s="203"/>
      <c r="G257" s="203"/>
      <c r="H257" s="203"/>
      <c r="I257" s="203"/>
      <c r="J257" s="203"/>
      <c r="K257" s="203"/>
      <c r="L257" s="203"/>
      <c r="M257" s="203"/>
      <c r="N257" s="203"/>
      <c r="O257" s="203">
        <f t="shared" si="39"/>
        <v>16080</v>
      </c>
    </row>
    <row r="258" spans="1:15" s="220" customFormat="1" ht="15.75" customHeight="1" x14ac:dyDescent="0.2">
      <c r="A258" s="228"/>
      <c r="B258" s="196" t="s">
        <v>962</v>
      </c>
      <c r="C258" s="206">
        <v>68428.75</v>
      </c>
      <c r="D258" s="206">
        <v>346374.38</v>
      </c>
      <c r="E258" s="203">
        <v>1136068.51</v>
      </c>
      <c r="F258" s="203">
        <v>919701.76</v>
      </c>
      <c r="G258" s="203">
        <v>459971.03</v>
      </c>
      <c r="H258" s="203">
        <v>1867455.72</v>
      </c>
      <c r="I258" s="203">
        <v>14027503.75</v>
      </c>
      <c r="J258" s="203">
        <v>468123.2</v>
      </c>
      <c r="K258" s="203">
        <v>1137252.82</v>
      </c>
      <c r="L258" s="203">
        <v>2082465.88</v>
      </c>
      <c r="M258" s="203">
        <v>198307.35</v>
      </c>
      <c r="N258" s="203">
        <v>4767982.9000000004</v>
      </c>
      <c r="O258" s="203">
        <f t="shared" si="39"/>
        <v>27479636.049999997</v>
      </c>
    </row>
    <row r="259" spans="1:15" s="220" customFormat="1" ht="15.75" customHeight="1" x14ac:dyDescent="0.2">
      <c r="A259" s="228"/>
      <c r="B259" s="196" t="s">
        <v>963</v>
      </c>
      <c r="C259" s="211">
        <v>6935874.25</v>
      </c>
      <c r="D259" s="211">
        <v>183073.07</v>
      </c>
      <c r="E259" s="212">
        <v>741580.93</v>
      </c>
      <c r="F259" s="211">
        <v>34869.040000000001</v>
      </c>
      <c r="G259" s="212">
        <v>101289.34</v>
      </c>
      <c r="H259" s="212">
        <v>123559.25</v>
      </c>
      <c r="I259" s="211">
        <v>268200</v>
      </c>
      <c r="J259" s="212">
        <v>307362.01</v>
      </c>
      <c r="K259" s="211">
        <v>250180</v>
      </c>
      <c r="L259" s="212">
        <v>370035.32</v>
      </c>
      <c r="M259" s="211">
        <v>95019.34</v>
      </c>
      <c r="N259" s="211">
        <v>486351.98</v>
      </c>
      <c r="O259" s="203">
        <f t="shared" si="39"/>
        <v>9897394.5300000012</v>
      </c>
    </row>
    <row r="260" spans="1:15" s="220" customFormat="1" ht="15.75" customHeight="1" x14ac:dyDescent="0.2">
      <c r="A260" s="228"/>
      <c r="B260" s="196" t="s">
        <v>964</v>
      </c>
      <c r="C260" s="206">
        <v>50000</v>
      </c>
      <c r="D260" s="206">
        <v>1268800</v>
      </c>
      <c r="E260" s="203">
        <v>2094590</v>
      </c>
      <c r="F260" s="203">
        <v>455000</v>
      </c>
      <c r="G260" s="203">
        <v>654470</v>
      </c>
      <c r="H260" s="203">
        <v>99200</v>
      </c>
      <c r="I260" s="203">
        <v>8109561.96</v>
      </c>
      <c r="J260" s="203">
        <v>234040</v>
      </c>
      <c r="K260" s="203">
        <v>134484.95000000001</v>
      </c>
      <c r="L260" s="203">
        <v>1206610</v>
      </c>
      <c r="M260" s="203">
        <v>2746120</v>
      </c>
      <c r="N260" s="203">
        <v>792150</v>
      </c>
      <c r="O260" s="203">
        <f t="shared" si="39"/>
        <v>17845026.91</v>
      </c>
    </row>
    <row r="261" spans="1:15" s="220" customFormat="1" ht="15.75" customHeight="1" x14ac:dyDescent="0.2">
      <c r="A261" s="228"/>
      <c r="B261" s="196" t="s">
        <v>965</v>
      </c>
      <c r="C261" s="206">
        <v>5600</v>
      </c>
      <c r="D261" s="206">
        <v>49990</v>
      </c>
      <c r="E261" s="203">
        <v>251100</v>
      </c>
      <c r="F261" s="203">
        <v>161200</v>
      </c>
      <c r="G261" s="203">
        <v>606940</v>
      </c>
      <c r="H261" s="203">
        <v>528827.48</v>
      </c>
      <c r="I261" s="203">
        <v>419240</v>
      </c>
      <c r="J261" s="203">
        <v>138820</v>
      </c>
      <c r="K261" s="203">
        <v>135400</v>
      </c>
      <c r="L261" s="203">
        <v>67450</v>
      </c>
      <c r="M261" s="203">
        <v>8880</v>
      </c>
      <c r="N261" s="203">
        <v>14498967.85</v>
      </c>
      <c r="O261" s="203">
        <f t="shared" si="39"/>
        <v>16872415.329999998</v>
      </c>
    </row>
    <row r="262" spans="1:15" s="220" customFormat="1" ht="15.75" customHeight="1" x14ac:dyDescent="0.2">
      <c r="A262" s="228"/>
      <c r="B262" s="196" t="s">
        <v>966</v>
      </c>
      <c r="C262" s="212">
        <v>6752718.7199999997</v>
      </c>
      <c r="D262" s="212">
        <v>14095.29</v>
      </c>
      <c r="E262" s="212">
        <v>375540.62</v>
      </c>
      <c r="F262" s="212">
        <v>446197.49</v>
      </c>
      <c r="G262" s="212">
        <v>38699.589999999997</v>
      </c>
      <c r="H262" s="212">
        <v>140984.9</v>
      </c>
      <c r="I262" s="212">
        <v>108823</v>
      </c>
      <c r="J262" s="212">
        <v>45885.55</v>
      </c>
      <c r="K262" s="212">
        <v>73917.929999999993</v>
      </c>
      <c r="L262" s="212">
        <v>113066.27</v>
      </c>
      <c r="M262" s="211">
        <v>115494.16</v>
      </c>
      <c r="N262" s="211">
        <v>233849.72</v>
      </c>
      <c r="O262" s="203">
        <f t="shared" si="39"/>
        <v>8459273.2400000002</v>
      </c>
    </row>
    <row r="263" spans="1:15" s="220" customFormat="1" ht="15.75" customHeight="1" x14ac:dyDescent="0.2">
      <c r="A263" s="228"/>
      <c r="B263" s="196" t="s">
        <v>967</v>
      </c>
      <c r="C263" s="206">
        <v>100000</v>
      </c>
      <c r="D263" s="206">
        <v>22541.71</v>
      </c>
      <c r="E263" s="203">
        <v>42560</v>
      </c>
      <c r="F263" s="203">
        <v>644190</v>
      </c>
      <c r="G263" s="203">
        <v>507520</v>
      </c>
      <c r="H263" s="203">
        <v>65550</v>
      </c>
      <c r="I263" s="203">
        <v>73930</v>
      </c>
      <c r="J263" s="203">
        <v>277000</v>
      </c>
      <c r="K263" s="203">
        <v>33330</v>
      </c>
      <c r="L263" s="203">
        <v>154510</v>
      </c>
      <c r="M263" s="203">
        <v>42050</v>
      </c>
      <c r="N263" s="203">
        <v>4806350</v>
      </c>
      <c r="O263" s="203">
        <f t="shared" si="39"/>
        <v>6769531.71</v>
      </c>
    </row>
    <row r="264" spans="1:15" s="220" customFormat="1" ht="15.75" customHeight="1" x14ac:dyDescent="0.2">
      <c r="A264" s="228"/>
      <c r="B264" s="196" t="s">
        <v>968</v>
      </c>
      <c r="C264" s="206">
        <v>9490</v>
      </c>
      <c r="D264" s="206">
        <v>200</v>
      </c>
      <c r="E264" s="203">
        <v>57980</v>
      </c>
      <c r="F264" s="203">
        <v>27173</v>
      </c>
      <c r="G264" s="203">
        <v>38360</v>
      </c>
      <c r="H264" s="203">
        <v>68190</v>
      </c>
      <c r="I264" s="203">
        <v>174700</v>
      </c>
      <c r="J264" s="203">
        <v>102480</v>
      </c>
      <c r="K264" s="203">
        <f>67030</f>
        <v>67030</v>
      </c>
      <c r="L264" s="203">
        <f>131127</f>
        <v>131127</v>
      </c>
      <c r="M264" s="203">
        <v>202328.5</v>
      </c>
      <c r="N264" s="203">
        <f>12520+10971213</f>
        <v>10983733</v>
      </c>
      <c r="O264" s="203">
        <f t="shared" si="39"/>
        <v>11862791.5</v>
      </c>
    </row>
    <row r="265" spans="1:15" s="220" customFormat="1" ht="15.75" customHeight="1" x14ac:dyDescent="0.2">
      <c r="A265" s="228"/>
      <c r="B265" s="196" t="s">
        <v>969</v>
      </c>
      <c r="C265" s="206">
        <v>55571.81</v>
      </c>
      <c r="D265" s="206">
        <v>705112</v>
      </c>
      <c r="E265" s="203">
        <v>319500</v>
      </c>
      <c r="F265" s="203">
        <v>619400</v>
      </c>
      <c r="G265" s="203">
        <v>469490</v>
      </c>
      <c r="H265" s="203">
        <v>680670</v>
      </c>
      <c r="I265" s="203">
        <v>304913</v>
      </c>
      <c r="J265" s="203">
        <v>155809.95000000001</v>
      </c>
      <c r="K265" s="203">
        <v>164728.5</v>
      </c>
      <c r="L265" s="203">
        <v>274710</v>
      </c>
      <c r="M265" s="203">
        <v>46470</v>
      </c>
      <c r="N265" s="203">
        <v>3245870</v>
      </c>
      <c r="O265" s="203">
        <f t="shared" si="39"/>
        <v>7042245.2599999998</v>
      </c>
    </row>
    <row r="266" spans="1:15" s="220" customFormat="1" ht="15.75" customHeight="1" x14ac:dyDescent="0.2">
      <c r="A266" s="228"/>
      <c r="B266" s="196" t="s">
        <v>970</v>
      </c>
      <c r="C266" s="206">
        <v>22900</v>
      </c>
      <c r="D266" s="206">
        <f>124675+940000</f>
        <v>1064675</v>
      </c>
      <c r="E266" s="203">
        <f>393545-3325+1555000</f>
        <v>1945220</v>
      </c>
      <c r="F266" s="203">
        <f>7560+10000</f>
        <v>17560</v>
      </c>
      <c r="G266" s="203">
        <f>108740+620000</f>
        <v>728740</v>
      </c>
      <c r="H266" s="203">
        <f>210690+125000</f>
        <v>335690</v>
      </c>
      <c r="I266" s="203">
        <v>172630</v>
      </c>
      <c r="J266" s="203">
        <f>71710+176492.35</f>
        <v>248202.35</v>
      </c>
      <c r="K266" s="203">
        <f>52143.5+298000</f>
        <v>350143.5</v>
      </c>
      <c r="L266" s="203">
        <f>541000</f>
        <v>541000</v>
      </c>
      <c r="M266" s="203">
        <v>870500</v>
      </c>
      <c r="N266" s="203">
        <v>1320000</v>
      </c>
      <c r="O266" s="203">
        <f t="shared" si="39"/>
        <v>7617260.8499999996</v>
      </c>
    </row>
    <row r="267" spans="1:15" s="220" customFormat="1" ht="15.75" customHeight="1" x14ac:dyDescent="0.2">
      <c r="A267" s="228"/>
      <c r="B267" s="196" t="s">
        <v>971</v>
      </c>
      <c r="C267" s="211">
        <v>38850</v>
      </c>
      <c r="D267" s="211">
        <v>16720</v>
      </c>
      <c r="E267" s="211">
        <v>68216.47</v>
      </c>
      <c r="F267" s="211">
        <v>123950</v>
      </c>
      <c r="G267" s="211">
        <v>69550</v>
      </c>
      <c r="H267" s="211">
        <v>78930</v>
      </c>
      <c r="I267" s="211">
        <v>32280</v>
      </c>
      <c r="J267" s="211">
        <v>210251.8</v>
      </c>
      <c r="K267" s="211">
        <v>103230</v>
      </c>
      <c r="L267" s="211">
        <v>23270</v>
      </c>
      <c r="M267" s="211">
        <v>12740</v>
      </c>
      <c r="N267" s="211">
        <v>13060</v>
      </c>
      <c r="O267" s="203">
        <f t="shared" si="39"/>
        <v>791048.27</v>
      </c>
    </row>
    <row r="268" spans="1:15" s="220" customFormat="1" ht="15.75" customHeight="1" x14ac:dyDescent="0.2">
      <c r="A268" s="228"/>
      <c r="B268" s="196" t="s">
        <v>972</v>
      </c>
      <c r="C268" s="206">
        <v>4609466.09</v>
      </c>
      <c r="D268" s="206">
        <v>3045549.25</v>
      </c>
      <c r="E268" s="203">
        <v>2706496.87</v>
      </c>
      <c r="F268" s="203">
        <v>460100.65</v>
      </c>
      <c r="G268" s="203">
        <v>218820</v>
      </c>
      <c r="H268" s="203">
        <v>153883.53</v>
      </c>
      <c r="I268" s="203">
        <v>910400</v>
      </c>
      <c r="J268" s="203">
        <v>1060254.1399999999</v>
      </c>
      <c r="K268" s="203">
        <v>236910</v>
      </c>
      <c r="L268" s="203">
        <v>7251737.1900000004</v>
      </c>
      <c r="M268" s="203">
        <v>2765097.98</v>
      </c>
      <c r="N268" s="203">
        <v>1833988.54</v>
      </c>
      <c r="O268" s="203">
        <f t="shared" si="39"/>
        <v>25252704.240000002</v>
      </c>
    </row>
    <row r="269" spans="1:15" s="220" customFormat="1" ht="15.75" customHeight="1" x14ac:dyDescent="0.2">
      <c r="A269" s="228"/>
      <c r="B269" s="196" t="s">
        <v>973</v>
      </c>
      <c r="C269" s="206">
        <v>12598108.5</v>
      </c>
      <c r="D269" s="206">
        <v>0</v>
      </c>
      <c r="E269" s="203">
        <v>0</v>
      </c>
      <c r="F269" s="203">
        <v>0</v>
      </c>
      <c r="G269" s="203">
        <v>0</v>
      </c>
      <c r="H269" s="203">
        <v>0</v>
      </c>
      <c r="I269" s="203">
        <v>0</v>
      </c>
      <c r="J269" s="203">
        <v>10260</v>
      </c>
      <c r="K269" s="203">
        <v>19980</v>
      </c>
      <c r="L269" s="203">
        <v>18090</v>
      </c>
      <c r="M269" s="203">
        <v>2260</v>
      </c>
      <c r="N269" s="203">
        <v>175540</v>
      </c>
      <c r="O269" s="203">
        <f t="shared" si="39"/>
        <v>12824238.5</v>
      </c>
    </row>
    <row r="270" spans="1:15" s="220" customFormat="1" ht="15.75" customHeight="1" x14ac:dyDescent="0.2">
      <c r="A270" s="228"/>
      <c r="B270" s="196" t="s">
        <v>974</v>
      </c>
      <c r="C270" s="206">
        <v>333710</v>
      </c>
      <c r="D270" s="206">
        <v>44940</v>
      </c>
      <c r="E270" s="212">
        <v>94380</v>
      </c>
      <c r="F270" s="212">
        <v>93510</v>
      </c>
      <c r="G270" s="212">
        <v>157330</v>
      </c>
      <c r="H270" s="212">
        <v>107330</v>
      </c>
      <c r="I270" s="212">
        <v>164670</v>
      </c>
      <c r="J270" s="212">
        <v>236050</v>
      </c>
      <c r="K270" s="212">
        <v>91902.2</v>
      </c>
      <c r="L270" s="212">
        <v>23990</v>
      </c>
      <c r="M270" s="212">
        <v>92170</v>
      </c>
      <c r="N270" s="212">
        <v>824746.5</v>
      </c>
      <c r="O270" s="203">
        <f t="shared" si="39"/>
        <v>2264728.7000000002</v>
      </c>
    </row>
    <row r="271" spans="1:15" s="220" customFormat="1" ht="15.75" customHeight="1" x14ac:dyDescent="0.2">
      <c r="A271" s="228"/>
      <c r="B271" s="196" t="s">
        <v>975</v>
      </c>
      <c r="C271" s="206">
        <v>0</v>
      </c>
      <c r="D271" s="206">
        <v>76046.100000000006</v>
      </c>
      <c r="E271" s="203">
        <v>182203.06</v>
      </c>
      <c r="F271" s="203">
        <v>69442.899999999994</v>
      </c>
      <c r="G271" s="203">
        <v>74538.559999999998</v>
      </c>
      <c r="H271" s="203">
        <v>93598</v>
      </c>
      <c r="I271" s="203">
        <v>138680.17000000001</v>
      </c>
      <c r="J271" s="203">
        <v>56356.18</v>
      </c>
      <c r="K271" s="203">
        <v>134224</v>
      </c>
      <c r="L271" s="203">
        <v>138710.93</v>
      </c>
      <c r="M271" s="203">
        <v>20290</v>
      </c>
      <c r="N271" s="203">
        <v>14444853.25</v>
      </c>
      <c r="O271" s="203">
        <f t="shared" si="39"/>
        <v>15428943.15</v>
      </c>
    </row>
    <row r="272" spans="1:15" s="220" customFormat="1" ht="15.75" customHeight="1" x14ac:dyDescent="0.2">
      <c r="A272" s="228"/>
      <c r="B272" s="196" t="s">
        <v>976</v>
      </c>
      <c r="C272" s="206">
        <v>14330621.17</v>
      </c>
      <c r="D272" s="206">
        <v>12092.12</v>
      </c>
      <c r="E272" s="203">
        <v>260596.06</v>
      </c>
      <c r="F272" s="203">
        <v>214076.92</v>
      </c>
      <c r="G272" s="203">
        <v>160810</v>
      </c>
      <c r="H272" s="203">
        <v>204806.8</v>
      </c>
      <c r="I272" s="203">
        <v>237952.83</v>
      </c>
      <c r="J272" s="203">
        <v>237373.67</v>
      </c>
      <c r="K272" s="203">
        <v>257595.81</v>
      </c>
      <c r="L272" s="203">
        <v>1128189.77</v>
      </c>
      <c r="M272" s="203">
        <v>95409.2</v>
      </c>
      <c r="N272" s="203">
        <v>143814.26999999999</v>
      </c>
      <c r="O272" s="203">
        <f t="shared" si="39"/>
        <v>17283338.620000001</v>
      </c>
    </row>
    <row r="273" spans="1:15" s="220" customFormat="1" ht="15.75" customHeight="1" x14ac:dyDescent="0.2">
      <c r="A273" s="228"/>
      <c r="B273" s="196" t="s">
        <v>977</v>
      </c>
      <c r="C273" s="206">
        <v>8419.7999999999993</v>
      </c>
      <c r="D273" s="206">
        <v>142482.01999999999</v>
      </c>
      <c r="E273" s="203">
        <v>194762.34</v>
      </c>
      <c r="F273" s="203">
        <v>263684.09999999998</v>
      </c>
      <c r="G273" s="203">
        <v>180095.9</v>
      </c>
      <c r="H273" s="203">
        <v>349455.9</v>
      </c>
      <c r="I273" s="203">
        <v>18192.34</v>
      </c>
      <c r="J273" s="203">
        <v>163117.34</v>
      </c>
      <c r="K273" s="203">
        <v>207701</v>
      </c>
      <c r="L273" s="203">
        <v>569961.06000000006</v>
      </c>
      <c r="M273" s="203">
        <v>298350</v>
      </c>
      <c r="N273" s="203"/>
      <c r="O273" s="203">
        <f t="shared" si="39"/>
        <v>2396221.8000000003</v>
      </c>
    </row>
    <row r="274" spans="1:15" s="220" customFormat="1" ht="15.75" customHeight="1" x14ac:dyDescent="0.2">
      <c r="A274" s="228"/>
      <c r="B274" s="196" t="s">
        <v>978</v>
      </c>
      <c r="C274" s="206">
        <v>1483150</v>
      </c>
      <c r="D274" s="206">
        <v>2872740.46</v>
      </c>
      <c r="E274" s="203">
        <v>2143210.8199999998</v>
      </c>
      <c r="F274" s="203">
        <v>2804615.76</v>
      </c>
      <c r="G274" s="203">
        <v>4789017.88</v>
      </c>
      <c r="H274" s="203">
        <v>952875.48</v>
      </c>
      <c r="I274" s="203">
        <v>1003357.03</v>
      </c>
      <c r="J274" s="203">
        <v>1604830</v>
      </c>
      <c r="K274" s="203">
        <v>1407148.5</v>
      </c>
      <c r="L274" s="203">
        <v>179126924.19</v>
      </c>
      <c r="M274" s="203">
        <v>3881605</v>
      </c>
      <c r="N274" s="203">
        <v>10121795.439999999</v>
      </c>
      <c r="O274" s="203">
        <f t="shared" si="39"/>
        <v>212191270.56</v>
      </c>
    </row>
    <row r="275" spans="1:15" s="220" customFormat="1" ht="15.75" customHeight="1" x14ac:dyDescent="0.2">
      <c r="A275" s="228"/>
      <c r="B275" s="196" t="s">
        <v>979</v>
      </c>
      <c r="C275" s="206">
        <v>1373651.83</v>
      </c>
      <c r="D275" s="206">
        <v>913200</v>
      </c>
      <c r="E275" s="203">
        <v>781800</v>
      </c>
      <c r="F275" s="203">
        <v>352030</v>
      </c>
      <c r="G275" s="203">
        <v>373080</v>
      </c>
      <c r="H275" s="203">
        <v>627220</v>
      </c>
      <c r="I275" s="203">
        <v>660071.94999999995</v>
      </c>
      <c r="J275" s="203">
        <v>284502.82</v>
      </c>
      <c r="K275" s="203">
        <v>856892.33</v>
      </c>
      <c r="L275" s="203">
        <v>1752996.76</v>
      </c>
      <c r="M275" s="203">
        <v>1750290</v>
      </c>
      <c r="N275" s="203">
        <f>9600+2300000</f>
        <v>2309600</v>
      </c>
      <c r="O275" s="203">
        <f t="shared" si="39"/>
        <v>12035335.690000001</v>
      </c>
    </row>
    <row r="276" spans="1:15" s="220" customFormat="1" ht="15.75" customHeight="1" x14ac:dyDescent="0.2">
      <c r="A276" s="228"/>
      <c r="B276" s="196" t="s">
        <v>980</v>
      </c>
      <c r="C276" s="203">
        <v>263642.77</v>
      </c>
      <c r="D276" s="206">
        <v>348990</v>
      </c>
      <c r="E276" s="203">
        <v>647282.68000000005</v>
      </c>
      <c r="F276" s="203">
        <v>795040</v>
      </c>
      <c r="G276" s="203">
        <v>991830</v>
      </c>
      <c r="H276" s="203">
        <v>246230</v>
      </c>
      <c r="I276" s="203">
        <v>712754.35</v>
      </c>
      <c r="J276" s="203">
        <v>977962</v>
      </c>
      <c r="K276" s="203">
        <v>469310</v>
      </c>
      <c r="L276" s="203"/>
      <c r="M276" s="203"/>
      <c r="N276" s="203"/>
      <c r="O276" s="203">
        <f t="shared" si="39"/>
        <v>5453041.8000000007</v>
      </c>
    </row>
    <row r="277" spans="1:15" s="220" customFormat="1" ht="15.75" customHeight="1" x14ac:dyDescent="0.2">
      <c r="A277" s="228"/>
      <c r="B277" s="196" t="s">
        <v>981</v>
      </c>
      <c r="C277" s="206">
        <v>129181.87</v>
      </c>
      <c r="D277" s="206">
        <v>4352.3100000000004</v>
      </c>
      <c r="E277" s="203">
        <v>109336.37</v>
      </c>
      <c r="F277" s="203">
        <v>132788.26999999999</v>
      </c>
      <c r="G277" s="203">
        <v>87841.07</v>
      </c>
      <c r="H277" s="203">
        <v>160550</v>
      </c>
      <c r="I277" s="203">
        <v>180156.62</v>
      </c>
      <c r="J277" s="203">
        <v>201806.85</v>
      </c>
      <c r="K277" s="203">
        <v>281740.79999999999</v>
      </c>
      <c r="L277" s="203">
        <v>165530</v>
      </c>
      <c r="M277" s="203">
        <v>98220</v>
      </c>
      <c r="N277" s="203">
        <v>208500</v>
      </c>
      <c r="O277" s="203">
        <f t="shared" si="39"/>
        <v>1760004.16</v>
      </c>
    </row>
    <row r="278" spans="1:15" s="220" customFormat="1" ht="15.75" customHeight="1" x14ac:dyDescent="0.2">
      <c r="A278" s="228"/>
      <c r="B278" s="196" t="s">
        <v>982</v>
      </c>
      <c r="C278" s="206">
        <v>55290</v>
      </c>
      <c r="D278" s="206">
        <v>645968.25</v>
      </c>
      <c r="E278" s="203">
        <v>160995.5</v>
      </c>
      <c r="F278" s="203">
        <v>122290</v>
      </c>
      <c r="G278" s="203">
        <v>660097</v>
      </c>
      <c r="H278" s="203">
        <v>237973</v>
      </c>
      <c r="I278" s="203">
        <v>452641</v>
      </c>
      <c r="J278" s="203">
        <v>391837</v>
      </c>
      <c r="K278" s="203">
        <v>392631</v>
      </c>
      <c r="L278" s="203">
        <v>833876.31</v>
      </c>
      <c r="M278" s="203">
        <v>3498187</v>
      </c>
      <c r="N278" s="203">
        <v>1003983</v>
      </c>
      <c r="O278" s="203">
        <f t="shared" si="39"/>
        <v>8455769.0600000005</v>
      </c>
    </row>
    <row r="279" spans="1:15" s="220" customFormat="1" ht="15.75" customHeight="1" x14ac:dyDescent="0.2">
      <c r="A279" s="228"/>
      <c r="B279" s="196" t="s">
        <v>983</v>
      </c>
      <c r="C279" s="206">
        <v>15150</v>
      </c>
      <c r="D279" s="206">
        <v>42660</v>
      </c>
      <c r="E279" s="203">
        <v>131910</v>
      </c>
      <c r="F279" s="203">
        <v>71940</v>
      </c>
      <c r="G279" s="203">
        <v>87140</v>
      </c>
      <c r="H279" s="203">
        <v>90070</v>
      </c>
      <c r="I279" s="203">
        <v>50260</v>
      </c>
      <c r="J279" s="203">
        <v>55900</v>
      </c>
      <c r="K279" s="203">
        <v>76110</v>
      </c>
      <c r="L279" s="203">
        <v>34540</v>
      </c>
      <c r="M279" s="203">
        <v>31400</v>
      </c>
      <c r="N279" s="203">
        <v>77160</v>
      </c>
      <c r="O279" s="203">
        <f t="shared" si="39"/>
        <v>764240</v>
      </c>
    </row>
    <row r="280" spans="1:15" s="220" customFormat="1" ht="15.75" customHeight="1" x14ac:dyDescent="0.2">
      <c r="A280" s="228"/>
      <c r="B280" s="196" t="s">
        <v>984</v>
      </c>
      <c r="C280" s="206">
        <v>1089900</v>
      </c>
      <c r="D280" s="206">
        <v>1169360</v>
      </c>
      <c r="E280" s="203">
        <v>2613810.54</v>
      </c>
      <c r="F280" s="203">
        <v>833400</v>
      </c>
      <c r="G280" s="203">
        <v>1089832.3</v>
      </c>
      <c r="H280" s="203">
        <v>276834.92</v>
      </c>
      <c r="I280" s="203">
        <v>480792.05</v>
      </c>
      <c r="J280" s="203">
        <v>86050</v>
      </c>
      <c r="K280" s="203">
        <v>30401470</v>
      </c>
      <c r="L280" s="203">
        <f>750000+129790</f>
        <v>879790</v>
      </c>
      <c r="M280" s="203">
        <v>1115868.6000000001</v>
      </c>
      <c r="N280" s="203">
        <v>2272445.63</v>
      </c>
      <c r="O280" s="203">
        <f t="shared" si="39"/>
        <v>42309554.040000007</v>
      </c>
    </row>
    <row r="281" spans="1:15" s="220" customFormat="1" ht="15.75" customHeight="1" x14ac:dyDescent="0.2">
      <c r="A281" s="228"/>
      <c r="B281" s="196" t="s">
        <v>985</v>
      </c>
      <c r="C281" s="212">
        <v>728500</v>
      </c>
      <c r="D281" s="212">
        <v>315320</v>
      </c>
      <c r="E281" s="203">
        <v>734879.24</v>
      </c>
      <c r="F281" s="203">
        <v>552175.93999999994</v>
      </c>
      <c r="G281" s="203">
        <v>1097270</v>
      </c>
      <c r="H281" s="203">
        <v>1412479.69</v>
      </c>
      <c r="I281" s="203">
        <v>925068</v>
      </c>
      <c r="J281" s="203">
        <v>555372.65</v>
      </c>
      <c r="K281" s="203">
        <v>567413.05000000005</v>
      </c>
      <c r="L281" s="203">
        <v>687880</v>
      </c>
      <c r="M281" s="203">
        <v>172220</v>
      </c>
      <c r="N281" s="203">
        <v>2717585.96</v>
      </c>
      <c r="O281" s="203">
        <f t="shared" si="39"/>
        <v>10466164.529999999</v>
      </c>
    </row>
    <row r="282" spans="1:15" s="220" customFormat="1" ht="15.75" customHeight="1" x14ac:dyDescent="0.2">
      <c r="A282" s="228"/>
      <c r="B282" s="196" t="s">
        <v>986</v>
      </c>
      <c r="C282" s="206">
        <v>184990</v>
      </c>
      <c r="D282" s="206">
        <v>276410</v>
      </c>
      <c r="E282" s="203">
        <f>375000+71850</f>
        <v>446850</v>
      </c>
      <c r="F282" s="203">
        <v>891280</v>
      </c>
      <c r="G282" s="203">
        <v>837660</v>
      </c>
      <c r="H282" s="203">
        <v>480800</v>
      </c>
      <c r="I282" s="203">
        <v>461980</v>
      </c>
      <c r="J282" s="203">
        <v>238880</v>
      </c>
      <c r="K282" s="203">
        <v>939265.98</v>
      </c>
      <c r="L282" s="203">
        <v>163580</v>
      </c>
      <c r="M282" s="203">
        <v>472960</v>
      </c>
      <c r="N282" s="203">
        <v>1081730</v>
      </c>
      <c r="O282" s="203">
        <f t="shared" si="39"/>
        <v>6476385.9800000004</v>
      </c>
    </row>
    <row r="283" spans="1:15" s="220" customFormat="1" ht="15.75" customHeight="1" x14ac:dyDescent="0.2">
      <c r="A283" s="228"/>
      <c r="B283" s="196" t="s">
        <v>987</v>
      </c>
      <c r="C283" s="206">
        <v>632370</v>
      </c>
      <c r="D283" s="206">
        <v>557190</v>
      </c>
      <c r="E283" s="203">
        <v>801530</v>
      </c>
      <c r="F283" s="203">
        <v>155220</v>
      </c>
      <c r="G283" s="203">
        <v>231220</v>
      </c>
      <c r="H283" s="203">
        <v>569290</v>
      </c>
      <c r="I283" s="203">
        <v>329900</v>
      </c>
      <c r="J283" s="203">
        <v>98370</v>
      </c>
      <c r="K283" s="203">
        <v>226190</v>
      </c>
      <c r="L283" s="203">
        <v>43480</v>
      </c>
      <c r="M283" s="203">
        <v>121290</v>
      </c>
      <c r="N283" s="203">
        <v>665340</v>
      </c>
      <c r="O283" s="203">
        <f t="shared" si="39"/>
        <v>4431390</v>
      </c>
    </row>
    <row r="284" spans="1:15" s="220" customFormat="1" ht="15.75" hidden="1" customHeight="1" x14ac:dyDescent="0.2">
      <c r="A284" s="228"/>
      <c r="B284" s="196" t="s">
        <v>1078</v>
      </c>
      <c r="C284" s="206"/>
      <c r="D284" s="206"/>
      <c r="E284" s="203"/>
      <c r="F284" s="203"/>
      <c r="G284" s="203"/>
      <c r="H284" s="203"/>
      <c r="I284" s="203"/>
      <c r="J284" s="203"/>
      <c r="K284" s="203"/>
      <c r="L284" s="203"/>
      <c r="M284" s="203"/>
      <c r="N284" s="203"/>
      <c r="O284" s="203">
        <f t="shared" si="39"/>
        <v>0</v>
      </c>
    </row>
    <row r="285" spans="1:15" s="220" customFormat="1" ht="15.75" customHeight="1" x14ac:dyDescent="0.2">
      <c r="A285" s="228"/>
      <c r="B285" s="196" t="s">
        <v>988</v>
      </c>
      <c r="C285" s="206">
        <v>804290</v>
      </c>
      <c r="D285" s="206">
        <v>425420</v>
      </c>
      <c r="E285" s="203"/>
      <c r="F285" s="203"/>
      <c r="G285" s="203"/>
      <c r="H285" s="203"/>
      <c r="I285" s="203"/>
      <c r="J285" s="203"/>
      <c r="K285" s="203"/>
      <c r="L285" s="203"/>
      <c r="M285" s="203"/>
      <c r="N285" s="203"/>
      <c r="O285" s="203">
        <f t="shared" si="39"/>
        <v>1229710</v>
      </c>
    </row>
    <row r="286" spans="1:15" s="220" customFormat="1" ht="15.75" customHeight="1" x14ac:dyDescent="0.2">
      <c r="A286" s="228"/>
      <c r="B286" s="196" t="s">
        <v>989</v>
      </c>
      <c r="C286" s="206">
        <v>724400</v>
      </c>
      <c r="D286" s="206">
        <v>260656.13</v>
      </c>
      <c r="E286" s="203">
        <v>1028100</v>
      </c>
      <c r="F286" s="203">
        <v>699935</v>
      </c>
      <c r="G286" s="203">
        <v>331460</v>
      </c>
      <c r="H286" s="203">
        <v>235994</v>
      </c>
      <c r="I286" s="203">
        <v>712450.43</v>
      </c>
      <c r="J286" s="203">
        <v>522699.14</v>
      </c>
      <c r="K286" s="203">
        <v>251020</v>
      </c>
      <c r="L286" s="203"/>
      <c r="M286" s="203"/>
      <c r="N286" s="203"/>
      <c r="O286" s="203">
        <f t="shared" si="39"/>
        <v>4766714.7</v>
      </c>
    </row>
    <row r="287" spans="1:15" s="220" customFormat="1" ht="15.75" customHeight="1" x14ac:dyDescent="0.2">
      <c r="A287" s="228"/>
      <c r="B287" s="196" t="s">
        <v>990</v>
      </c>
      <c r="C287" s="206">
        <f>70000+57293</f>
        <v>127293</v>
      </c>
      <c r="D287" s="206">
        <f>505000+688008.03</f>
        <v>1193008.03</v>
      </c>
      <c r="E287" s="203">
        <f>120000+48843.07</f>
        <v>168843.07</v>
      </c>
      <c r="F287" s="203">
        <f>200000+1743717.06</f>
        <v>1943717.06</v>
      </c>
      <c r="G287" s="203">
        <f>935000+298381.44</f>
        <v>1233381.44</v>
      </c>
      <c r="H287" s="203">
        <f>730000+14500</f>
        <v>744500</v>
      </c>
      <c r="I287" s="203">
        <f>90000+87691.81</f>
        <v>177691.81</v>
      </c>
      <c r="J287" s="203">
        <f>450000+131357</f>
        <v>581357</v>
      </c>
      <c r="K287" s="203">
        <f>578904.64+171626</f>
        <v>750530.64</v>
      </c>
      <c r="L287" s="203">
        <f>720000+239982</f>
        <v>959982</v>
      </c>
      <c r="M287" s="203">
        <f>235000+176116</f>
        <v>411116</v>
      </c>
      <c r="N287" s="203">
        <f>1405000+217684.29</f>
        <v>1622684.29</v>
      </c>
      <c r="O287" s="203">
        <f t="shared" si="39"/>
        <v>9914104.3399999999</v>
      </c>
    </row>
    <row r="288" spans="1:15" s="220" customFormat="1" ht="15.75" customHeight="1" x14ac:dyDescent="0.2">
      <c r="A288" s="228"/>
      <c r="B288" s="196" t="s">
        <v>991</v>
      </c>
      <c r="C288" s="206">
        <v>1094280</v>
      </c>
      <c r="D288" s="206">
        <v>805533</v>
      </c>
      <c r="E288" s="212">
        <v>2552160</v>
      </c>
      <c r="F288" s="212">
        <v>1907290</v>
      </c>
      <c r="G288" s="212">
        <v>2341000</v>
      </c>
      <c r="H288" s="212">
        <v>2628890</v>
      </c>
      <c r="I288" s="212">
        <v>2460190</v>
      </c>
      <c r="J288" s="212">
        <v>2703412</v>
      </c>
      <c r="K288" s="212">
        <v>2318346</v>
      </c>
      <c r="L288" s="212">
        <v>2089776.93</v>
      </c>
      <c r="M288" s="212">
        <v>1925066</v>
      </c>
      <c r="N288" s="212">
        <v>1249677.9099999999</v>
      </c>
      <c r="O288" s="203">
        <f t="shared" ref="O288:O296" si="40">SUM(C288:N288)</f>
        <v>24075621.84</v>
      </c>
    </row>
    <row r="289" spans="1:15" s="220" customFormat="1" ht="15.75" customHeight="1" x14ac:dyDescent="0.2">
      <c r="A289" s="228"/>
      <c r="B289" s="196" t="s">
        <v>992</v>
      </c>
      <c r="C289" s="206">
        <v>20</v>
      </c>
      <c r="D289" s="206">
        <v>0</v>
      </c>
      <c r="E289" s="203">
        <v>32170</v>
      </c>
      <c r="F289" s="203">
        <v>105800</v>
      </c>
      <c r="G289" s="203">
        <v>24100</v>
      </c>
      <c r="H289" s="203">
        <v>88870</v>
      </c>
      <c r="I289" s="203">
        <v>1260</v>
      </c>
      <c r="J289" s="203">
        <v>156540</v>
      </c>
      <c r="K289" s="203"/>
      <c r="L289" s="203"/>
      <c r="M289" s="203"/>
      <c r="N289" s="203">
        <v>201120</v>
      </c>
      <c r="O289" s="203">
        <f t="shared" si="40"/>
        <v>609880</v>
      </c>
    </row>
    <row r="290" spans="1:15" s="220" customFormat="1" ht="15.75" hidden="1" customHeight="1" x14ac:dyDescent="0.2">
      <c r="A290" s="228"/>
      <c r="B290" s="196" t="s">
        <v>993</v>
      </c>
      <c r="C290" s="206"/>
      <c r="D290" s="206"/>
      <c r="E290" s="203"/>
      <c r="F290" s="203"/>
      <c r="G290" s="203"/>
      <c r="H290" s="203"/>
      <c r="I290" s="203"/>
      <c r="J290" s="203"/>
      <c r="K290" s="203"/>
      <c r="L290" s="203"/>
      <c r="M290" s="203"/>
      <c r="N290" s="203"/>
      <c r="O290" s="203">
        <f t="shared" si="40"/>
        <v>0</v>
      </c>
    </row>
    <row r="291" spans="1:15" s="220" customFormat="1" ht="15.75" customHeight="1" x14ac:dyDescent="0.2">
      <c r="A291" s="228"/>
      <c r="B291" s="196" t="s">
        <v>994</v>
      </c>
      <c r="C291" s="206">
        <v>18340</v>
      </c>
      <c r="D291" s="206">
        <v>19180</v>
      </c>
      <c r="E291" s="203"/>
      <c r="F291" s="203"/>
      <c r="G291" s="203"/>
      <c r="H291" s="203"/>
      <c r="I291" s="203"/>
      <c r="J291" s="203"/>
      <c r="K291" s="203"/>
      <c r="L291" s="203"/>
      <c r="M291" s="203"/>
      <c r="N291" s="203"/>
      <c r="O291" s="203">
        <f t="shared" si="40"/>
        <v>37520</v>
      </c>
    </row>
    <row r="292" spans="1:15" s="220" customFormat="1" ht="15.75" customHeight="1" x14ac:dyDescent="0.2">
      <c r="A292" s="228"/>
      <c r="B292" s="196" t="s">
        <v>995</v>
      </c>
      <c r="C292" s="206">
        <v>45490</v>
      </c>
      <c r="D292" s="206">
        <v>69780</v>
      </c>
      <c r="E292" s="203"/>
      <c r="F292" s="203"/>
      <c r="G292" s="203"/>
      <c r="H292" s="203"/>
      <c r="I292" s="203"/>
      <c r="J292" s="203"/>
      <c r="K292" s="203"/>
      <c r="L292" s="203"/>
      <c r="M292" s="203"/>
      <c r="N292" s="203"/>
      <c r="O292" s="203">
        <f t="shared" si="40"/>
        <v>115270</v>
      </c>
    </row>
    <row r="293" spans="1:15" s="220" customFormat="1" ht="15.75" hidden="1" customHeight="1" x14ac:dyDescent="0.2">
      <c r="A293" s="228"/>
      <c r="B293" s="196" t="s">
        <v>1079</v>
      </c>
      <c r="C293" s="206"/>
      <c r="D293" s="206"/>
      <c r="E293" s="203"/>
      <c r="F293" s="203"/>
      <c r="G293" s="203"/>
      <c r="H293" s="203"/>
      <c r="I293" s="203"/>
      <c r="J293" s="203"/>
      <c r="K293" s="203"/>
      <c r="L293" s="203"/>
      <c r="M293" s="203"/>
      <c r="N293" s="203"/>
      <c r="O293" s="203">
        <f t="shared" si="40"/>
        <v>0</v>
      </c>
    </row>
    <row r="294" spans="1:15" s="220" customFormat="1" ht="15.75" customHeight="1" x14ac:dyDescent="0.2">
      <c r="A294" s="228"/>
      <c r="B294" s="196" t="s">
        <v>996</v>
      </c>
      <c r="C294" s="206"/>
      <c r="D294" s="206">
        <v>3994.22</v>
      </c>
      <c r="E294" s="203"/>
      <c r="F294" s="203"/>
      <c r="G294" s="203"/>
      <c r="H294" s="203"/>
      <c r="I294" s="203"/>
      <c r="J294" s="203"/>
      <c r="K294" s="203"/>
      <c r="L294" s="203"/>
      <c r="M294" s="203"/>
      <c r="N294" s="203"/>
      <c r="O294" s="203">
        <f t="shared" si="40"/>
        <v>3994.22</v>
      </c>
    </row>
    <row r="295" spans="1:15" s="220" customFormat="1" ht="15.75" customHeight="1" x14ac:dyDescent="0.2">
      <c r="A295" s="228"/>
      <c r="B295" s="196" t="s">
        <v>997</v>
      </c>
      <c r="C295" s="206">
        <v>784820</v>
      </c>
      <c r="D295" s="206">
        <v>146282.74</v>
      </c>
      <c r="E295" s="203">
        <v>476060</v>
      </c>
      <c r="F295" s="203">
        <v>741690</v>
      </c>
      <c r="G295" s="203">
        <v>893102.63</v>
      </c>
      <c r="H295" s="203">
        <v>351230</v>
      </c>
      <c r="I295" s="203">
        <v>785540</v>
      </c>
      <c r="J295" s="203">
        <v>360800.13</v>
      </c>
      <c r="K295" s="203">
        <v>138830</v>
      </c>
      <c r="L295" s="203">
        <v>187790</v>
      </c>
      <c r="M295" s="203">
        <v>150397.99</v>
      </c>
      <c r="N295" s="203">
        <v>125647.14</v>
      </c>
      <c r="O295" s="203">
        <f t="shared" si="40"/>
        <v>5142190.63</v>
      </c>
    </row>
    <row r="296" spans="1:15" s="220" customFormat="1" ht="15.75" customHeight="1" x14ac:dyDescent="0.2">
      <c r="A296" s="228"/>
      <c r="B296" s="196" t="s">
        <v>998</v>
      </c>
      <c r="C296" s="206">
        <f>10335.56</f>
        <v>10335.56</v>
      </c>
      <c r="D296" s="206">
        <f>43206.04</f>
        <v>43206.04</v>
      </c>
      <c r="E296" s="203"/>
      <c r="F296" s="203"/>
      <c r="G296" s="203"/>
      <c r="H296" s="203"/>
      <c r="I296" s="203"/>
      <c r="J296" s="203"/>
      <c r="K296" s="203"/>
      <c r="L296" s="203"/>
      <c r="M296" s="203"/>
      <c r="N296" s="203"/>
      <c r="O296" s="203">
        <f t="shared" si="40"/>
        <v>53541.599999999999</v>
      </c>
    </row>
    <row r="297" spans="1:15" s="220" customFormat="1" ht="15.75" customHeight="1" x14ac:dyDescent="0.2">
      <c r="A297" s="228"/>
      <c r="B297" s="196" t="s">
        <v>999</v>
      </c>
      <c r="C297" s="206">
        <v>47177.9</v>
      </c>
      <c r="D297" s="206">
        <v>3169.26</v>
      </c>
      <c r="E297" s="203">
        <v>2233.7399999999998</v>
      </c>
      <c r="F297" s="203">
        <v>0</v>
      </c>
      <c r="G297" s="203">
        <v>13085.42</v>
      </c>
      <c r="H297" s="203">
        <v>0</v>
      </c>
      <c r="I297" s="203">
        <v>337000</v>
      </c>
      <c r="J297" s="203">
        <v>163310</v>
      </c>
      <c r="K297" s="203">
        <v>328000</v>
      </c>
      <c r="L297" s="203">
        <v>94680</v>
      </c>
      <c r="M297" s="203">
        <v>293687.34999999998</v>
      </c>
      <c r="N297" s="203">
        <v>540</v>
      </c>
      <c r="O297" s="203">
        <v>1282883.67</v>
      </c>
    </row>
    <row r="298" spans="1:15" s="220" customFormat="1" ht="15.75" customHeight="1" x14ac:dyDescent="0.2">
      <c r="A298" s="228"/>
      <c r="B298" s="196" t="s">
        <v>1000</v>
      </c>
      <c r="C298" s="206">
        <v>15090</v>
      </c>
      <c r="D298" s="206">
        <v>161250</v>
      </c>
      <c r="E298" s="203"/>
      <c r="F298" s="203"/>
      <c r="G298" s="203"/>
      <c r="H298" s="203"/>
      <c r="I298" s="203"/>
      <c r="J298" s="203"/>
      <c r="K298" s="203"/>
      <c r="L298" s="203"/>
      <c r="M298" s="203"/>
      <c r="N298" s="203"/>
      <c r="O298" s="203">
        <v>176340</v>
      </c>
    </row>
    <row r="299" spans="1:15" s="220" customFormat="1" ht="15.75" customHeight="1" x14ac:dyDescent="0.2">
      <c r="A299" s="228"/>
      <c r="B299" s="196" t="s">
        <v>1001</v>
      </c>
      <c r="C299" s="206">
        <v>533244.48</v>
      </c>
      <c r="D299" s="206">
        <v>637250</v>
      </c>
      <c r="E299" s="203">
        <v>684752.78</v>
      </c>
      <c r="F299" s="203"/>
      <c r="G299" s="203"/>
      <c r="H299" s="203"/>
      <c r="I299" s="203"/>
      <c r="J299" s="203"/>
      <c r="K299" s="203"/>
      <c r="L299" s="203"/>
      <c r="M299" s="203"/>
      <c r="N299" s="203"/>
      <c r="O299" s="203">
        <f t="shared" ref="O299:O316" si="41">SUM(C299:N299)</f>
        <v>1855247.26</v>
      </c>
    </row>
    <row r="300" spans="1:15" s="220" customFormat="1" ht="15.75" customHeight="1" x14ac:dyDescent="0.2">
      <c r="A300" s="228"/>
      <c r="B300" s="196" t="s">
        <v>1002</v>
      </c>
      <c r="C300" s="206">
        <v>32490</v>
      </c>
      <c r="D300" s="206">
        <v>26010</v>
      </c>
      <c r="E300" s="203">
        <v>466610</v>
      </c>
      <c r="F300" s="203">
        <v>273450</v>
      </c>
      <c r="G300" s="203">
        <v>438490</v>
      </c>
      <c r="H300" s="203">
        <v>291700</v>
      </c>
      <c r="I300" s="203">
        <v>471310</v>
      </c>
      <c r="J300" s="203">
        <v>232110</v>
      </c>
      <c r="K300" s="203">
        <v>180000</v>
      </c>
      <c r="L300" s="203">
        <v>440400</v>
      </c>
      <c r="M300" s="203">
        <v>202640</v>
      </c>
      <c r="N300" s="203">
        <v>90310</v>
      </c>
      <c r="O300" s="203">
        <f t="shared" si="41"/>
        <v>3145520</v>
      </c>
    </row>
    <row r="301" spans="1:15" s="220" customFormat="1" ht="15.75" customHeight="1" x14ac:dyDescent="0.2">
      <c r="A301" s="228"/>
      <c r="B301" s="196" t="s">
        <v>1003</v>
      </c>
      <c r="C301" s="206">
        <v>89700</v>
      </c>
      <c r="D301" s="206">
        <v>152660</v>
      </c>
      <c r="E301" s="203">
        <v>590770</v>
      </c>
      <c r="F301" s="203">
        <v>407050</v>
      </c>
      <c r="G301" s="203">
        <v>1019820</v>
      </c>
      <c r="H301" s="203">
        <v>686210</v>
      </c>
      <c r="I301" s="203">
        <v>533500</v>
      </c>
      <c r="J301" s="203">
        <v>537680</v>
      </c>
      <c r="K301" s="203">
        <v>564570</v>
      </c>
      <c r="L301" s="203">
        <v>469490</v>
      </c>
      <c r="M301" s="203">
        <v>194330</v>
      </c>
      <c r="N301" s="203">
        <v>168010</v>
      </c>
      <c r="O301" s="203">
        <f t="shared" si="41"/>
        <v>5413790</v>
      </c>
    </row>
    <row r="302" spans="1:15" s="220" customFormat="1" ht="15.75" customHeight="1" x14ac:dyDescent="0.2">
      <c r="A302" s="228"/>
      <c r="B302" s="196" t="s">
        <v>1004</v>
      </c>
      <c r="C302" s="211">
        <v>148113.23000000001</v>
      </c>
      <c r="D302" s="206">
        <v>153770</v>
      </c>
      <c r="E302" s="203">
        <v>319910</v>
      </c>
      <c r="F302" s="203">
        <v>220061.54</v>
      </c>
      <c r="G302" s="203">
        <v>323159.23</v>
      </c>
      <c r="H302" s="203">
        <v>210740</v>
      </c>
      <c r="I302" s="203">
        <v>196010</v>
      </c>
      <c r="J302" s="203">
        <v>249030</v>
      </c>
      <c r="K302" s="203">
        <v>99510</v>
      </c>
      <c r="L302" s="203">
        <v>203710</v>
      </c>
      <c r="M302" s="203">
        <v>117050</v>
      </c>
      <c r="N302" s="203">
        <v>65820</v>
      </c>
      <c r="O302" s="203">
        <f t="shared" si="41"/>
        <v>2306884</v>
      </c>
    </row>
    <row r="303" spans="1:15" s="220" customFormat="1" ht="15.75" customHeight="1" x14ac:dyDescent="0.2">
      <c r="A303" s="228"/>
      <c r="B303" s="196" t="s">
        <v>1005</v>
      </c>
      <c r="C303" s="206">
        <f>23200+756.73</f>
        <v>23956.73</v>
      </c>
      <c r="D303" s="206">
        <f>427.98+23474.45+1433.67+14771.72+2395.65+5110+4378</f>
        <v>51991.47</v>
      </c>
      <c r="E303" s="203"/>
      <c r="F303" s="203"/>
      <c r="G303" s="203"/>
      <c r="H303" s="203"/>
      <c r="I303" s="203"/>
      <c r="J303" s="203"/>
      <c r="K303" s="203"/>
      <c r="L303" s="203"/>
      <c r="M303" s="203"/>
      <c r="N303" s="203"/>
      <c r="O303" s="203">
        <f t="shared" si="41"/>
        <v>75948.2</v>
      </c>
    </row>
    <row r="304" spans="1:15" s="220" customFormat="1" ht="15.75" hidden="1" customHeight="1" x14ac:dyDescent="0.2">
      <c r="A304" s="228"/>
      <c r="B304" s="196" t="s">
        <v>1080</v>
      </c>
      <c r="C304" s="206"/>
      <c r="D304" s="206"/>
      <c r="E304" s="203"/>
      <c r="F304" s="203"/>
      <c r="G304" s="203"/>
      <c r="H304" s="203"/>
      <c r="I304" s="203"/>
      <c r="J304" s="203"/>
      <c r="K304" s="203"/>
      <c r="L304" s="203"/>
      <c r="M304" s="203"/>
      <c r="N304" s="203"/>
      <c r="O304" s="203">
        <f t="shared" si="41"/>
        <v>0</v>
      </c>
    </row>
    <row r="305" spans="1:15" s="220" customFormat="1" ht="15.75" customHeight="1" x14ac:dyDescent="0.2">
      <c r="A305" s="228"/>
      <c r="B305" s="196" t="s">
        <v>1006</v>
      </c>
      <c r="C305" s="206">
        <v>108511</v>
      </c>
      <c r="D305" s="206">
        <v>368537.06</v>
      </c>
      <c r="E305" s="203">
        <v>276920</v>
      </c>
      <c r="F305" s="203">
        <v>1096106.8400000001</v>
      </c>
      <c r="G305" s="203">
        <v>316860</v>
      </c>
      <c r="H305" s="203">
        <v>151577.32</v>
      </c>
      <c r="I305" s="203">
        <v>169824.81</v>
      </c>
      <c r="J305" s="203">
        <v>192002</v>
      </c>
      <c r="K305" s="203">
        <v>292753.12</v>
      </c>
      <c r="L305" s="203">
        <v>1473851.47</v>
      </c>
      <c r="M305" s="203">
        <v>467384.09</v>
      </c>
      <c r="N305" s="203">
        <v>1217952.51</v>
      </c>
      <c r="O305" s="203">
        <f t="shared" si="41"/>
        <v>6132280.2199999997</v>
      </c>
    </row>
    <row r="306" spans="1:15" s="220" customFormat="1" ht="15.75" hidden="1" customHeight="1" x14ac:dyDescent="0.2">
      <c r="A306" s="228"/>
      <c r="B306" s="196" t="s">
        <v>1081</v>
      </c>
      <c r="C306" s="206"/>
      <c r="D306" s="206"/>
      <c r="E306" s="203"/>
      <c r="F306" s="203"/>
      <c r="G306" s="203"/>
      <c r="H306" s="203"/>
      <c r="I306" s="203"/>
      <c r="J306" s="203"/>
      <c r="K306" s="203"/>
      <c r="L306" s="203"/>
      <c r="M306" s="203"/>
      <c r="N306" s="203"/>
      <c r="O306" s="203">
        <f t="shared" si="41"/>
        <v>0</v>
      </c>
    </row>
    <row r="307" spans="1:15" s="220" customFormat="1" ht="15.75" customHeight="1" x14ac:dyDescent="0.2">
      <c r="A307" s="228"/>
      <c r="B307" s="196" t="s">
        <v>1007</v>
      </c>
      <c r="C307" s="206">
        <v>2480</v>
      </c>
      <c r="D307" s="206">
        <v>9690</v>
      </c>
      <c r="E307" s="203">
        <v>162262.48000000001</v>
      </c>
      <c r="F307" s="203">
        <v>55110</v>
      </c>
      <c r="G307" s="203">
        <v>305765.21000000002</v>
      </c>
      <c r="H307" s="203">
        <v>241400</v>
      </c>
      <c r="I307" s="203">
        <v>38840</v>
      </c>
      <c r="J307" s="203">
        <v>68710</v>
      </c>
      <c r="K307" s="203">
        <v>85890</v>
      </c>
      <c r="L307" s="203">
        <v>85900</v>
      </c>
      <c r="M307" s="203">
        <v>34540</v>
      </c>
      <c r="N307" s="203">
        <v>157450</v>
      </c>
      <c r="O307" s="203">
        <f t="shared" si="41"/>
        <v>1248037.69</v>
      </c>
    </row>
    <row r="308" spans="1:15" s="220" customFormat="1" ht="15.75" customHeight="1" x14ac:dyDescent="0.2">
      <c r="A308" s="228"/>
      <c r="B308" s="196" t="s">
        <v>1008</v>
      </c>
      <c r="C308" s="206">
        <v>2130010</v>
      </c>
      <c r="D308" s="206">
        <v>570370</v>
      </c>
      <c r="E308" s="203">
        <v>573466</v>
      </c>
      <c r="F308" s="203">
        <v>541680</v>
      </c>
      <c r="G308" s="203">
        <v>335962</v>
      </c>
      <c r="H308" s="203">
        <v>433580.98</v>
      </c>
      <c r="I308" s="203">
        <v>872381.45</v>
      </c>
      <c r="J308" s="203">
        <v>488310</v>
      </c>
      <c r="K308" s="203">
        <v>410173.47</v>
      </c>
      <c r="L308" s="203">
        <v>330740</v>
      </c>
      <c r="M308" s="203">
        <v>259430</v>
      </c>
      <c r="N308" s="203">
        <v>280535</v>
      </c>
      <c r="O308" s="203">
        <f t="shared" si="41"/>
        <v>7226638.9000000004</v>
      </c>
    </row>
    <row r="309" spans="1:15" s="220" customFormat="1" ht="15.75" hidden="1" customHeight="1" x14ac:dyDescent="0.2">
      <c r="A309" s="228"/>
      <c r="B309" s="196" t="s">
        <v>1082</v>
      </c>
      <c r="C309" s="206"/>
      <c r="D309" s="206"/>
      <c r="E309" s="203"/>
      <c r="F309" s="203"/>
      <c r="G309" s="203"/>
      <c r="H309" s="203"/>
      <c r="I309" s="203"/>
      <c r="J309" s="203"/>
      <c r="K309" s="203"/>
      <c r="L309" s="203"/>
      <c r="M309" s="203"/>
      <c r="N309" s="203"/>
      <c r="O309" s="203">
        <f t="shared" si="41"/>
        <v>0</v>
      </c>
    </row>
    <row r="310" spans="1:15" s="220" customFormat="1" ht="15.75" hidden="1" customHeight="1" x14ac:dyDescent="0.2">
      <c r="A310" s="228"/>
      <c r="B310" s="196" t="s">
        <v>1083</v>
      </c>
      <c r="C310" s="206"/>
      <c r="D310" s="206"/>
      <c r="E310" s="203"/>
      <c r="F310" s="203"/>
      <c r="G310" s="203"/>
      <c r="H310" s="203"/>
      <c r="I310" s="203"/>
      <c r="J310" s="203"/>
      <c r="K310" s="203"/>
      <c r="L310" s="203"/>
      <c r="M310" s="203"/>
      <c r="N310" s="203"/>
      <c r="O310" s="203">
        <f t="shared" si="41"/>
        <v>0</v>
      </c>
    </row>
    <row r="311" spans="1:15" s="220" customFormat="1" ht="15.75" hidden="1" customHeight="1" x14ac:dyDescent="0.2">
      <c r="A311" s="228"/>
      <c r="B311" s="196" t="s">
        <v>1009</v>
      </c>
      <c r="C311" s="206"/>
      <c r="D311" s="206"/>
      <c r="E311" s="203"/>
      <c r="F311" s="203"/>
      <c r="G311" s="203"/>
      <c r="H311" s="203"/>
      <c r="I311" s="203"/>
      <c r="J311" s="203"/>
      <c r="K311" s="203"/>
      <c r="L311" s="203"/>
      <c r="M311" s="203"/>
      <c r="N311" s="203"/>
      <c r="O311" s="203">
        <f t="shared" si="41"/>
        <v>0</v>
      </c>
    </row>
    <row r="312" spans="1:15" s="220" customFormat="1" ht="15.75" hidden="1" customHeight="1" x14ac:dyDescent="0.2">
      <c r="A312" s="228"/>
      <c r="B312" s="196" t="s">
        <v>1084</v>
      </c>
      <c r="C312" s="206"/>
      <c r="D312" s="206"/>
      <c r="E312" s="203"/>
      <c r="F312" s="203"/>
      <c r="G312" s="203"/>
      <c r="H312" s="203"/>
      <c r="I312" s="203"/>
      <c r="J312" s="203"/>
      <c r="K312" s="203"/>
      <c r="L312" s="203"/>
      <c r="M312" s="203"/>
      <c r="N312" s="203"/>
      <c r="O312" s="203">
        <f t="shared" si="41"/>
        <v>0</v>
      </c>
    </row>
    <row r="313" spans="1:15" s="220" customFormat="1" ht="15.75" hidden="1" customHeight="1" x14ac:dyDescent="0.2">
      <c r="A313" s="228"/>
      <c r="B313" s="196" t="s">
        <v>1010</v>
      </c>
      <c r="C313" s="206"/>
      <c r="D313" s="206"/>
      <c r="E313" s="203"/>
      <c r="F313" s="203"/>
      <c r="G313" s="203"/>
      <c r="H313" s="203"/>
      <c r="I313" s="203"/>
      <c r="J313" s="203"/>
      <c r="K313" s="203"/>
      <c r="L313" s="203"/>
      <c r="M313" s="203"/>
      <c r="N313" s="203"/>
      <c r="O313" s="203">
        <f t="shared" si="41"/>
        <v>0</v>
      </c>
    </row>
    <row r="314" spans="1:15" s="220" customFormat="1" ht="15.75" customHeight="1" x14ac:dyDescent="0.2">
      <c r="A314" s="228"/>
      <c r="B314" s="196" t="s">
        <v>1011</v>
      </c>
      <c r="C314" s="206">
        <v>22427.63</v>
      </c>
      <c r="D314" s="206">
        <v>11750</v>
      </c>
      <c r="E314" s="203">
        <v>74160</v>
      </c>
      <c r="F314" s="203">
        <v>43430</v>
      </c>
      <c r="G314" s="203">
        <v>30480</v>
      </c>
      <c r="H314" s="203">
        <v>173330</v>
      </c>
      <c r="I314" s="203">
        <v>2575.6999999999998</v>
      </c>
      <c r="J314" s="203">
        <v>167930</v>
      </c>
      <c r="K314" s="203">
        <v>11320</v>
      </c>
      <c r="L314" s="203">
        <v>46000</v>
      </c>
      <c r="M314" s="203">
        <v>3240</v>
      </c>
      <c r="N314" s="203">
        <v>63135.9</v>
      </c>
      <c r="O314" s="203">
        <f t="shared" si="41"/>
        <v>649779.2300000001</v>
      </c>
    </row>
    <row r="315" spans="1:15" s="220" customFormat="1" ht="15.75" customHeight="1" x14ac:dyDescent="0.2">
      <c r="A315" s="228"/>
      <c r="B315" s="196" t="s">
        <v>1012</v>
      </c>
      <c r="C315" s="206">
        <v>0</v>
      </c>
      <c r="D315" s="206">
        <v>0</v>
      </c>
      <c r="E315" s="203">
        <v>0</v>
      </c>
      <c r="F315" s="203">
        <v>2016.53</v>
      </c>
      <c r="G315" s="203"/>
      <c r="H315" s="203"/>
      <c r="I315" s="203"/>
      <c r="J315" s="203"/>
      <c r="K315" s="211">
        <v>2984.55</v>
      </c>
      <c r="L315" s="203"/>
      <c r="M315" s="203"/>
      <c r="N315" s="203"/>
      <c r="O315" s="203">
        <f t="shared" si="41"/>
        <v>5001.08</v>
      </c>
    </row>
    <row r="316" spans="1:15" s="220" customFormat="1" ht="15.75" customHeight="1" x14ac:dyDescent="0.2">
      <c r="A316" s="228"/>
      <c r="B316" s="196" t="s">
        <v>1013</v>
      </c>
      <c r="C316" s="206">
        <v>2202387.58</v>
      </c>
      <c r="D316" s="206">
        <v>4026881.3</v>
      </c>
      <c r="E316" s="203"/>
      <c r="F316" s="203"/>
      <c r="G316" s="203"/>
      <c r="H316" s="203"/>
      <c r="I316" s="203"/>
      <c r="J316" s="203"/>
      <c r="K316" s="203"/>
      <c r="L316" s="203"/>
      <c r="M316" s="203"/>
      <c r="N316" s="203"/>
      <c r="O316" s="203">
        <f t="shared" si="41"/>
        <v>6229268.8799999999</v>
      </c>
    </row>
    <row r="317" spans="1:15" s="220" customFormat="1" ht="15.75" customHeight="1" x14ac:dyDescent="0.2">
      <c r="A317" s="228"/>
      <c r="B317" s="196" t="s">
        <v>1014</v>
      </c>
      <c r="C317" s="206">
        <v>31860</v>
      </c>
      <c r="D317" s="206">
        <f>3780+657047.54</f>
        <v>660827.54</v>
      </c>
      <c r="E317" s="203">
        <v>203800</v>
      </c>
      <c r="F317" s="203">
        <v>81143.73</v>
      </c>
      <c r="G317" s="203">
        <v>161657.88</v>
      </c>
      <c r="H317" s="203">
        <v>175238.76</v>
      </c>
      <c r="I317" s="203">
        <v>137739.69</v>
      </c>
      <c r="J317" s="203">
        <v>223900</v>
      </c>
      <c r="K317" s="203">
        <v>15300</v>
      </c>
      <c r="L317" s="203">
        <v>40946</v>
      </c>
      <c r="M317" s="203">
        <v>314837.17</v>
      </c>
      <c r="N317" s="203">
        <v>8459.42</v>
      </c>
      <c r="O317" s="203">
        <f>SUM(C317:N317)</f>
        <v>2055710.1899999997</v>
      </c>
    </row>
    <row r="318" spans="1:15" s="220" customFormat="1" ht="15.75" customHeight="1" x14ac:dyDescent="0.2">
      <c r="A318" s="228"/>
      <c r="B318" s="196" t="s">
        <v>1015</v>
      </c>
      <c r="C318" s="206">
        <v>66511.86</v>
      </c>
      <c r="D318" s="206">
        <v>141919.28</v>
      </c>
      <c r="E318" s="211">
        <v>61017.62</v>
      </c>
      <c r="F318" s="211">
        <v>61145.43</v>
      </c>
      <c r="G318" s="211">
        <v>79620</v>
      </c>
      <c r="H318" s="211">
        <v>58750</v>
      </c>
      <c r="I318" s="211">
        <v>49980</v>
      </c>
      <c r="J318" s="211">
        <v>171250</v>
      </c>
      <c r="K318" s="211">
        <v>103110</v>
      </c>
      <c r="L318" s="211">
        <v>129800</v>
      </c>
      <c r="M318" s="211">
        <v>83581.649999999994</v>
      </c>
      <c r="N318" s="211">
        <v>156044.22</v>
      </c>
      <c r="O318" s="203">
        <f t="shared" ref="O318:O323" si="42">SUM(C318:N318)</f>
        <v>1162730.06</v>
      </c>
    </row>
    <row r="319" spans="1:15" s="220" customFormat="1" ht="15.75" hidden="1" customHeight="1" x14ac:dyDescent="0.2">
      <c r="A319" s="228"/>
      <c r="B319" s="196" t="s">
        <v>1085</v>
      </c>
      <c r="C319" s="206"/>
      <c r="D319" s="206"/>
      <c r="E319" s="203"/>
      <c r="F319" s="203"/>
      <c r="G319" s="203"/>
      <c r="H319" s="203"/>
      <c r="I319" s="203"/>
      <c r="J319" s="203"/>
      <c r="K319" s="203"/>
      <c r="L319" s="203"/>
      <c r="M319" s="203"/>
      <c r="N319" s="203"/>
      <c r="O319" s="203">
        <f t="shared" si="42"/>
        <v>0</v>
      </c>
    </row>
    <row r="320" spans="1:15" s="220" customFormat="1" ht="15.75" hidden="1" customHeight="1" x14ac:dyDescent="0.2">
      <c r="A320" s="228"/>
      <c r="B320" s="196" t="s">
        <v>1086</v>
      </c>
      <c r="C320" s="206"/>
      <c r="D320" s="206"/>
      <c r="E320" s="203"/>
      <c r="F320" s="203"/>
      <c r="G320" s="203"/>
      <c r="H320" s="203"/>
      <c r="I320" s="203"/>
      <c r="J320" s="203"/>
      <c r="K320" s="203"/>
      <c r="L320" s="203"/>
      <c r="M320" s="203"/>
      <c r="N320" s="203"/>
      <c r="O320" s="203">
        <f t="shared" si="42"/>
        <v>0</v>
      </c>
    </row>
    <row r="321" spans="1:15" s="220" customFormat="1" ht="15.75" hidden="1" customHeight="1" x14ac:dyDescent="0.2">
      <c r="A321" s="228"/>
      <c r="B321" s="196" t="s">
        <v>1087</v>
      </c>
      <c r="C321" s="206"/>
      <c r="D321" s="206"/>
      <c r="E321" s="203"/>
      <c r="F321" s="203"/>
      <c r="G321" s="203"/>
      <c r="H321" s="203"/>
      <c r="I321" s="203"/>
      <c r="J321" s="203"/>
      <c r="K321" s="203"/>
      <c r="L321" s="203"/>
      <c r="M321" s="203"/>
      <c r="N321" s="203"/>
      <c r="O321" s="203">
        <f t="shared" si="42"/>
        <v>0</v>
      </c>
    </row>
    <row r="322" spans="1:15" s="220" customFormat="1" ht="15.75" hidden="1" customHeight="1" x14ac:dyDescent="0.2">
      <c r="A322" s="228"/>
      <c r="B322" s="196" t="s">
        <v>1088</v>
      </c>
      <c r="C322" s="206"/>
      <c r="D322" s="206"/>
      <c r="E322" s="203"/>
      <c r="F322" s="203"/>
      <c r="G322" s="203"/>
      <c r="H322" s="203"/>
      <c r="I322" s="203"/>
      <c r="J322" s="203"/>
      <c r="K322" s="203"/>
      <c r="L322" s="203"/>
      <c r="M322" s="203"/>
      <c r="N322" s="203"/>
      <c r="O322" s="203">
        <f t="shared" si="42"/>
        <v>0</v>
      </c>
    </row>
    <row r="323" spans="1:15" s="220" customFormat="1" ht="15.75" hidden="1" customHeight="1" x14ac:dyDescent="0.2">
      <c r="A323" s="228"/>
      <c r="B323" s="196" t="s">
        <v>1089</v>
      </c>
      <c r="C323" s="206"/>
      <c r="D323" s="206"/>
      <c r="E323" s="203"/>
      <c r="F323" s="203"/>
      <c r="G323" s="203"/>
      <c r="H323" s="203"/>
      <c r="I323" s="203"/>
      <c r="J323" s="203"/>
      <c r="K323" s="203"/>
      <c r="L323" s="203"/>
      <c r="M323" s="203"/>
      <c r="N323" s="203"/>
      <c r="O323" s="203">
        <f t="shared" si="42"/>
        <v>0</v>
      </c>
    </row>
    <row r="324" spans="1:15" s="220" customFormat="1" ht="15.75" customHeight="1" x14ac:dyDescent="0.2">
      <c r="A324" s="228"/>
      <c r="B324" s="196" t="s">
        <v>1016</v>
      </c>
      <c r="C324" s="206">
        <v>1084360</v>
      </c>
      <c r="D324" s="206">
        <v>628850</v>
      </c>
      <c r="E324" s="203"/>
      <c r="F324" s="203"/>
      <c r="G324" s="203"/>
      <c r="H324" s="203"/>
      <c r="I324" s="203"/>
      <c r="J324" s="203"/>
      <c r="K324" s="203"/>
      <c r="L324" s="203"/>
      <c r="M324" s="203"/>
      <c r="N324" s="203"/>
      <c r="O324" s="203">
        <f>SUM(C324:N324)</f>
        <v>1713210</v>
      </c>
    </row>
    <row r="325" spans="1:15" s="220" customFormat="1" ht="15.75" hidden="1" customHeight="1" x14ac:dyDescent="0.2">
      <c r="A325" s="228"/>
      <c r="B325" s="196" t="s">
        <v>1090</v>
      </c>
      <c r="C325" s="206"/>
      <c r="D325" s="206"/>
      <c r="E325" s="203"/>
      <c r="F325" s="203"/>
      <c r="G325" s="203"/>
      <c r="H325" s="203"/>
      <c r="I325" s="203"/>
      <c r="J325" s="203"/>
      <c r="K325" s="203"/>
      <c r="L325" s="203"/>
      <c r="M325" s="203"/>
      <c r="N325" s="203"/>
      <c r="O325" s="203">
        <f>SUM(C325:N325)</f>
        <v>0</v>
      </c>
    </row>
    <row r="326" spans="1:15" s="220" customFormat="1" ht="15.75" customHeight="1" x14ac:dyDescent="0.2">
      <c r="A326" s="228"/>
      <c r="B326" s="196" t="s">
        <v>1017</v>
      </c>
      <c r="C326" s="206">
        <v>184290</v>
      </c>
      <c r="D326" s="206">
        <v>264230</v>
      </c>
      <c r="E326" s="211">
        <v>145850</v>
      </c>
      <c r="F326" s="203">
        <v>237690</v>
      </c>
      <c r="G326" s="203">
        <v>399230</v>
      </c>
      <c r="H326" s="203">
        <v>240290</v>
      </c>
      <c r="I326" s="203">
        <v>356910</v>
      </c>
      <c r="J326" s="203">
        <v>305230</v>
      </c>
      <c r="K326" s="203">
        <v>338860</v>
      </c>
      <c r="L326" s="203">
        <v>488060</v>
      </c>
      <c r="M326" s="203">
        <v>283240</v>
      </c>
      <c r="N326" s="203">
        <v>266210</v>
      </c>
      <c r="O326" s="203">
        <f>SUM(C326:N326)</f>
        <v>3510090</v>
      </c>
    </row>
    <row r="327" spans="1:15" s="220" customFormat="1" ht="15.75" hidden="1" customHeight="1" x14ac:dyDescent="0.2">
      <c r="A327" s="228"/>
      <c r="B327" s="196" t="s">
        <v>1091</v>
      </c>
      <c r="C327" s="206"/>
      <c r="D327" s="206"/>
      <c r="E327" s="203"/>
      <c r="F327" s="203"/>
      <c r="G327" s="203"/>
      <c r="H327" s="203"/>
      <c r="I327" s="203"/>
      <c r="J327" s="203"/>
      <c r="K327" s="203"/>
      <c r="L327" s="203"/>
      <c r="M327" s="203"/>
      <c r="N327" s="203"/>
      <c r="O327" s="203">
        <f t="shared" ref="O327:O343" si="43">SUM(C327:N327)</f>
        <v>0</v>
      </c>
    </row>
    <row r="328" spans="1:15" s="220" customFormat="1" ht="15.75" customHeight="1" x14ac:dyDescent="0.2">
      <c r="A328" s="228"/>
      <c r="B328" s="196" t="s">
        <v>1018</v>
      </c>
      <c r="C328" s="211">
        <v>152580</v>
      </c>
      <c r="D328" s="211">
        <v>73478.73</v>
      </c>
      <c r="E328" s="203">
        <v>250056.5</v>
      </c>
      <c r="F328" s="203">
        <v>77880</v>
      </c>
      <c r="G328" s="203">
        <v>159905.4</v>
      </c>
      <c r="H328" s="203">
        <v>260490</v>
      </c>
      <c r="I328" s="203">
        <v>144810</v>
      </c>
      <c r="J328" s="203">
        <v>44698.83</v>
      </c>
      <c r="K328" s="203">
        <v>60240</v>
      </c>
      <c r="L328" s="203">
        <v>75997.320000000007</v>
      </c>
      <c r="M328" s="203">
        <v>11775</v>
      </c>
      <c r="N328" s="203">
        <v>44560</v>
      </c>
      <c r="O328" s="203">
        <f t="shared" si="43"/>
        <v>1356471.78</v>
      </c>
    </row>
    <row r="329" spans="1:15" s="220" customFormat="1" ht="15.75" customHeight="1" x14ac:dyDescent="0.2">
      <c r="A329" s="228"/>
      <c r="B329" s="196" t="s">
        <v>1019</v>
      </c>
      <c r="C329" s="211">
        <v>175900</v>
      </c>
      <c r="D329" s="211">
        <v>654300</v>
      </c>
      <c r="E329" s="211">
        <v>730895.93</v>
      </c>
      <c r="F329" s="211">
        <v>12100</v>
      </c>
      <c r="G329" s="211">
        <v>150248.81</v>
      </c>
      <c r="H329" s="211">
        <v>184138.22</v>
      </c>
      <c r="I329" s="211">
        <v>857894.22</v>
      </c>
      <c r="J329" s="211">
        <v>249146.4</v>
      </c>
      <c r="K329" s="211">
        <v>588855.6</v>
      </c>
      <c r="L329" s="211">
        <v>74290</v>
      </c>
      <c r="M329" s="211">
        <v>550430</v>
      </c>
      <c r="N329" s="211">
        <v>1208156.3</v>
      </c>
      <c r="O329" s="203">
        <f t="shared" si="43"/>
        <v>5436355.4799999995</v>
      </c>
    </row>
    <row r="330" spans="1:15" s="220" customFormat="1" ht="15.75" customHeight="1" x14ac:dyDescent="0.2">
      <c r="A330" s="228"/>
      <c r="B330" s="196" t="s">
        <v>1020</v>
      </c>
      <c r="C330" s="212">
        <v>401024.57</v>
      </c>
      <c r="D330" s="212">
        <v>33664.85</v>
      </c>
      <c r="E330" s="203"/>
      <c r="F330" s="203"/>
      <c r="G330" s="203"/>
      <c r="H330" s="203"/>
      <c r="I330" s="203"/>
      <c r="J330" s="203"/>
      <c r="K330" s="203"/>
      <c r="L330" s="203"/>
      <c r="M330" s="203"/>
      <c r="N330" s="203"/>
      <c r="O330" s="203">
        <f t="shared" si="43"/>
        <v>434689.42</v>
      </c>
    </row>
    <row r="331" spans="1:15" s="220" customFormat="1" ht="15.75" customHeight="1" x14ac:dyDescent="0.2">
      <c r="A331" s="228"/>
      <c r="B331" s="196" t="s">
        <v>1021</v>
      </c>
      <c r="C331" s="211">
        <v>287301.78000000003</v>
      </c>
      <c r="D331" s="206">
        <v>46107.62</v>
      </c>
      <c r="E331" s="203">
        <v>708518.66</v>
      </c>
      <c r="F331" s="203">
        <v>131556.91</v>
      </c>
      <c r="G331" s="203">
        <v>173745.23</v>
      </c>
      <c r="H331" s="203">
        <v>269580</v>
      </c>
      <c r="I331" s="203">
        <v>155751.04999999999</v>
      </c>
      <c r="J331" s="203">
        <v>245193.2</v>
      </c>
      <c r="K331" s="203">
        <v>227566.32</v>
      </c>
      <c r="L331" s="203">
        <v>152962.74</v>
      </c>
      <c r="M331" s="203">
        <v>139536.01999999999</v>
      </c>
      <c r="N331" s="203">
        <v>142930</v>
      </c>
      <c r="O331" s="203">
        <f t="shared" si="43"/>
        <v>2680749.5299999998</v>
      </c>
    </row>
    <row r="332" spans="1:15" s="220" customFormat="1" ht="15.75" hidden="1" customHeight="1" thickTop="1" x14ac:dyDescent="0.2">
      <c r="A332" s="228"/>
      <c r="B332" s="196" t="s">
        <v>1022</v>
      </c>
      <c r="C332" s="206"/>
      <c r="D332" s="206"/>
      <c r="E332" s="203"/>
      <c r="F332" s="203"/>
      <c r="G332" s="203"/>
      <c r="H332" s="203"/>
      <c r="I332" s="203"/>
      <c r="J332" s="203"/>
      <c r="K332" s="203"/>
      <c r="L332" s="203"/>
      <c r="M332" s="203"/>
      <c r="N332" s="203"/>
      <c r="O332" s="203">
        <f t="shared" si="43"/>
        <v>0</v>
      </c>
    </row>
    <row r="333" spans="1:15" s="220" customFormat="1" ht="15.75" customHeight="1" x14ac:dyDescent="0.2">
      <c r="A333" s="228"/>
      <c r="B333" s="220" t="s">
        <v>1023</v>
      </c>
      <c r="C333" s="206">
        <v>723700</v>
      </c>
      <c r="D333" s="206">
        <v>925040</v>
      </c>
      <c r="E333" s="203"/>
      <c r="F333" s="203"/>
      <c r="G333" s="203"/>
      <c r="H333" s="203"/>
      <c r="I333" s="203"/>
      <c r="J333" s="203"/>
      <c r="K333" s="203"/>
      <c r="L333" s="203"/>
      <c r="M333" s="203"/>
      <c r="N333" s="203"/>
      <c r="O333" s="203">
        <f t="shared" si="43"/>
        <v>1648740</v>
      </c>
    </row>
    <row r="334" spans="1:15" s="220" customFormat="1" ht="15.75" customHeight="1" x14ac:dyDescent="0.2">
      <c r="A334" s="228"/>
      <c r="B334" s="196" t="s">
        <v>1024</v>
      </c>
      <c r="C334" s="206">
        <v>906845.32</v>
      </c>
      <c r="D334" s="206">
        <v>416790</v>
      </c>
      <c r="E334" s="203">
        <v>541640</v>
      </c>
      <c r="F334" s="203">
        <v>255145</v>
      </c>
      <c r="G334" s="203">
        <v>452250</v>
      </c>
      <c r="H334" s="203">
        <v>738971</v>
      </c>
      <c r="I334" s="203">
        <v>554960</v>
      </c>
      <c r="J334" s="203">
        <v>868229.16</v>
      </c>
      <c r="K334" s="203">
        <v>1157626.8</v>
      </c>
      <c r="L334" s="203">
        <v>893175.36</v>
      </c>
      <c r="M334" s="203">
        <v>610150</v>
      </c>
      <c r="N334" s="203">
        <v>376516.24</v>
      </c>
      <c r="O334" s="203">
        <f t="shared" si="43"/>
        <v>7772298.8799999999</v>
      </c>
    </row>
    <row r="335" spans="1:15" s="220" customFormat="1" ht="15.75" customHeight="1" x14ac:dyDescent="0.2">
      <c r="A335" s="228"/>
      <c r="B335" s="196" t="s">
        <v>1025</v>
      </c>
      <c r="C335" s="206">
        <v>7829.87</v>
      </c>
      <c r="D335" s="206">
        <v>21583.14</v>
      </c>
      <c r="E335" s="203"/>
      <c r="F335" s="203"/>
      <c r="G335" s="203"/>
      <c r="H335" s="203"/>
      <c r="I335" s="203"/>
      <c r="J335" s="203"/>
      <c r="K335" s="203"/>
      <c r="L335" s="203"/>
      <c r="M335" s="203"/>
      <c r="N335" s="203"/>
      <c r="O335" s="203">
        <f t="shared" si="43"/>
        <v>29413.01</v>
      </c>
    </row>
    <row r="336" spans="1:15" s="220" customFormat="1" ht="15.75" customHeight="1" x14ac:dyDescent="0.2">
      <c r="A336" s="228"/>
      <c r="B336" s="196" t="s">
        <v>1026</v>
      </c>
      <c r="C336" s="206">
        <v>24300</v>
      </c>
      <c r="D336" s="206">
        <v>17440</v>
      </c>
      <c r="E336" s="203">
        <v>95408.51</v>
      </c>
      <c r="F336" s="203">
        <v>90160</v>
      </c>
      <c r="G336" s="203">
        <v>120865.25</v>
      </c>
      <c r="H336" s="203">
        <v>97270</v>
      </c>
      <c r="I336" s="203">
        <v>109029.26</v>
      </c>
      <c r="J336" s="203">
        <v>105940</v>
      </c>
      <c r="K336" s="203">
        <v>63967.519999999997</v>
      </c>
      <c r="L336" s="203">
        <v>148359.26</v>
      </c>
      <c r="M336" s="203">
        <v>25454.57</v>
      </c>
      <c r="N336" s="203">
        <v>70520.17</v>
      </c>
      <c r="O336" s="203">
        <f t="shared" si="43"/>
        <v>968714.54</v>
      </c>
    </row>
    <row r="337" spans="1:15" s="220" customFormat="1" ht="15.75" hidden="1" customHeight="1" x14ac:dyDescent="0.2">
      <c r="A337" s="228"/>
      <c r="B337" s="196" t="s">
        <v>1092</v>
      </c>
      <c r="C337" s="206"/>
      <c r="D337" s="206"/>
      <c r="E337" s="203"/>
      <c r="F337" s="203"/>
      <c r="G337" s="203"/>
      <c r="H337" s="203"/>
      <c r="I337" s="203"/>
      <c r="J337" s="203"/>
      <c r="K337" s="203"/>
      <c r="L337" s="203"/>
      <c r="M337" s="203"/>
      <c r="N337" s="203"/>
      <c r="O337" s="203">
        <f t="shared" si="43"/>
        <v>0</v>
      </c>
    </row>
    <row r="338" spans="1:15" s="220" customFormat="1" ht="15.75" hidden="1" customHeight="1" x14ac:dyDescent="0.2">
      <c r="A338" s="228"/>
      <c r="B338" s="196" t="s">
        <v>1093</v>
      </c>
      <c r="C338" s="206"/>
      <c r="D338" s="206"/>
      <c r="E338" s="203"/>
      <c r="F338" s="203"/>
      <c r="G338" s="203"/>
      <c r="H338" s="203"/>
      <c r="I338" s="203"/>
      <c r="J338" s="203"/>
      <c r="K338" s="203"/>
      <c r="L338" s="203"/>
      <c r="M338" s="203"/>
      <c r="N338" s="203"/>
      <c r="O338" s="203">
        <f t="shared" si="43"/>
        <v>0</v>
      </c>
    </row>
    <row r="339" spans="1:15" s="220" customFormat="1" ht="15.75" hidden="1" customHeight="1" x14ac:dyDescent="0.2">
      <c r="A339" s="228"/>
      <c r="B339" s="196" t="s">
        <v>1027</v>
      </c>
      <c r="C339" s="206"/>
      <c r="D339" s="206"/>
      <c r="E339" s="203"/>
      <c r="F339" s="203"/>
      <c r="G339" s="203"/>
      <c r="H339" s="203"/>
      <c r="I339" s="203"/>
      <c r="J339" s="203"/>
      <c r="K339" s="203"/>
      <c r="L339" s="203"/>
      <c r="M339" s="203"/>
      <c r="N339" s="203"/>
      <c r="O339" s="203">
        <f t="shared" si="43"/>
        <v>0</v>
      </c>
    </row>
    <row r="340" spans="1:15" s="220" customFormat="1" ht="15.75" hidden="1" customHeight="1" x14ac:dyDescent="0.2">
      <c r="A340" s="228"/>
      <c r="B340" s="196" t="s">
        <v>1094</v>
      </c>
      <c r="C340" s="206"/>
      <c r="D340" s="206"/>
      <c r="E340" s="203"/>
      <c r="F340" s="203"/>
      <c r="G340" s="203"/>
      <c r="H340" s="203"/>
      <c r="I340" s="203"/>
      <c r="J340" s="203"/>
      <c r="K340" s="203"/>
      <c r="L340" s="203"/>
      <c r="M340" s="203"/>
      <c r="N340" s="203"/>
      <c r="O340" s="203">
        <f t="shared" si="43"/>
        <v>0</v>
      </c>
    </row>
    <row r="341" spans="1:15" s="220" customFormat="1" ht="15.75" hidden="1" customHeight="1" x14ac:dyDescent="0.2">
      <c r="A341" s="228"/>
      <c r="B341" s="196" t="s">
        <v>1095</v>
      </c>
      <c r="C341" s="206"/>
      <c r="D341" s="206"/>
      <c r="E341" s="203"/>
      <c r="F341" s="203"/>
      <c r="G341" s="203"/>
      <c r="H341" s="203"/>
      <c r="I341" s="203"/>
      <c r="J341" s="203"/>
      <c r="K341" s="203"/>
      <c r="L341" s="203"/>
      <c r="M341" s="203"/>
      <c r="N341" s="203"/>
      <c r="O341" s="203">
        <f t="shared" si="43"/>
        <v>0</v>
      </c>
    </row>
    <row r="342" spans="1:15" s="220" customFormat="1" ht="15.75" hidden="1" customHeight="1" x14ac:dyDescent="0.2">
      <c r="A342" s="228"/>
      <c r="B342" s="196" t="s">
        <v>1096</v>
      </c>
      <c r="C342" s="206"/>
      <c r="D342" s="206"/>
      <c r="E342" s="203"/>
      <c r="F342" s="203"/>
      <c r="G342" s="203"/>
      <c r="H342" s="203"/>
      <c r="I342" s="203"/>
      <c r="J342" s="203"/>
      <c r="K342" s="203"/>
      <c r="L342" s="203"/>
      <c r="M342" s="203"/>
      <c r="N342" s="203"/>
      <c r="O342" s="203">
        <f t="shared" si="43"/>
        <v>0</v>
      </c>
    </row>
    <row r="343" spans="1:15" s="220" customFormat="1" ht="15.75" customHeight="1" x14ac:dyDescent="0.2">
      <c r="A343" s="228"/>
      <c r="B343" s="196" t="s">
        <v>1028</v>
      </c>
      <c r="C343" s="206">
        <v>200954.8</v>
      </c>
      <c r="D343" s="206">
        <v>146809.06</v>
      </c>
      <c r="E343" s="203"/>
      <c r="F343" s="203"/>
      <c r="G343" s="203"/>
      <c r="H343" s="203"/>
      <c r="I343" s="203"/>
      <c r="J343" s="203"/>
      <c r="K343" s="203"/>
      <c r="L343" s="203"/>
      <c r="M343" s="203"/>
      <c r="N343" s="203"/>
      <c r="O343" s="203">
        <f t="shared" si="43"/>
        <v>347763.86</v>
      </c>
    </row>
    <row r="344" spans="1:15" s="220" customFormat="1" ht="12.75" customHeight="1" x14ac:dyDescent="0.25">
      <c r="A344" s="253"/>
      <c r="B344" s="259"/>
      <c r="C344" s="211"/>
      <c r="D344" s="211"/>
      <c r="E344" s="254"/>
      <c r="F344" s="254"/>
      <c r="G344" s="254"/>
      <c r="H344" s="254"/>
      <c r="I344" s="254"/>
      <c r="J344" s="254"/>
      <c r="K344" s="254"/>
      <c r="L344" s="254"/>
      <c r="M344" s="254"/>
      <c r="N344" s="254"/>
      <c r="O344" s="203"/>
    </row>
    <row r="345" spans="1:15" s="220" customFormat="1" ht="15.75" customHeight="1" x14ac:dyDescent="0.25">
      <c r="A345" s="216" t="s">
        <v>140</v>
      </c>
      <c r="B345" s="226"/>
      <c r="C345" s="227">
        <f t="shared" ref="C345:O345" si="44">SUM(C346:C362)</f>
        <v>9242407.7399999984</v>
      </c>
      <c r="D345" s="227">
        <f t="shared" si="44"/>
        <v>11615530.710000001</v>
      </c>
      <c r="E345" s="227">
        <f t="shared" si="44"/>
        <v>14882637.549999999</v>
      </c>
      <c r="F345" s="227">
        <f t="shared" si="44"/>
        <v>13053788.779999999</v>
      </c>
      <c r="G345" s="227">
        <f t="shared" si="44"/>
        <v>13406941.58</v>
      </c>
      <c r="H345" s="227">
        <f t="shared" si="44"/>
        <v>6852904.3599999994</v>
      </c>
      <c r="I345" s="227">
        <f t="shared" si="44"/>
        <v>10047235.5</v>
      </c>
      <c r="J345" s="227">
        <f t="shared" si="44"/>
        <v>8485058.3900000006</v>
      </c>
      <c r="K345" s="227">
        <f t="shared" si="44"/>
        <v>7942934.3300000001</v>
      </c>
      <c r="L345" s="227">
        <f t="shared" si="44"/>
        <v>8455148.370000001</v>
      </c>
      <c r="M345" s="227">
        <f t="shared" si="44"/>
        <v>7015877.0299999993</v>
      </c>
      <c r="N345" s="227">
        <f t="shared" si="44"/>
        <v>7383923.5800000001</v>
      </c>
      <c r="O345" s="227">
        <f t="shared" si="44"/>
        <v>118384387.92000002</v>
      </c>
    </row>
    <row r="346" spans="1:15" s="220" customFormat="1" ht="15.75" customHeight="1" x14ac:dyDescent="0.2">
      <c r="A346" s="219"/>
      <c r="B346" s="228" t="s">
        <v>142</v>
      </c>
      <c r="C346" s="212">
        <v>790912.14</v>
      </c>
      <c r="D346" s="212">
        <v>2261121.87</v>
      </c>
      <c r="E346" s="212">
        <f>1011487.31+1398</f>
        <v>1012885.31</v>
      </c>
      <c r="F346" s="203">
        <f>1822471.64+83200</f>
        <v>1905671.64</v>
      </c>
      <c r="G346" s="203">
        <v>2306681.0499999998</v>
      </c>
      <c r="H346" s="203">
        <v>314140.73</v>
      </c>
      <c r="I346" s="203">
        <v>3222402.67</v>
      </c>
      <c r="J346" s="203">
        <v>1859193.76</v>
      </c>
      <c r="K346" s="203">
        <v>207132.94</v>
      </c>
      <c r="L346" s="203">
        <f>2264057.83+5976.77</f>
        <v>2270034.6</v>
      </c>
      <c r="M346" s="203">
        <f>658691.41+560</f>
        <v>659251.41</v>
      </c>
      <c r="N346" s="203">
        <f>1125307.82+14989.59</f>
        <v>1140297.4100000001</v>
      </c>
      <c r="O346" s="203">
        <f t="shared" ref="O346:O362" si="45">SUM(C346:N346)</f>
        <v>17949725.529999997</v>
      </c>
    </row>
    <row r="347" spans="1:15" s="220" customFormat="1" ht="15.75" customHeight="1" x14ac:dyDescent="0.2">
      <c r="A347" s="219"/>
      <c r="B347" s="228" t="s">
        <v>141</v>
      </c>
      <c r="C347" s="203">
        <v>500</v>
      </c>
      <c r="D347" s="203">
        <v>500</v>
      </c>
      <c r="E347" s="203">
        <v>40500</v>
      </c>
      <c r="F347" s="203">
        <v>20500</v>
      </c>
      <c r="G347" s="203"/>
      <c r="H347" s="203"/>
      <c r="I347" s="203"/>
      <c r="J347" s="203"/>
      <c r="K347" s="203"/>
      <c r="L347" s="203"/>
      <c r="M347" s="203"/>
      <c r="N347" s="203"/>
      <c r="O347" s="203">
        <f t="shared" si="45"/>
        <v>62000</v>
      </c>
    </row>
    <row r="348" spans="1:15" s="220" customFormat="1" ht="15.75" customHeight="1" x14ac:dyDescent="0.2">
      <c r="A348" s="219"/>
      <c r="B348" s="228" t="s">
        <v>143</v>
      </c>
      <c r="C348" s="206">
        <v>73240.2</v>
      </c>
      <c r="D348" s="206">
        <v>49960</v>
      </c>
      <c r="E348" s="206">
        <v>201988</v>
      </c>
      <c r="F348" s="206">
        <v>1504330</v>
      </c>
      <c r="G348" s="206">
        <v>189337</v>
      </c>
      <c r="H348" s="206">
        <v>52640</v>
      </c>
      <c r="I348" s="206">
        <v>143240</v>
      </c>
      <c r="J348" s="206">
        <v>411134.22</v>
      </c>
      <c r="K348" s="206">
        <v>80267</v>
      </c>
      <c r="L348" s="206">
        <v>145878</v>
      </c>
      <c r="M348" s="203">
        <v>115364</v>
      </c>
      <c r="N348" s="203">
        <v>739350</v>
      </c>
      <c r="O348" s="203">
        <f t="shared" si="45"/>
        <v>3706728.42</v>
      </c>
    </row>
    <row r="349" spans="1:15" s="220" customFormat="1" ht="15.75" customHeight="1" x14ac:dyDescent="0.2">
      <c r="A349" s="219"/>
      <c r="B349" s="228" t="s">
        <v>144</v>
      </c>
      <c r="C349" s="203">
        <v>428083</v>
      </c>
      <c r="D349" s="203">
        <v>814941</v>
      </c>
      <c r="E349" s="203">
        <v>771973.4</v>
      </c>
      <c r="F349" s="203"/>
      <c r="G349" s="203"/>
      <c r="H349" s="203"/>
      <c r="I349" s="203"/>
      <c r="J349" s="203"/>
      <c r="K349" s="203"/>
      <c r="L349" s="203"/>
      <c r="M349" s="203"/>
      <c r="N349" s="203"/>
      <c r="O349" s="203">
        <f t="shared" si="45"/>
        <v>2014997.4</v>
      </c>
    </row>
    <row r="350" spans="1:15" s="220" customFormat="1" ht="15.75" customHeight="1" x14ac:dyDescent="0.2">
      <c r="A350" s="219"/>
      <c r="B350" s="228" t="s">
        <v>145</v>
      </c>
      <c r="C350" s="203">
        <v>2020086</v>
      </c>
      <c r="D350" s="203">
        <v>2541174.1800000002</v>
      </c>
      <c r="E350" s="203">
        <v>3752551.01</v>
      </c>
      <c r="F350" s="203">
        <v>3485023</v>
      </c>
      <c r="G350" s="203">
        <v>2833288</v>
      </c>
      <c r="H350" s="203"/>
      <c r="I350" s="203"/>
      <c r="J350" s="203"/>
      <c r="K350" s="203"/>
      <c r="L350" s="203"/>
      <c r="M350" s="203"/>
      <c r="N350" s="203"/>
      <c r="O350" s="203">
        <f t="shared" si="45"/>
        <v>14632122.189999999</v>
      </c>
    </row>
    <row r="351" spans="1:15" s="220" customFormat="1" ht="15.75" customHeight="1" x14ac:dyDescent="0.2">
      <c r="A351" s="219"/>
      <c r="B351" s="228" t="s">
        <v>716</v>
      </c>
      <c r="C351" s="203">
        <v>1455821.2</v>
      </c>
      <c r="D351" s="203">
        <v>2052349</v>
      </c>
      <c r="E351" s="203">
        <v>2900787.73</v>
      </c>
      <c r="F351" s="203">
        <v>2049182.96</v>
      </c>
      <c r="G351" s="203">
        <v>3184976.53</v>
      </c>
      <c r="H351" s="203">
        <v>2458226.9</v>
      </c>
      <c r="I351" s="203">
        <v>2537281.83</v>
      </c>
      <c r="J351" s="203">
        <v>2187628.91</v>
      </c>
      <c r="K351" s="203">
        <v>2999663.39</v>
      </c>
      <c r="L351" s="203">
        <v>2168496.77</v>
      </c>
      <c r="M351" s="203">
        <v>1795385.66</v>
      </c>
      <c r="N351" s="203">
        <v>1827960.67</v>
      </c>
      <c r="O351" s="203">
        <f t="shared" si="45"/>
        <v>27617761.550000004</v>
      </c>
    </row>
    <row r="352" spans="1:15" s="220" customFormat="1" ht="15.75" hidden="1" customHeight="1" x14ac:dyDescent="0.2">
      <c r="A352" s="219"/>
      <c r="B352" s="228" t="s">
        <v>147</v>
      </c>
      <c r="C352" s="203">
        <v>0</v>
      </c>
      <c r="D352" s="203">
        <v>0</v>
      </c>
      <c r="E352" s="203"/>
      <c r="F352" s="203"/>
      <c r="G352" s="203"/>
      <c r="H352" s="203"/>
      <c r="I352" s="203"/>
      <c r="J352" s="203"/>
      <c r="K352" s="203"/>
      <c r="L352" s="203"/>
      <c r="M352" s="203"/>
      <c r="N352" s="203"/>
      <c r="O352" s="203">
        <f t="shared" si="45"/>
        <v>0</v>
      </c>
    </row>
    <row r="353" spans="1:15" s="220" customFormat="1" ht="29.25" customHeight="1" x14ac:dyDescent="0.2">
      <c r="A353" s="219"/>
      <c r="B353" s="245" t="s">
        <v>766</v>
      </c>
      <c r="C353" s="203">
        <v>1204869</v>
      </c>
      <c r="D353" s="203">
        <v>944655.5</v>
      </c>
      <c r="E353" s="203">
        <v>1614817</v>
      </c>
      <c r="F353" s="203">
        <v>1260809</v>
      </c>
      <c r="G353" s="203">
        <v>1369147</v>
      </c>
      <c r="H353" s="203">
        <v>898631</v>
      </c>
      <c r="I353" s="203">
        <v>836711</v>
      </c>
      <c r="J353" s="203">
        <v>1462276.5</v>
      </c>
      <c r="K353" s="203">
        <v>1175807</v>
      </c>
      <c r="L353" s="203">
        <v>1258891</v>
      </c>
      <c r="M353" s="203">
        <v>1479573</v>
      </c>
      <c r="N353" s="203">
        <v>1125040.5</v>
      </c>
      <c r="O353" s="203">
        <f t="shared" si="45"/>
        <v>14631227.5</v>
      </c>
    </row>
    <row r="354" spans="1:15" s="220" customFormat="1" ht="15.75" customHeight="1" x14ac:dyDescent="0.2">
      <c r="A354" s="219"/>
      <c r="B354" s="228" t="s">
        <v>775</v>
      </c>
      <c r="C354" s="203">
        <v>20000</v>
      </c>
      <c r="D354" s="203">
        <v>6000</v>
      </c>
      <c r="E354" s="203">
        <v>42000</v>
      </c>
      <c r="F354" s="203">
        <v>9000</v>
      </c>
      <c r="G354" s="203">
        <v>21000</v>
      </c>
      <c r="H354" s="203">
        <v>50000</v>
      </c>
      <c r="I354" s="203">
        <v>26000</v>
      </c>
      <c r="J354" s="203">
        <v>21000</v>
      </c>
      <c r="K354" s="203">
        <v>43000</v>
      </c>
      <c r="L354" s="203">
        <v>30000</v>
      </c>
      <c r="M354" s="203">
        <v>76000</v>
      </c>
      <c r="N354" s="203">
        <f>387000-344000</f>
        <v>43000</v>
      </c>
      <c r="O354" s="203">
        <f t="shared" si="45"/>
        <v>387000</v>
      </c>
    </row>
    <row r="355" spans="1:15" s="220" customFormat="1" ht="15.75" customHeight="1" x14ac:dyDescent="0.2">
      <c r="A355" s="219"/>
      <c r="B355" s="228" t="s">
        <v>1029</v>
      </c>
      <c r="C355" s="203">
        <v>30000</v>
      </c>
      <c r="D355" s="203">
        <v>34430</v>
      </c>
      <c r="E355" s="203"/>
      <c r="F355" s="203"/>
      <c r="G355" s="203"/>
      <c r="H355" s="203"/>
      <c r="I355" s="203"/>
      <c r="J355" s="203"/>
      <c r="K355" s="203"/>
      <c r="L355" s="203"/>
      <c r="M355" s="203"/>
      <c r="N355" s="203"/>
      <c r="O355" s="203">
        <f t="shared" si="45"/>
        <v>64430</v>
      </c>
    </row>
    <row r="356" spans="1:15" s="220" customFormat="1" ht="15.75" hidden="1" customHeight="1" x14ac:dyDescent="0.2">
      <c r="A356" s="219"/>
      <c r="B356" s="228" t="s">
        <v>1097</v>
      </c>
      <c r="C356" s="203"/>
      <c r="D356" s="203"/>
      <c r="E356" s="203"/>
      <c r="F356" s="203"/>
      <c r="G356" s="203"/>
      <c r="H356" s="203"/>
      <c r="I356" s="203"/>
      <c r="J356" s="203"/>
      <c r="K356" s="203"/>
      <c r="L356" s="203"/>
      <c r="M356" s="203"/>
      <c r="N356" s="203"/>
      <c r="O356" s="203">
        <f t="shared" si="45"/>
        <v>0</v>
      </c>
    </row>
    <row r="357" spans="1:15" s="220" customFormat="1" ht="15.75" customHeight="1" x14ac:dyDescent="0.2">
      <c r="A357" s="219"/>
      <c r="B357" s="228" t="s">
        <v>150</v>
      </c>
      <c r="C357" s="203">
        <v>2930550</v>
      </c>
      <c r="D357" s="203">
        <v>2644275</v>
      </c>
      <c r="E357" s="203">
        <v>3843710</v>
      </c>
      <c r="F357" s="203">
        <v>2031395</v>
      </c>
      <c r="G357" s="203">
        <v>3000620</v>
      </c>
      <c r="H357" s="203">
        <v>2591410</v>
      </c>
      <c r="I357" s="211">
        <v>3281600</v>
      </c>
      <c r="J357" s="203">
        <v>2543825</v>
      </c>
      <c r="K357" s="203">
        <v>3437064</v>
      </c>
      <c r="L357" s="203">
        <v>2581848</v>
      </c>
      <c r="M357" s="203">
        <v>2890302.96</v>
      </c>
      <c r="N357" s="203">
        <v>2508275</v>
      </c>
      <c r="O357" s="203">
        <f t="shared" si="45"/>
        <v>34284874.960000001</v>
      </c>
    </row>
    <row r="358" spans="1:15" s="220" customFormat="1" ht="15.75" customHeight="1" x14ac:dyDescent="0.2">
      <c r="A358" s="219"/>
      <c r="B358" s="228" t="s">
        <v>151</v>
      </c>
      <c r="C358" s="211">
        <v>288146.2</v>
      </c>
      <c r="D358" s="211">
        <v>265724.15999999997</v>
      </c>
      <c r="E358" s="211">
        <v>701225.1</v>
      </c>
      <c r="F358" s="211">
        <v>787877.18</v>
      </c>
      <c r="G358" s="211">
        <v>501892</v>
      </c>
      <c r="H358" s="211">
        <v>487855.73</v>
      </c>
      <c r="I358" s="211"/>
      <c r="J358" s="211"/>
      <c r="K358" s="211"/>
      <c r="L358" s="211"/>
      <c r="M358" s="203"/>
      <c r="N358" s="203"/>
      <c r="O358" s="203">
        <f t="shared" si="45"/>
        <v>3032720.37</v>
      </c>
    </row>
    <row r="359" spans="1:15" s="220" customFormat="1" ht="15.75" hidden="1" customHeight="1" x14ac:dyDescent="0.2">
      <c r="A359" s="219"/>
      <c r="B359" s="228" t="s">
        <v>1098</v>
      </c>
      <c r="C359" s="211"/>
      <c r="D359" s="211"/>
      <c r="E359" s="211"/>
      <c r="F359" s="211"/>
      <c r="G359" s="211"/>
      <c r="H359" s="211"/>
      <c r="I359" s="211"/>
      <c r="J359" s="211"/>
      <c r="K359" s="211"/>
      <c r="L359" s="211"/>
      <c r="M359" s="203"/>
      <c r="N359" s="203"/>
      <c r="O359" s="203">
        <f t="shared" si="45"/>
        <v>0</v>
      </c>
    </row>
    <row r="360" spans="1:15" s="220" customFormat="1" ht="15.75" hidden="1" customHeight="1" x14ac:dyDescent="0.2">
      <c r="A360" s="219"/>
      <c r="B360" s="228" t="s">
        <v>158</v>
      </c>
      <c r="C360" s="203"/>
      <c r="D360" s="203"/>
      <c r="E360" s="203"/>
      <c r="F360" s="203"/>
      <c r="G360" s="203"/>
      <c r="H360" s="203"/>
      <c r="I360" s="262"/>
      <c r="J360" s="203"/>
      <c r="K360" s="203"/>
      <c r="L360" s="203"/>
      <c r="M360" s="203"/>
      <c r="N360" s="203"/>
      <c r="O360" s="203">
        <f t="shared" si="45"/>
        <v>0</v>
      </c>
    </row>
    <row r="361" spans="1:15" s="220" customFormat="1" ht="15.75" customHeight="1" x14ac:dyDescent="0.2">
      <c r="A361" s="219"/>
      <c r="B361" s="228" t="s">
        <v>152</v>
      </c>
      <c r="C361" s="203">
        <v>200</v>
      </c>
      <c r="D361" s="203">
        <v>400</v>
      </c>
      <c r="E361" s="203">
        <v>200</v>
      </c>
      <c r="F361" s="203"/>
      <c r="G361" s="203"/>
      <c r="H361" s="203"/>
      <c r="I361" s="203"/>
      <c r="J361" s="203"/>
      <c r="K361" s="203"/>
      <c r="L361" s="203"/>
      <c r="M361" s="203"/>
      <c r="N361" s="203"/>
      <c r="O361" s="203">
        <f t="shared" si="45"/>
        <v>800</v>
      </c>
    </row>
    <row r="362" spans="1:15" s="220" customFormat="1" ht="15.75" hidden="1" customHeight="1" x14ac:dyDescent="0.2">
      <c r="A362" s="219"/>
      <c r="B362" s="228" t="s">
        <v>743</v>
      </c>
      <c r="C362" s="203">
        <v>0</v>
      </c>
      <c r="D362" s="203">
        <v>0</v>
      </c>
      <c r="E362" s="203">
        <v>0</v>
      </c>
      <c r="F362" s="203"/>
      <c r="G362" s="203"/>
      <c r="H362" s="203"/>
      <c r="I362" s="203"/>
      <c r="J362" s="203"/>
      <c r="K362" s="203"/>
      <c r="L362" s="203"/>
      <c r="M362" s="203"/>
      <c r="N362" s="203"/>
      <c r="O362" s="203">
        <f t="shared" si="45"/>
        <v>0</v>
      </c>
    </row>
    <row r="363" spans="1:15" s="220" customFormat="1" ht="12.75" customHeight="1" x14ac:dyDescent="0.2">
      <c r="A363" s="228"/>
      <c r="B363" s="228"/>
      <c r="C363" s="203"/>
      <c r="D363" s="203"/>
      <c r="E363" s="203"/>
      <c r="F363" s="203"/>
      <c r="G363" s="203"/>
      <c r="H363" s="203"/>
      <c r="I363" s="203"/>
      <c r="J363" s="203"/>
      <c r="K363" s="203"/>
      <c r="L363" s="203"/>
      <c r="M363" s="203"/>
      <c r="N363" s="203"/>
      <c r="O363" s="203"/>
    </row>
    <row r="364" spans="1:15" s="220" customFormat="1" ht="15.75" customHeight="1" x14ac:dyDescent="0.25">
      <c r="A364" s="216" t="s">
        <v>1030</v>
      </c>
      <c r="B364" s="226"/>
      <c r="C364" s="227">
        <f t="shared" ref="C364:O364" si="46">SUM(C365:C366)</f>
        <v>930165.47</v>
      </c>
      <c r="D364" s="227">
        <f t="shared" si="46"/>
        <v>1682443.48</v>
      </c>
      <c r="E364" s="227">
        <f t="shared" si="46"/>
        <v>1862803.27</v>
      </c>
      <c r="F364" s="227">
        <f t="shared" si="46"/>
        <v>1558022.99</v>
      </c>
      <c r="G364" s="227">
        <f t="shared" si="46"/>
        <v>2892879.45</v>
      </c>
      <c r="H364" s="227">
        <f t="shared" si="46"/>
        <v>3331941.45</v>
      </c>
      <c r="I364" s="227">
        <f t="shared" si="46"/>
        <v>3725401.52</v>
      </c>
      <c r="J364" s="227">
        <f t="shared" si="46"/>
        <v>1985008.88</v>
      </c>
      <c r="K364" s="227">
        <f t="shared" si="46"/>
        <v>2781844.56</v>
      </c>
      <c r="L364" s="227">
        <f t="shared" si="46"/>
        <v>8007315.9699999997</v>
      </c>
      <c r="M364" s="227">
        <f t="shared" si="46"/>
        <v>4385640.01</v>
      </c>
      <c r="N364" s="227">
        <f t="shared" si="46"/>
        <v>3135257.93</v>
      </c>
      <c r="O364" s="227">
        <f t="shared" si="46"/>
        <v>36278724.979999997</v>
      </c>
    </row>
    <row r="365" spans="1:15" s="220" customFormat="1" ht="15.75" customHeight="1" x14ac:dyDescent="0.2">
      <c r="A365" s="219"/>
      <c r="B365" s="220" t="s">
        <v>768</v>
      </c>
      <c r="C365" s="203">
        <v>930165.47</v>
      </c>
      <c r="D365" s="203">
        <v>1682443.48</v>
      </c>
      <c r="E365" s="203">
        <v>1862803.27</v>
      </c>
      <c r="F365" s="203">
        <v>1558022.99</v>
      </c>
      <c r="G365" s="203">
        <v>2892879.45</v>
      </c>
      <c r="H365" s="203">
        <v>3331941.45</v>
      </c>
      <c r="I365" s="203">
        <v>3725401.52</v>
      </c>
      <c r="J365" s="203">
        <v>1985008.88</v>
      </c>
      <c r="K365" s="203">
        <v>2781844.56</v>
      </c>
      <c r="L365" s="213">
        <v>8007315.9699999997</v>
      </c>
      <c r="M365" s="203">
        <v>4385640.01</v>
      </c>
      <c r="N365" s="203">
        <v>3135257.93</v>
      </c>
      <c r="O365" s="203">
        <f t="shared" ref="O365:O366" si="47">SUM(C365:N365)</f>
        <v>36278724.979999997</v>
      </c>
    </row>
    <row r="366" spans="1:15" s="220" customFormat="1" ht="15.75" hidden="1" customHeight="1" x14ac:dyDescent="0.2">
      <c r="A366" s="219"/>
      <c r="B366" s="220" t="s">
        <v>1111</v>
      </c>
      <c r="C366" s="203"/>
      <c r="D366" s="203"/>
      <c r="E366" s="203"/>
      <c r="F366" s="203"/>
      <c r="G366" s="211"/>
      <c r="H366" s="203"/>
      <c r="I366" s="203"/>
      <c r="J366" s="203"/>
      <c r="K366" s="203"/>
      <c r="L366" s="203"/>
      <c r="M366" s="203"/>
      <c r="N366" s="203"/>
      <c r="O366" s="203">
        <f t="shared" si="47"/>
        <v>0</v>
      </c>
    </row>
    <row r="367" spans="1:15" s="220" customFormat="1" ht="12.75" customHeight="1" x14ac:dyDescent="0.2">
      <c r="A367" s="228"/>
      <c r="B367" s="228"/>
      <c r="C367" s="203"/>
      <c r="D367" s="203"/>
      <c r="E367" s="203"/>
      <c r="F367" s="203"/>
      <c r="G367" s="203"/>
      <c r="H367" s="203"/>
      <c r="I367" s="203"/>
      <c r="J367" s="203"/>
      <c r="K367" s="203"/>
      <c r="L367" s="203"/>
      <c r="M367" s="203"/>
      <c r="N367" s="203"/>
      <c r="O367" s="203"/>
    </row>
    <row r="368" spans="1:15" s="220" customFormat="1" ht="15.75" customHeight="1" x14ac:dyDescent="0.25">
      <c r="A368" s="216" t="s">
        <v>161</v>
      </c>
      <c r="B368" s="226"/>
      <c r="C368" s="227">
        <f t="shared" ref="C368:O368" si="48">SUM(C369:C371)</f>
        <v>973035.1</v>
      </c>
      <c r="D368" s="227">
        <f t="shared" si="48"/>
        <v>3268384.43</v>
      </c>
      <c r="E368" s="227">
        <f t="shared" si="48"/>
        <v>1280911.0900000001</v>
      </c>
      <c r="F368" s="227">
        <f t="shared" si="48"/>
        <v>1506977.84</v>
      </c>
      <c r="G368" s="227">
        <f t="shared" si="48"/>
        <v>2975754.41</v>
      </c>
      <c r="H368" s="227">
        <f t="shared" si="48"/>
        <v>1174196.8799999999</v>
      </c>
      <c r="I368" s="227">
        <f t="shared" si="48"/>
        <v>3495495.91</v>
      </c>
      <c r="J368" s="227">
        <f t="shared" si="48"/>
        <v>1838627.33</v>
      </c>
      <c r="K368" s="227">
        <f t="shared" si="48"/>
        <v>1357127.11</v>
      </c>
      <c r="L368" s="227">
        <f t="shared" si="48"/>
        <v>742854.04</v>
      </c>
      <c r="M368" s="227">
        <f t="shared" si="48"/>
        <v>1051515.76</v>
      </c>
      <c r="N368" s="227">
        <f t="shared" si="48"/>
        <v>1331024.45</v>
      </c>
      <c r="O368" s="227">
        <f t="shared" si="48"/>
        <v>20995904.350000001</v>
      </c>
    </row>
    <row r="369" spans="1:15" s="220" customFormat="1" ht="15.75" customHeight="1" x14ac:dyDescent="0.2">
      <c r="A369" s="219"/>
      <c r="B369" s="220" t="s">
        <v>769</v>
      </c>
      <c r="C369" s="211"/>
      <c r="D369" s="211"/>
      <c r="E369" s="211"/>
      <c r="F369" s="211">
        <v>1500</v>
      </c>
      <c r="G369" s="203"/>
      <c r="H369" s="203">
        <v>10400</v>
      </c>
      <c r="I369" s="203"/>
      <c r="J369" s="203"/>
      <c r="K369" s="203">
        <v>400</v>
      </c>
      <c r="L369" s="203"/>
      <c r="M369" s="203"/>
      <c r="N369" s="203">
        <v>200</v>
      </c>
      <c r="O369" s="203">
        <f t="shared" ref="O369:O371" si="49">SUM(C369:N369)</f>
        <v>12500</v>
      </c>
    </row>
    <row r="370" spans="1:15" s="220" customFormat="1" ht="15.75" hidden="1" customHeight="1" x14ac:dyDescent="0.2">
      <c r="A370" s="219"/>
      <c r="B370" s="220" t="s">
        <v>163</v>
      </c>
      <c r="C370" s="203"/>
      <c r="D370" s="203"/>
      <c r="E370" s="203"/>
      <c r="F370" s="203"/>
      <c r="G370" s="203"/>
      <c r="H370" s="203"/>
      <c r="I370" s="203"/>
      <c r="J370" s="203"/>
      <c r="K370" s="203"/>
      <c r="L370" s="203"/>
      <c r="M370" s="203"/>
      <c r="N370" s="203"/>
      <c r="O370" s="203">
        <f t="shared" si="49"/>
        <v>0</v>
      </c>
    </row>
    <row r="371" spans="1:15" s="220" customFormat="1" ht="15.75" customHeight="1" x14ac:dyDescent="0.2">
      <c r="A371" s="219"/>
      <c r="B371" s="220" t="s">
        <v>165</v>
      </c>
      <c r="C371" s="203">
        <v>973035.1</v>
      </c>
      <c r="D371" s="203">
        <v>3268384.43</v>
      </c>
      <c r="E371" s="203">
        <v>1280911.0900000001</v>
      </c>
      <c r="F371" s="203">
        <v>1505477.84</v>
      </c>
      <c r="G371" s="203">
        <v>2975754.41</v>
      </c>
      <c r="H371" s="203">
        <v>1163796.8799999999</v>
      </c>
      <c r="I371" s="203">
        <v>3495495.91</v>
      </c>
      <c r="J371" s="203">
        <v>1838627.33</v>
      </c>
      <c r="K371" s="203">
        <v>1356727.11</v>
      </c>
      <c r="L371" s="203">
        <v>742854.04</v>
      </c>
      <c r="M371" s="203">
        <v>1051515.76</v>
      </c>
      <c r="N371" s="203">
        <v>1330824.45</v>
      </c>
      <c r="O371" s="203">
        <f t="shared" si="49"/>
        <v>20983404.350000001</v>
      </c>
    </row>
    <row r="372" spans="1:15" s="220" customFormat="1" ht="15.75" customHeight="1" x14ac:dyDescent="0.2">
      <c r="A372" s="228"/>
      <c r="B372" s="228"/>
      <c r="C372" s="203"/>
      <c r="D372" s="203"/>
      <c r="E372" s="203"/>
      <c r="F372" s="203"/>
      <c r="G372" s="203"/>
      <c r="H372" s="203"/>
      <c r="I372" s="203"/>
      <c r="J372" s="203"/>
      <c r="K372" s="203"/>
      <c r="L372" s="203"/>
      <c r="M372" s="203"/>
      <c r="N372" s="203"/>
      <c r="O372" s="203"/>
    </row>
    <row r="373" spans="1:15" s="220" customFormat="1" ht="15.75" customHeight="1" x14ac:dyDescent="0.25">
      <c r="A373" s="216" t="s">
        <v>166</v>
      </c>
      <c r="B373" s="226"/>
      <c r="C373" s="227">
        <f t="shared" ref="C373:O373" si="50">SUM(C374:C380)</f>
        <v>138515020.58000001</v>
      </c>
      <c r="D373" s="227">
        <f t="shared" si="50"/>
        <v>109693662.72</v>
      </c>
      <c r="E373" s="227">
        <f t="shared" si="50"/>
        <v>131092893.35000001</v>
      </c>
      <c r="F373" s="227">
        <f t="shared" si="50"/>
        <v>89402254.200000003</v>
      </c>
      <c r="G373" s="227">
        <f t="shared" si="50"/>
        <v>117688369</v>
      </c>
      <c r="H373" s="227">
        <f t="shared" si="50"/>
        <v>131239397.48</v>
      </c>
      <c r="I373" s="227">
        <f t="shared" si="50"/>
        <v>104312512.25999999</v>
      </c>
      <c r="J373" s="227">
        <f t="shared" si="50"/>
        <v>96706146.569999993</v>
      </c>
      <c r="K373" s="227">
        <f t="shared" si="50"/>
        <v>94502629.270000011</v>
      </c>
      <c r="L373" s="227">
        <f t="shared" si="50"/>
        <v>87511804.909999996</v>
      </c>
      <c r="M373" s="227">
        <f t="shared" si="50"/>
        <v>87251997.390000001</v>
      </c>
      <c r="N373" s="227">
        <f t="shared" si="50"/>
        <v>71917899.189999998</v>
      </c>
      <c r="O373" s="227">
        <f t="shared" si="50"/>
        <v>1259834586.9200001</v>
      </c>
    </row>
    <row r="374" spans="1:15" s="220" customFormat="1" ht="15.75" customHeight="1" x14ac:dyDescent="0.2">
      <c r="A374" s="219"/>
      <c r="B374" s="220" t="s">
        <v>168</v>
      </c>
      <c r="C374" s="203">
        <v>3308163.61</v>
      </c>
      <c r="D374" s="203">
        <v>4908618.82</v>
      </c>
      <c r="E374" s="203">
        <v>6466051.4299999997</v>
      </c>
      <c r="F374" s="203">
        <v>2780809.28</v>
      </c>
      <c r="G374" s="203">
        <v>3629971.66</v>
      </c>
      <c r="H374" s="203">
        <v>2924988.64</v>
      </c>
      <c r="I374" s="203">
        <v>3443714.57</v>
      </c>
      <c r="J374" s="203">
        <v>4145947.75</v>
      </c>
      <c r="K374" s="203">
        <v>6079641.2800000003</v>
      </c>
      <c r="L374" s="203">
        <v>5494566.3899999997</v>
      </c>
      <c r="M374" s="203">
        <v>5198551.9400000004</v>
      </c>
      <c r="N374" s="203">
        <v>4357283.33</v>
      </c>
      <c r="O374" s="203">
        <f t="shared" ref="O374:O380" si="51">SUM(C374:N374)</f>
        <v>52738308.699999996</v>
      </c>
    </row>
    <row r="375" spans="1:15" s="220" customFormat="1" ht="15.75" customHeight="1" x14ac:dyDescent="0.2">
      <c r="A375" s="219"/>
      <c r="B375" s="220" t="s">
        <v>1031</v>
      </c>
      <c r="C375" s="203">
        <v>22355519</v>
      </c>
      <c r="D375" s="203">
        <v>33576846</v>
      </c>
      <c r="E375" s="203">
        <v>39745381</v>
      </c>
      <c r="F375" s="203">
        <v>33393931.670000002</v>
      </c>
      <c r="G375" s="203">
        <v>47369029.560000002</v>
      </c>
      <c r="H375" s="203">
        <v>67026235</v>
      </c>
      <c r="I375" s="203">
        <v>37641439.399999999</v>
      </c>
      <c r="J375" s="203">
        <v>29388081.280000001</v>
      </c>
      <c r="K375" s="203">
        <v>25126697</v>
      </c>
      <c r="L375" s="203">
        <v>24028589</v>
      </c>
      <c r="M375" s="203">
        <v>31124514</v>
      </c>
      <c r="N375" s="203">
        <v>29626902</v>
      </c>
      <c r="O375" s="203">
        <f t="shared" si="51"/>
        <v>420403164.90999997</v>
      </c>
    </row>
    <row r="376" spans="1:15" s="220" customFormat="1" ht="15.75" hidden="1" customHeight="1" x14ac:dyDescent="0.2">
      <c r="A376" s="219"/>
      <c r="B376" s="220" t="s">
        <v>230</v>
      </c>
      <c r="C376" s="203"/>
      <c r="D376" s="203"/>
      <c r="E376" s="203"/>
      <c r="F376" s="203"/>
      <c r="G376" s="203"/>
      <c r="H376" s="203"/>
      <c r="I376" s="203"/>
      <c r="J376" s="203"/>
      <c r="K376" s="203"/>
      <c r="L376" s="203"/>
      <c r="M376" s="203"/>
      <c r="N376" s="203"/>
      <c r="O376" s="203">
        <f t="shared" si="51"/>
        <v>0</v>
      </c>
    </row>
    <row r="377" spans="1:15" s="220" customFormat="1" ht="15.75" customHeight="1" x14ac:dyDescent="0.2">
      <c r="A377" s="219"/>
      <c r="B377" s="220" t="s">
        <v>167</v>
      </c>
      <c r="C377" s="203">
        <v>112840646.81999999</v>
      </c>
      <c r="D377" s="203">
        <v>71185593.900000006</v>
      </c>
      <c r="E377" s="203">
        <v>78104404.530000001</v>
      </c>
      <c r="F377" s="203">
        <v>53216467.25</v>
      </c>
      <c r="G377" s="203">
        <v>66669559.880000003</v>
      </c>
      <c r="H377" s="203">
        <v>61288173.840000004</v>
      </c>
      <c r="I377" s="203">
        <v>63227358.289999999</v>
      </c>
      <c r="J377" s="203">
        <v>63172117.539999999</v>
      </c>
      <c r="K377" s="203">
        <v>63296290.990000002</v>
      </c>
      <c r="L377" s="203">
        <v>57988649.520000003</v>
      </c>
      <c r="M377" s="203">
        <v>50928931.450000003</v>
      </c>
      <c r="N377" s="203">
        <v>37933713.859999999</v>
      </c>
      <c r="O377" s="203">
        <f t="shared" si="51"/>
        <v>779851907.87000012</v>
      </c>
    </row>
    <row r="378" spans="1:15" s="220" customFormat="1" ht="15.75" customHeight="1" x14ac:dyDescent="0.2">
      <c r="A378" s="219"/>
      <c r="B378" s="220" t="s">
        <v>776</v>
      </c>
      <c r="C378" s="203">
        <v>9991.15</v>
      </c>
      <c r="D378" s="203">
        <v>22604</v>
      </c>
      <c r="E378" s="203">
        <v>6771706.3899999997</v>
      </c>
      <c r="F378" s="203">
        <v>7546</v>
      </c>
      <c r="G378" s="203">
        <v>15607.9</v>
      </c>
      <c r="H378" s="203"/>
      <c r="I378" s="203"/>
      <c r="J378" s="203"/>
      <c r="K378" s="203"/>
      <c r="L378" s="203"/>
      <c r="M378" s="203"/>
      <c r="N378" s="203"/>
      <c r="O378" s="203">
        <f t="shared" si="51"/>
        <v>6827455.4400000004</v>
      </c>
    </row>
    <row r="379" spans="1:15" s="220" customFormat="1" ht="15.75" hidden="1" customHeight="1" x14ac:dyDescent="0.2">
      <c r="A379" s="219"/>
      <c r="B379" s="220" t="s">
        <v>1032</v>
      </c>
      <c r="C379" s="203"/>
      <c r="D379" s="203"/>
      <c r="E379" s="203"/>
      <c r="F379" s="203"/>
      <c r="G379" s="203"/>
      <c r="H379" s="203"/>
      <c r="I379" s="203"/>
      <c r="J379" s="203"/>
      <c r="K379" s="203"/>
      <c r="L379" s="203"/>
      <c r="M379" s="203"/>
      <c r="N379" s="203"/>
      <c r="O379" s="203">
        <f t="shared" si="51"/>
        <v>0</v>
      </c>
    </row>
    <row r="380" spans="1:15" s="220" customFormat="1" ht="15.75" customHeight="1" x14ac:dyDescent="0.2">
      <c r="A380" s="219"/>
      <c r="B380" s="220" t="s">
        <v>119</v>
      </c>
      <c r="C380" s="203">
        <v>700</v>
      </c>
      <c r="D380" s="203"/>
      <c r="E380" s="203">
        <f>350+800+4200</f>
        <v>5350</v>
      </c>
      <c r="F380" s="203">
        <f>1400+1750+350</f>
        <v>3500</v>
      </c>
      <c r="G380" s="203">
        <v>4200</v>
      </c>
      <c r="H380" s="203"/>
      <c r="I380" s="203"/>
      <c r="J380" s="203"/>
      <c r="K380" s="203"/>
      <c r="L380" s="203"/>
      <c r="M380" s="203"/>
      <c r="N380" s="203"/>
      <c r="O380" s="203">
        <f t="shared" si="51"/>
        <v>13750</v>
      </c>
    </row>
    <row r="381" spans="1:15" s="220" customFormat="1" ht="15.75" customHeight="1" x14ac:dyDescent="0.2">
      <c r="A381" s="228"/>
      <c r="B381" s="228"/>
      <c r="C381" s="203"/>
      <c r="D381" s="203"/>
      <c r="E381" s="203"/>
      <c r="F381" s="203" t="s">
        <v>6</v>
      </c>
      <c r="G381" s="203"/>
      <c r="H381" s="203"/>
      <c r="I381" s="203"/>
      <c r="J381" s="203"/>
      <c r="K381" s="203"/>
      <c r="L381" s="203"/>
      <c r="M381" s="203"/>
      <c r="N381" s="203"/>
      <c r="O381" s="203"/>
    </row>
    <row r="382" spans="1:15" s="220" customFormat="1" ht="15.75" customHeight="1" x14ac:dyDescent="0.25">
      <c r="A382" s="216" t="s">
        <v>669</v>
      </c>
      <c r="B382" s="226"/>
      <c r="C382" s="227">
        <f t="shared" ref="C382:O382" si="52">SUM(C383,C387:C393)</f>
        <v>1592681947.3699999</v>
      </c>
      <c r="D382" s="227">
        <f t="shared" si="52"/>
        <v>834369958.93000007</v>
      </c>
      <c r="E382" s="227">
        <f t="shared" si="52"/>
        <v>1046529825.58</v>
      </c>
      <c r="F382" s="227">
        <f t="shared" si="52"/>
        <v>748864863.20999992</v>
      </c>
      <c r="G382" s="227">
        <f t="shared" si="52"/>
        <v>840149757.09000003</v>
      </c>
      <c r="H382" s="227">
        <f t="shared" si="52"/>
        <v>809869512.41999984</v>
      </c>
      <c r="I382" s="227">
        <f t="shared" si="52"/>
        <v>789563224.88999987</v>
      </c>
      <c r="J382" s="227">
        <f t="shared" si="52"/>
        <v>1316241834.3699999</v>
      </c>
      <c r="K382" s="227">
        <f t="shared" si="52"/>
        <v>913770264.89999986</v>
      </c>
      <c r="L382" s="227">
        <f t="shared" si="52"/>
        <v>833412510.06999993</v>
      </c>
      <c r="M382" s="227">
        <f t="shared" si="52"/>
        <v>1089003808.03</v>
      </c>
      <c r="N382" s="227">
        <f t="shared" si="52"/>
        <v>936541907.8599999</v>
      </c>
      <c r="O382" s="227">
        <f t="shared" si="52"/>
        <v>11750999414.720001</v>
      </c>
    </row>
    <row r="383" spans="1:15" s="220" customFormat="1" ht="15.75" customHeight="1" x14ac:dyDescent="0.2">
      <c r="A383" s="219"/>
      <c r="B383" s="220" t="s">
        <v>770</v>
      </c>
      <c r="C383" s="203">
        <f t="shared" ref="C383:O383" si="53">SUM(C384:C386)</f>
        <v>27258887.600000001</v>
      </c>
      <c r="D383" s="203">
        <f t="shared" si="53"/>
        <v>26964553.75</v>
      </c>
      <c r="E383" s="203">
        <f t="shared" si="53"/>
        <v>29429833.359999999</v>
      </c>
      <c r="F383" s="203">
        <f t="shared" si="53"/>
        <v>24212564.390000001</v>
      </c>
      <c r="G383" s="203">
        <f t="shared" si="53"/>
        <v>24832424.77</v>
      </c>
      <c r="H383" s="203">
        <f t="shared" si="53"/>
        <v>25348707.23</v>
      </c>
      <c r="I383" s="203">
        <f t="shared" si="53"/>
        <v>23598997.469999999</v>
      </c>
      <c r="J383" s="203">
        <f t="shared" si="53"/>
        <v>23184614.609999999</v>
      </c>
      <c r="K383" s="203">
        <f t="shared" si="53"/>
        <v>25211017.719999999</v>
      </c>
      <c r="L383" s="203">
        <f t="shared" si="53"/>
        <v>21512060.800000001</v>
      </c>
      <c r="M383" s="203">
        <f t="shared" si="53"/>
        <v>27116179.960000001</v>
      </c>
      <c r="N383" s="203">
        <f t="shared" si="53"/>
        <v>23083070.23</v>
      </c>
      <c r="O383" s="203">
        <f t="shared" si="53"/>
        <v>301752911.88999999</v>
      </c>
    </row>
    <row r="384" spans="1:15" s="220" customFormat="1" ht="15.75" hidden="1" customHeight="1" x14ac:dyDescent="0.2">
      <c r="A384" s="219"/>
      <c r="B384" s="220" t="s">
        <v>1033</v>
      </c>
      <c r="C384" s="263">
        <v>639210</v>
      </c>
      <c r="D384" s="263">
        <v>549050</v>
      </c>
      <c r="E384" s="263">
        <v>773014.76</v>
      </c>
      <c r="F384" s="263">
        <v>734944.29</v>
      </c>
      <c r="G384" s="264">
        <v>655778.56999999995</v>
      </c>
      <c r="H384" s="264">
        <v>904855.33</v>
      </c>
      <c r="I384" s="264">
        <v>1366558.57</v>
      </c>
      <c r="J384" s="264">
        <v>305957.71000000002</v>
      </c>
      <c r="K384" s="264">
        <v>1484124.57</v>
      </c>
      <c r="L384" s="264">
        <v>6132</v>
      </c>
      <c r="M384" s="264">
        <v>1537627.46</v>
      </c>
      <c r="N384" s="264">
        <v>773943.73</v>
      </c>
      <c r="O384" s="203">
        <f t="shared" ref="O384:O393" si="54">SUM(C384:N384)</f>
        <v>9731196.9900000002</v>
      </c>
    </row>
    <row r="385" spans="1:15" s="220" customFormat="1" ht="15.75" hidden="1" customHeight="1" x14ac:dyDescent="0.2">
      <c r="A385" s="219"/>
      <c r="B385" s="220" t="s">
        <v>1033</v>
      </c>
      <c r="C385" s="203">
        <v>10598746</v>
      </c>
      <c r="D385" s="203">
        <v>11821972</v>
      </c>
      <c r="E385" s="203">
        <v>13525847</v>
      </c>
      <c r="F385" s="203">
        <v>8794817</v>
      </c>
      <c r="G385" s="203">
        <v>11663135</v>
      </c>
      <c r="H385" s="203">
        <v>10950683</v>
      </c>
      <c r="I385" s="203">
        <v>9752983</v>
      </c>
      <c r="J385" s="203">
        <v>10453270</v>
      </c>
      <c r="K385" s="203">
        <v>11527186</v>
      </c>
      <c r="L385" s="203">
        <v>10198734.48</v>
      </c>
      <c r="M385" s="203">
        <v>10338240</v>
      </c>
      <c r="N385" s="203">
        <v>9444874</v>
      </c>
      <c r="O385" s="203">
        <f t="shared" si="54"/>
        <v>129070487.48</v>
      </c>
    </row>
    <row r="386" spans="1:15" s="220" customFormat="1" ht="15.75" hidden="1" customHeight="1" x14ac:dyDescent="0.2">
      <c r="A386" s="219"/>
      <c r="B386" s="220" t="s">
        <v>1035</v>
      </c>
      <c r="C386" s="203">
        <v>16020931.6</v>
      </c>
      <c r="D386" s="203">
        <v>14593531.75</v>
      </c>
      <c r="E386" s="203">
        <v>15130971.6</v>
      </c>
      <c r="F386" s="203">
        <v>14682803.1</v>
      </c>
      <c r="G386" s="203">
        <v>12513511.199999999</v>
      </c>
      <c r="H386" s="203">
        <v>13493168.9</v>
      </c>
      <c r="I386" s="203">
        <v>12479455.9</v>
      </c>
      <c r="J386" s="203">
        <v>12425386.9</v>
      </c>
      <c r="K386" s="203">
        <v>12199707.15</v>
      </c>
      <c r="L386" s="203">
        <v>11307194.32</v>
      </c>
      <c r="M386" s="203">
        <v>15240312.5</v>
      </c>
      <c r="N386" s="203">
        <v>12864252.5</v>
      </c>
      <c r="O386" s="203">
        <f t="shared" si="54"/>
        <v>162951227.42000002</v>
      </c>
    </row>
    <row r="387" spans="1:15" s="220" customFormat="1" ht="15.75" customHeight="1" x14ac:dyDescent="0.2">
      <c r="A387" s="219"/>
      <c r="B387" s="220" t="s">
        <v>176</v>
      </c>
      <c r="C387" s="203">
        <v>19703775.140000001</v>
      </c>
      <c r="D387" s="203">
        <v>11852068.26</v>
      </c>
      <c r="E387" s="203"/>
      <c r="F387" s="203"/>
      <c r="G387" s="203"/>
      <c r="H387" s="203"/>
      <c r="I387" s="203"/>
      <c r="J387" s="203"/>
      <c r="K387" s="203"/>
      <c r="L387" s="203"/>
      <c r="M387" s="203"/>
      <c r="N387" s="203"/>
      <c r="O387" s="203">
        <f t="shared" si="54"/>
        <v>31555843.399999999</v>
      </c>
    </row>
    <row r="388" spans="1:15" s="220" customFormat="1" ht="15.75" customHeight="1" x14ac:dyDescent="0.2">
      <c r="A388" s="219"/>
      <c r="B388" s="220" t="s">
        <v>777</v>
      </c>
      <c r="C388" s="203">
        <v>39591770.399999999</v>
      </c>
      <c r="D388" s="203">
        <v>40344093.799999997</v>
      </c>
      <c r="E388" s="203">
        <v>54620991.219999999</v>
      </c>
      <c r="F388" s="203">
        <v>34822209.409999996</v>
      </c>
      <c r="G388" s="203">
        <v>47366267.310000002</v>
      </c>
      <c r="H388" s="203">
        <v>42515013.439999998</v>
      </c>
      <c r="I388" s="203">
        <v>39108814.329999998</v>
      </c>
      <c r="J388" s="203">
        <v>48398164.93</v>
      </c>
      <c r="K388" s="203">
        <v>82546353.719999999</v>
      </c>
      <c r="L388" s="203">
        <v>51404856.549999997</v>
      </c>
      <c r="M388" s="203">
        <v>29642637.449999999</v>
      </c>
      <c r="N388" s="203">
        <v>48384010.549999997</v>
      </c>
      <c r="O388" s="203">
        <f t="shared" si="54"/>
        <v>558745183.1099999</v>
      </c>
    </row>
    <row r="389" spans="1:15" s="220" customFormat="1" ht="15.75" customHeight="1" x14ac:dyDescent="0.2">
      <c r="A389" s="219"/>
      <c r="B389" s="220" t="s">
        <v>178</v>
      </c>
      <c r="C389" s="203">
        <v>632904437.42999995</v>
      </c>
      <c r="D389" s="203">
        <v>564745457.86000001</v>
      </c>
      <c r="E389" s="203">
        <v>651045126.61000001</v>
      </c>
      <c r="F389" s="203">
        <v>435731635.45999998</v>
      </c>
      <c r="G389" s="203">
        <v>535941616.44999999</v>
      </c>
      <c r="H389" s="203">
        <v>496469101.88</v>
      </c>
      <c r="I389" s="203">
        <v>510883092.61000001</v>
      </c>
      <c r="J389" s="203">
        <v>557631068.97000003</v>
      </c>
      <c r="K389" s="203">
        <f>513757960.77+97.6</f>
        <v>513758058.37</v>
      </c>
      <c r="L389" s="203">
        <v>556149940.24000001</v>
      </c>
      <c r="M389" s="203">
        <v>562993054.58000004</v>
      </c>
      <c r="N389" s="203">
        <v>514278870.63</v>
      </c>
      <c r="O389" s="203">
        <f t="shared" si="54"/>
        <v>6532531461.0900002</v>
      </c>
    </row>
    <row r="390" spans="1:15" s="220" customFormat="1" ht="15.75" customHeight="1" x14ac:dyDescent="0.2">
      <c r="A390" s="219"/>
      <c r="B390" s="220" t="s">
        <v>180</v>
      </c>
      <c r="C390" s="203">
        <v>66637259.280000001</v>
      </c>
      <c r="D390" s="203">
        <v>61024783.350000001</v>
      </c>
      <c r="E390" s="203">
        <v>92544359.530000001</v>
      </c>
      <c r="F390" s="203">
        <v>83291024.280000001</v>
      </c>
      <c r="G390" s="203">
        <v>90437607.519999996</v>
      </c>
      <c r="H390" s="203">
        <v>84034920.790000007</v>
      </c>
      <c r="I390" s="203">
        <v>75720089.480000004</v>
      </c>
      <c r="J390" s="203">
        <v>71454854.819999993</v>
      </c>
      <c r="K390" s="203">
        <v>68422142.569999993</v>
      </c>
      <c r="L390" s="203">
        <v>70802647.150000006</v>
      </c>
      <c r="M390" s="203">
        <v>80685096.209999993</v>
      </c>
      <c r="N390" s="203">
        <v>65475958.740000002</v>
      </c>
      <c r="O390" s="203">
        <f t="shared" si="54"/>
        <v>910530743.71999991</v>
      </c>
    </row>
    <row r="391" spans="1:15" s="220" customFormat="1" ht="15.75" customHeight="1" x14ac:dyDescent="0.2">
      <c r="A391" s="219"/>
      <c r="B391" s="220" t="s">
        <v>181</v>
      </c>
      <c r="C391" s="203">
        <v>46042723.009999998</v>
      </c>
      <c r="D391" s="203">
        <v>78074053.209999993</v>
      </c>
      <c r="E391" s="203">
        <v>75130513.950000003</v>
      </c>
      <c r="F391" s="203">
        <v>48429225.270000003</v>
      </c>
      <c r="G391" s="203">
        <v>68252130.370000005</v>
      </c>
      <c r="H391" s="203">
        <v>45169333.460000001</v>
      </c>
      <c r="I391" s="203">
        <v>91887274.930000007</v>
      </c>
      <c r="J391" s="203">
        <v>93609774.879999995</v>
      </c>
      <c r="K391" s="203">
        <v>73655186.700000003</v>
      </c>
      <c r="L391" s="203">
        <v>56925462.409999996</v>
      </c>
      <c r="M391" s="203">
        <v>53351950.039999999</v>
      </c>
      <c r="N391" s="203">
        <v>76746627.549999997</v>
      </c>
      <c r="O391" s="203">
        <f t="shared" si="54"/>
        <v>807274255.77999997</v>
      </c>
    </row>
    <row r="392" spans="1:15" s="220" customFormat="1" ht="15.75" customHeight="1" x14ac:dyDescent="0.2">
      <c r="A392" s="219"/>
      <c r="B392" s="220" t="s">
        <v>1036</v>
      </c>
      <c r="C392" s="203">
        <v>484050.73</v>
      </c>
      <c r="D392" s="203">
        <v>5991701.54</v>
      </c>
      <c r="E392" s="203">
        <v>6473502.1500000004</v>
      </c>
      <c r="F392" s="203">
        <v>2378409.54</v>
      </c>
      <c r="G392" s="203">
        <v>685738.72</v>
      </c>
      <c r="H392" s="203">
        <v>5771385.5499999998</v>
      </c>
      <c r="I392" s="203">
        <v>2282505.54</v>
      </c>
      <c r="J392" s="203">
        <v>1343343</v>
      </c>
      <c r="K392" s="203">
        <v>4918390.01</v>
      </c>
      <c r="L392" s="203">
        <v>2363056.54</v>
      </c>
      <c r="M392" s="203">
        <v>2250626.9</v>
      </c>
      <c r="N392" s="203">
        <v>2769391.65</v>
      </c>
      <c r="O392" s="203">
        <f t="shared" si="54"/>
        <v>37712101.869999997</v>
      </c>
    </row>
    <row r="393" spans="1:15" s="220" customFormat="1" ht="15.75" customHeight="1" x14ac:dyDescent="0.2">
      <c r="A393" s="219"/>
      <c r="B393" s="220" t="s">
        <v>1037</v>
      </c>
      <c r="C393" s="203">
        <v>760059043.77999997</v>
      </c>
      <c r="D393" s="203">
        <v>45373247.159999996</v>
      </c>
      <c r="E393" s="203">
        <v>137285498.75999999</v>
      </c>
      <c r="F393" s="203">
        <v>119999794.86</v>
      </c>
      <c r="G393" s="203">
        <v>72633971.950000003</v>
      </c>
      <c r="H393" s="203">
        <v>110561050.06999999</v>
      </c>
      <c r="I393" s="203">
        <v>46082450.530000001</v>
      </c>
      <c r="J393" s="203">
        <v>520620013.16000003</v>
      </c>
      <c r="K393" s="203">
        <v>145259115.81</v>
      </c>
      <c r="L393" s="203">
        <v>74254486.379999995</v>
      </c>
      <c r="M393" s="203">
        <v>332964262.88999999</v>
      </c>
      <c r="N393" s="203">
        <v>205803978.50999999</v>
      </c>
      <c r="O393" s="203">
        <f t="shared" si="54"/>
        <v>2570896913.8599997</v>
      </c>
    </row>
    <row r="394" spans="1:15" s="220" customFormat="1" ht="15.75" customHeight="1" x14ac:dyDescent="0.2">
      <c r="A394" s="228"/>
      <c r="B394" s="228"/>
      <c r="C394" s="203"/>
      <c r="D394" s="203"/>
      <c r="E394" s="203"/>
      <c r="F394" s="203"/>
      <c r="G394" s="203"/>
      <c r="H394" s="203"/>
      <c r="I394" s="203"/>
      <c r="J394" s="203"/>
      <c r="K394" s="203"/>
      <c r="L394" s="203"/>
      <c r="M394" s="203"/>
      <c r="N394" s="203"/>
      <c r="O394" s="203"/>
    </row>
    <row r="395" spans="1:15" s="220" customFormat="1" ht="15.75" customHeight="1" x14ac:dyDescent="0.25">
      <c r="A395" s="216" t="s">
        <v>122</v>
      </c>
      <c r="B395" s="226"/>
      <c r="C395" s="227">
        <f t="shared" ref="C395:O395" si="55">SUM(C396:C399)</f>
        <v>96985555.88000001</v>
      </c>
      <c r="D395" s="227">
        <f t="shared" si="55"/>
        <v>27159682.789999999</v>
      </c>
      <c r="E395" s="227">
        <f t="shared" si="55"/>
        <v>142599598.12</v>
      </c>
      <c r="F395" s="227">
        <f t="shared" si="55"/>
        <v>165738391.68000001</v>
      </c>
      <c r="G395" s="227">
        <f t="shared" si="55"/>
        <v>132907193.26000001</v>
      </c>
      <c r="H395" s="227">
        <f t="shared" si="55"/>
        <v>172174679.55000001</v>
      </c>
      <c r="I395" s="227">
        <f t="shared" si="55"/>
        <v>35646377.269999996</v>
      </c>
      <c r="J395" s="227">
        <f t="shared" si="55"/>
        <v>25205843.180000003</v>
      </c>
      <c r="K395" s="227">
        <f t="shared" si="55"/>
        <v>235535297.5</v>
      </c>
      <c r="L395" s="227">
        <f t="shared" si="55"/>
        <v>27024439.150000002</v>
      </c>
      <c r="M395" s="227">
        <f t="shared" si="55"/>
        <v>159410843.38</v>
      </c>
      <c r="N395" s="227">
        <f t="shared" si="55"/>
        <v>113277088.08999999</v>
      </c>
      <c r="O395" s="227">
        <f t="shared" si="55"/>
        <v>1333664989.8499999</v>
      </c>
    </row>
    <row r="396" spans="1:15" s="220" customFormat="1" ht="15.75" hidden="1" customHeight="1" x14ac:dyDescent="0.2">
      <c r="A396" s="231"/>
      <c r="B396" s="220" t="s">
        <v>108</v>
      </c>
      <c r="C396" s="203">
        <v>0</v>
      </c>
      <c r="D396" s="203">
        <v>0</v>
      </c>
      <c r="E396" s="203">
        <v>0</v>
      </c>
      <c r="F396" s="203">
        <v>0</v>
      </c>
      <c r="G396" s="203">
        <v>0</v>
      </c>
      <c r="H396" s="203">
        <v>0</v>
      </c>
      <c r="I396" s="203">
        <v>0</v>
      </c>
      <c r="J396" s="203">
        <v>0</v>
      </c>
      <c r="K396" s="203"/>
      <c r="L396" s="203"/>
      <c r="M396" s="203"/>
      <c r="N396" s="203"/>
      <c r="O396" s="203">
        <f t="shared" ref="O396:O399" si="56">SUM(C396:N396)</f>
        <v>0</v>
      </c>
    </row>
    <row r="397" spans="1:15" s="220" customFormat="1" ht="15.75" customHeight="1" x14ac:dyDescent="0.2">
      <c r="A397" s="231"/>
      <c r="B397" s="220" t="s">
        <v>771</v>
      </c>
      <c r="C397" s="211">
        <v>95881155.370000005</v>
      </c>
      <c r="D397" s="211">
        <v>26981517.789999999</v>
      </c>
      <c r="E397" s="211">
        <v>140986313.56999999</v>
      </c>
      <c r="F397" s="211">
        <v>165733391.68000001</v>
      </c>
      <c r="G397" s="211">
        <v>131913841.72</v>
      </c>
      <c r="H397" s="211">
        <v>171505350.83000001</v>
      </c>
      <c r="I397" s="211">
        <v>35585445.009999998</v>
      </c>
      <c r="J397" s="211">
        <v>24679350.420000002</v>
      </c>
      <c r="K397" s="211">
        <v>234826254.69999999</v>
      </c>
      <c r="L397" s="211">
        <v>21836070.690000001</v>
      </c>
      <c r="M397" s="211">
        <v>157082810.81</v>
      </c>
      <c r="N397" s="211">
        <v>112749854.02</v>
      </c>
      <c r="O397" s="203">
        <f t="shared" si="56"/>
        <v>1319761356.6099999</v>
      </c>
    </row>
    <row r="398" spans="1:15" s="220" customFormat="1" ht="15.75" customHeight="1" x14ac:dyDescent="0.2">
      <c r="A398" s="231"/>
      <c r="B398" s="220" t="s">
        <v>1049</v>
      </c>
      <c r="C398" s="203">
        <v>1104400.51</v>
      </c>
      <c r="D398" s="203">
        <v>178165</v>
      </c>
      <c r="E398" s="203">
        <v>1613284.55</v>
      </c>
      <c r="F398" s="203">
        <v>5000</v>
      </c>
      <c r="G398" s="203">
        <v>993351.54</v>
      </c>
      <c r="H398" s="203">
        <v>669328.72</v>
      </c>
      <c r="I398" s="203">
        <v>60932.26</v>
      </c>
      <c r="J398" s="203">
        <v>526492.76</v>
      </c>
      <c r="K398" s="203">
        <v>709042.8</v>
      </c>
      <c r="L398" s="203">
        <v>5188368.46</v>
      </c>
      <c r="M398" s="203">
        <v>2328032.5699999998</v>
      </c>
      <c r="N398" s="203">
        <v>527234.06999999995</v>
      </c>
      <c r="O398" s="203">
        <f t="shared" si="56"/>
        <v>13903633.24</v>
      </c>
    </row>
    <row r="399" spans="1:15" s="220" customFormat="1" ht="15.75" hidden="1" customHeight="1" x14ac:dyDescent="0.2">
      <c r="A399" s="231"/>
      <c r="B399" s="220" t="s">
        <v>126</v>
      </c>
      <c r="C399" s="203"/>
      <c r="D399" s="203"/>
      <c r="E399" s="203"/>
      <c r="F399" s="203"/>
      <c r="G399" s="203"/>
      <c r="H399" s="203"/>
      <c r="I399" s="203"/>
      <c r="J399" s="203"/>
      <c r="K399" s="203"/>
      <c r="L399" s="203"/>
      <c r="M399" s="203"/>
      <c r="N399" s="203"/>
      <c r="O399" s="203">
        <f t="shared" si="56"/>
        <v>0</v>
      </c>
    </row>
    <row r="400" spans="1:15" s="220" customFormat="1" ht="15.75" customHeight="1" x14ac:dyDescent="0.2">
      <c r="A400" s="228"/>
      <c r="B400" s="228"/>
      <c r="C400" s="203"/>
      <c r="D400" s="203"/>
      <c r="E400" s="203"/>
      <c r="F400" s="203"/>
      <c r="G400" s="203"/>
      <c r="H400" s="203"/>
      <c r="I400" s="203"/>
      <c r="J400" s="203"/>
      <c r="K400" s="203"/>
      <c r="L400" s="203"/>
      <c r="M400" s="203"/>
      <c r="N400" s="203"/>
      <c r="O400" s="203"/>
    </row>
    <row r="401" spans="1:15" s="220" customFormat="1" ht="15.75" customHeight="1" x14ac:dyDescent="0.25">
      <c r="A401" s="216" t="s">
        <v>1039</v>
      </c>
      <c r="B401" s="226"/>
      <c r="C401" s="227">
        <f t="shared" ref="C401:O401" si="57">SUM(C402:C415)</f>
        <v>43231435.180000007</v>
      </c>
      <c r="D401" s="227">
        <f t="shared" si="57"/>
        <v>42985509.109999999</v>
      </c>
      <c r="E401" s="227">
        <f t="shared" si="57"/>
        <v>143728822.58000001</v>
      </c>
      <c r="F401" s="227">
        <f t="shared" si="57"/>
        <v>34724466.810000002</v>
      </c>
      <c r="G401" s="227">
        <f t="shared" si="57"/>
        <v>41392618.610000007</v>
      </c>
      <c r="H401" s="227">
        <f t="shared" si="57"/>
        <v>37168647.470000006</v>
      </c>
      <c r="I401" s="227">
        <f t="shared" si="57"/>
        <v>39030443.059999995</v>
      </c>
      <c r="J401" s="227">
        <f t="shared" si="57"/>
        <v>69362268.989999995</v>
      </c>
      <c r="K401" s="227">
        <f t="shared" si="57"/>
        <v>744210517.08000004</v>
      </c>
      <c r="L401" s="227">
        <f t="shared" si="57"/>
        <v>234132837.91</v>
      </c>
      <c r="M401" s="227">
        <f t="shared" si="57"/>
        <v>39052964.450000003</v>
      </c>
      <c r="N401" s="227">
        <f t="shared" si="57"/>
        <v>41478720.270000003</v>
      </c>
      <c r="O401" s="227">
        <f t="shared" si="57"/>
        <v>1510499251.5199997</v>
      </c>
    </row>
    <row r="402" spans="1:15" s="220" customFormat="1" ht="15.75" hidden="1" customHeight="1" x14ac:dyDescent="0.2">
      <c r="A402" s="219">
        <v>1</v>
      </c>
      <c r="B402" s="228" t="s">
        <v>22</v>
      </c>
      <c r="C402" s="203"/>
      <c r="D402" s="203"/>
      <c r="E402" s="203"/>
      <c r="F402" s="203"/>
      <c r="G402" s="203"/>
      <c r="H402" s="203"/>
      <c r="I402" s="203"/>
      <c r="J402" s="203"/>
      <c r="K402" s="203"/>
      <c r="L402" s="203"/>
      <c r="M402" s="203"/>
      <c r="N402" s="203"/>
      <c r="O402" s="203">
        <f t="shared" ref="O402:O415" si="58">SUM(C402:N402)</f>
        <v>0</v>
      </c>
    </row>
    <row r="403" spans="1:15" s="220" customFormat="1" ht="15.75" hidden="1" customHeight="1" x14ac:dyDescent="0.2">
      <c r="A403" s="219">
        <f t="shared" ref="A403" si="59">A402+1</f>
        <v>2</v>
      </c>
      <c r="B403" s="228" t="s">
        <v>1040</v>
      </c>
      <c r="C403" s="203"/>
      <c r="D403" s="203"/>
      <c r="E403" s="203"/>
      <c r="F403" s="203"/>
      <c r="G403" s="203"/>
      <c r="H403" s="203"/>
      <c r="I403" s="203"/>
      <c r="J403" s="203"/>
      <c r="K403" s="203"/>
      <c r="L403" s="203"/>
      <c r="M403" s="203"/>
      <c r="N403" s="203"/>
      <c r="O403" s="203">
        <f t="shared" si="58"/>
        <v>0</v>
      </c>
    </row>
    <row r="404" spans="1:15" s="220" customFormat="1" ht="15.75" customHeight="1" x14ac:dyDescent="0.2">
      <c r="A404" s="219"/>
      <c r="B404" s="228" t="s">
        <v>25</v>
      </c>
      <c r="C404" s="203">
        <v>2437990</v>
      </c>
      <c r="D404" s="203">
        <v>2615000</v>
      </c>
      <c r="E404" s="203">
        <v>2658740</v>
      </c>
      <c r="F404" s="203">
        <v>2024430</v>
      </c>
      <c r="G404" s="203">
        <v>2470487</v>
      </c>
      <c r="H404" s="203">
        <v>2227430</v>
      </c>
      <c r="I404" s="203">
        <v>3848466</v>
      </c>
      <c r="J404" s="203">
        <v>2430107</v>
      </c>
      <c r="K404" s="203">
        <v>2651469</v>
      </c>
      <c r="L404" s="203">
        <v>2643212</v>
      </c>
      <c r="M404" s="203">
        <v>2520014</v>
      </c>
      <c r="N404" s="203">
        <v>2537170</v>
      </c>
      <c r="O404" s="203">
        <f t="shared" si="58"/>
        <v>31064515</v>
      </c>
    </row>
    <row r="405" spans="1:15" s="220" customFormat="1" ht="15.75" customHeight="1" x14ac:dyDescent="0.2">
      <c r="A405" s="219"/>
      <c r="B405" s="228" t="s">
        <v>755</v>
      </c>
      <c r="C405" s="211">
        <v>9675483.3100000005</v>
      </c>
      <c r="D405" s="211">
        <v>17302621.579999998</v>
      </c>
      <c r="E405" s="211">
        <v>122543358.40000001</v>
      </c>
      <c r="F405" s="211">
        <v>12367268.15</v>
      </c>
      <c r="G405" s="211">
        <v>14205380.27</v>
      </c>
      <c r="H405" s="211">
        <v>9520862.9499999993</v>
      </c>
      <c r="I405" s="211">
        <v>15331577.26</v>
      </c>
      <c r="J405" s="211">
        <v>44679259.810000002</v>
      </c>
      <c r="K405" s="211">
        <v>722440009.60000002</v>
      </c>
      <c r="L405" s="211">
        <v>210171611</v>
      </c>
      <c r="M405" s="211">
        <v>16618297.48</v>
      </c>
      <c r="N405" s="211">
        <v>7352255.7999999998</v>
      </c>
      <c r="O405" s="203">
        <f t="shared" si="58"/>
        <v>1202207985.6099999</v>
      </c>
    </row>
    <row r="406" spans="1:15" s="220" customFormat="1" ht="15.75" customHeight="1" x14ac:dyDescent="0.2">
      <c r="A406" s="219"/>
      <c r="B406" s="228" t="s">
        <v>27</v>
      </c>
      <c r="C406" s="203">
        <v>1870383.42</v>
      </c>
      <c r="D406" s="203">
        <v>3328369.05</v>
      </c>
      <c r="E406" s="203">
        <v>2429623.65</v>
      </c>
      <c r="F406" s="203">
        <v>670702.43000000005</v>
      </c>
      <c r="G406" s="203">
        <v>2348876.35</v>
      </c>
      <c r="H406" s="203">
        <v>6110384.5</v>
      </c>
      <c r="I406" s="203">
        <v>560518.68000000005</v>
      </c>
      <c r="J406" s="203">
        <v>1172942.44</v>
      </c>
      <c r="K406" s="203">
        <v>318750</v>
      </c>
      <c r="L406" s="203">
        <v>2435972.2200000002</v>
      </c>
      <c r="M406" s="203">
        <v>1345822.1</v>
      </c>
      <c r="N406" s="211">
        <v>1806860.85</v>
      </c>
      <c r="O406" s="203">
        <f t="shared" si="58"/>
        <v>24399205.690000001</v>
      </c>
    </row>
    <row r="407" spans="1:15" s="220" customFormat="1" ht="15.75" hidden="1" customHeight="1" x14ac:dyDescent="0.2">
      <c r="A407" s="219"/>
      <c r="B407" s="228" t="s">
        <v>747</v>
      </c>
      <c r="C407" s="211"/>
      <c r="D407" s="211"/>
      <c r="E407" s="211"/>
      <c r="F407" s="211"/>
      <c r="G407" s="211"/>
      <c r="H407" s="211"/>
      <c r="I407" s="211"/>
      <c r="J407" s="211"/>
      <c r="K407" s="211"/>
      <c r="L407" s="211"/>
      <c r="M407" s="211"/>
      <c r="N407" s="211"/>
      <c r="O407" s="203">
        <f t="shared" si="58"/>
        <v>0</v>
      </c>
    </row>
    <row r="408" spans="1:15" s="220" customFormat="1" ht="15.75" hidden="1" customHeight="1" x14ac:dyDescent="0.2">
      <c r="A408" s="219"/>
      <c r="B408" s="228" t="s">
        <v>1100</v>
      </c>
      <c r="C408" s="203"/>
      <c r="D408" s="203"/>
      <c r="E408" s="203"/>
      <c r="F408" s="203"/>
      <c r="G408" s="203"/>
      <c r="H408" s="203"/>
      <c r="I408" s="203"/>
      <c r="J408" s="203"/>
      <c r="K408" s="203"/>
      <c r="L408" s="203"/>
      <c r="M408" s="203"/>
      <c r="N408" s="203"/>
      <c r="O408" s="203">
        <f t="shared" si="58"/>
        <v>0</v>
      </c>
    </row>
    <row r="409" spans="1:15" s="220" customFormat="1" ht="15.75" customHeight="1" x14ac:dyDescent="0.2">
      <c r="A409" s="219"/>
      <c r="B409" s="228" t="s">
        <v>1041</v>
      </c>
      <c r="C409" s="203">
        <v>19201706.960000001</v>
      </c>
      <c r="D409" s="203">
        <v>9249977.0700000003</v>
      </c>
      <c r="E409" s="203">
        <v>8155625.96</v>
      </c>
      <c r="F409" s="203">
        <v>8210489.4299999997</v>
      </c>
      <c r="G409" s="203">
        <v>8318007.8700000001</v>
      </c>
      <c r="H409" s="203">
        <v>7586482.4400000004</v>
      </c>
      <c r="I409" s="203">
        <v>9064257.8300000001</v>
      </c>
      <c r="J409" s="203">
        <v>8220610.9299999997</v>
      </c>
      <c r="K409" s="203">
        <v>8541355.3499999996</v>
      </c>
      <c r="L409" s="203">
        <v>10319229.26</v>
      </c>
      <c r="M409" s="203">
        <v>8406125.8599999994</v>
      </c>
      <c r="N409" s="203">
        <v>11025441.59</v>
      </c>
      <c r="O409" s="203">
        <f t="shared" si="58"/>
        <v>116299310.55000001</v>
      </c>
    </row>
    <row r="410" spans="1:15" s="220" customFormat="1" ht="15.75" customHeight="1" x14ac:dyDescent="0.2">
      <c r="A410" s="219"/>
      <c r="B410" s="228" t="s">
        <v>1042</v>
      </c>
      <c r="C410" s="203">
        <v>1288262.33</v>
      </c>
      <c r="D410" s="203">
        <v>466572</v>
      </c>
      <c r="E410" s="203">
        <v>446067</v>
      </c>
      <c r="F410" s="203">
        <v>95708.62</v>
      </c>
      <c r="G410" s="203">
        <v>121112.42</v>
      </c>
      <c r="H410" s="203">
        <v>108611</v>
      </c>
      <c r="I410" s="203">
        <v>845936.5</v>
      </c>
      <c r="J410" s="203">
        <v>152963.15</v>
      </c>
      <c r="K410" s="203">
        <v>755552</v>
      </c>
      <c r="L410" s="203">
        <v>211143.01</v>
      </c>
      <c r="M410" s="203">
        <v>230627.64</v>
      </c>
      <c r="N410" s="203">
        <v>1129453.48</v>
      </c>
      <c r="O410" s="203">
        <f t="shared" si="58"/>
        <v>5852009.1499999985</v>
      </c>
    </row>
    <row r="411" spans="1:15" s="220" customFormat="1" ht="15.75" customHeight="1" x14ac:dyDescent="0.2">
      <c r="A411" s="219"/>
      <c r="B411" s="228" t="s">
        <v>1043</v>
      </c>
      <c r="C411" s="203">
        <v>56922</v>
      </c>
      <c r="D411" s="203">
        <v>365040</v>
      </c>
      <c r="E411" s="203">
        <v>102950.42</v>
      </c>
      <c r="F411" s="203">
        <v>101736</v>
      </c>
      <c r="G411" s="203">
        <v>140449.14000000001</v>
      </c>
      <c r="H411" s="203">
        <v>200417</v>
      </c>
      <c r="I411" s="203">
        <v>247092</v>
      </c>
      <c r="J411" s="203">
        <v>206183</v>
      </c>
      <c r="K411" s="203">
        <v>1065278</v>
      </c>
      <c r="L411" s="203">
        <v>123449</v>
      </c>
      <c r="M411" s="203">
        <v>212868</v>
      </c>
      <c r="N411" s="203">
        <v>182908</v>
      </c>
      <c r="O411" s="203">
        <f t="shared" si="58"/>
        <v>3005292.56</v>
      </c>
    </row>
    <row r="412" spans="1:15" s="220" customFormat="1" ht="15.75" customHeight="1" x14ac:dyDescent="0.2">
      <c r="A412" s="219"/>
      <c r="B412" s="228" t="s">
        <v>38</v>
      </c>
      <c r="C412" s="203">
        <v>2639373</v>
      </c>
      <c r="D412" s="203">
        <v>5139636.6100000003</v>
      </c>
      <c r="E412" s="203">
        <v>2612156</v>
      </c>
      <c r="F412" s="203">
        <v>4774530.54</v>
      </c>
      <c r="G412" s="203">
        <v>4429570.18</v>
      </c>
      <c r="H412" s="203">
        <v>4003335.17</v>
      </c>
      <c r="I412" s="203">
        <v>3658485.25</v>
      </c>
      <c r="J412" s="203">
        <v>3356630.45</v>
      </c>
      <c r="K412" s="203">
        <v>3619593.25</v>
      </c>
      <c r="L412" s="203">
        <v>3095038.25</v>
      </c>
      <c r="M412" s="203">
        <v>2724349.77</v>
      </c>
      <c r="N412" s="203">
        <v>2591217.85</v>
      </c>
      <c r="O412" s="203">
        <f t="shared" si="58"/>
        <v>42643916.320000008</v>
      </c>
    </row>
    <row r="413" spans="1:15" s="220" customFormat="1" ht="15.75" customHeight="1" x14ac:dyDescent="0.2">
      <c r="A413" s="219"/>
      <c r="B413" s="228" t="s">
        <v>749</v>
      </c>
      <c r="C413" s="203">
        <v>247525</v>
      </c>
      <c r="D413" s="203">
        <v>249675</v>
      </c>
      <c r="E413" s="203">
        <v>742575</v>
      </c>
      <c r="F413" s="206">
        <v>1237625</v>
      </c>
      <c r="G413" s="206">
        <v>742575</v>
      </c>
      <c r="H413" s="206">
        <v>990100</v>
      </c>
      <c r="I413" s="206">
        <v>990100</v>
      </c>
      <c r="J413" s="206">
        <v>2832507</v>
      </c>
      <c r="K413" s="206">
        <v>247525</v>
      </c>
      <c r="L413" s="206">
        <v>247525</v>
      </c>
      <c r="M413" s="206">
        <v>247525</v>
      </c>
      <c r="N413" s="206">
        <v>495050</v>
      </c>
      <c r="O413" s="203">
        <f t="shared" si="58"/>
        <v>9270307</v>
      </c>
    </row>
    <row r="414" spans="1:15" s="220" customFormat="1" ht="15.75" customHeight="1" x14ac:dyDescent="0.2">
      <c r="A414" s="219"/>
      <c r="B414" s="228" t="s">
        <v>39</v>
      </c>
      <c r="C414" s="211">
        <v>4133673.16</v>
      </c>
      <c r="D414" s="211">
        <v>2002567.8</v>
      </c>
      <c r="E414" s="211">
        <v>2683306.15</v>
      </c>
      <c r="F414" s="211">
        <v>3763791.64</v>
      </c>
      <c r="G414" s="211">
        <v>2429830.38</v>
      </c>
      <c r="H414" s="211">
        <v>2676093.67</v>
      </c>
      <c r="I414" s="211">
        <v>3577629.94</v>
      </c>
      <c r="J414" s="211">
        <v>3005754.01</v>
      </c>
      <c r="K414" s="211">
        <v>2942614.88</v>
      </c>
      <c r="L414" s="211">
        <v>3419630.99</v>
      </c>
      <c r="M414" s="211">
        <v>3413133</v>
      </c>
      <c r="N414" s="211">
        <v>3044687.45</v>
      </c>
      <c r="O414" s="203">
        <f t="shared" si="58"/>
        <v>37092713.07</v>
      </c>
    </row>
    <row r="415" spans="1:15" s="220" customFormat="1" ht="15.75" customHeight="1" x14ac:dyDescent="0.2">
      <c r="A415" s="219"/>
      <c r="B415" s="220" t="s">
        <v>40</v>
      </c>
      <c r="C415" s="203">
        <v>1680116</v>
      </c>
      <c r="D415" s="203">
        <v>2266050</v>
      </c>
      <c r="E415" s="203">
        <v>1354420</v>
      </c>
      <c r="F415" s="203">
        <v>1478185</v>
      </c>
      <c r="G415" s="203">
        <v>6186330</v>
      </c>
      <c r="H415" s="203">
        <v>3744930.74</v>
      </c>
      <c r="I415" s="203">
        <v>906379.6</v>
      </c>
      <c r="J415" s="203">
        <v>3305311.2</v>
      </c>
      <c r="K415" s="203">
        <v>1628370</v>
      </c>
      <c r="L415" s="203">
        <v>1466027.18</v>
      </c>
      <c r="M415" s="203">
        <v>3334201.6</v>
      </c>
      <c r="N415" s="203">
        <v>11313675.25</v>
      </c>
      <c r="O415" s="203">
        <f t="shared" si="58"/>
        <v>38663996.57</v>
      </c>
    </row>
    <row r="416" spans="1:15" s="220" customFormat="1" ht="15.75" customHeight="1" x14ac:dyDescent="0.2">
      <c r="A416" s="228"/>
      <c r="B416" s="228"/>
      <c r="C416" s="203"/>
      <c r="D416" s="203"/>
      <c r="E416" s="203"/>
      <c r="F416" s="203"/>
      <c r="G416" s="203"/>
      <c r="H416" s="203"/>
      <c r="I416" s="203"/>
      <c r="J416" s="203"/>
      <c r="K416" s="203"/>
      <c r="L416" s="203"/>
      <c r="M416" s="203"/>
      <c r="N416" s="203"/>
      <c r="O416" s="203"/>
    </row>
    <row r="417" spans="1:17" s="220" customFormat="1" ht="15.75" customHeight="1" x14ac:dyDescent="0.25">
      <c r="A417" s="216" t="s">
        <v>182</v>
      </c>
      <c r="B417" s="226"/>
      <c r="C417" s="227">
        <f t="shared" ref="C417:O417" si="60">SUM(C418:C423)</f>
        <v>4419707.53</v>
      </c>
      <c r="D417" s="227">
        <f t="shared" si="60"/>
        <v>23829916.420000002</v>
      </c>
      <c r="E417" s="227">
        <f t="shared" si="60"/>
        <v>5807979</v>
      </c>
      <c r="F417" s="227">
        <f t="shared" si="60"/>
        <v>12129967.710000001</v>
      </c>
      <c r="G417" s="227">
        <f t="shared" si="60"/>
        <v>16229149.75</v>
      </c>
      <c r="H417" s="227">
        <f t="shared" si="60"/>
        <v>22082327.5</v>
      </c>
      <c r="I417" s="227">
        <f t="shared" si="60"/>
        <v>12692796.710000001</v>
      </c>
      <c r="J417" s="227">
        <f t="shared" si="60"/>
        <v>14063780</v>
      </c>
      <c r="K417" s="227">
        <f t="shared" si="60"/>
        <v>14579929.75</v>
      </c>
      <c r="L417" s="227">
        <f t="shared" si="60"/>
        <v>13319901</v>
      </c>
      <c r="M417" s="227">
        <f t="shared" si="60"/>
        <v>6879688</v>
      </c>
      <c r="N417" s="227">
        <f t="shared" si="60"/>
        <v>20594674.75</v>
      </c>
      <c r="O417" s="227">
        <f t="shared" si="60"/>
        <v>166629818.12</v>
      </c>
    </row>
    <row r="418" spans="1:17" s="220" customFormat="1" ht="15.75" customHeight="1" x14ac:dyDescent="0.2">
      <c r="A418" s="219"/>
      <c r="B418" s="228" t="s">
        <v>187</v>
      </c>
      <c r="C418" s="211">
        <v>4419707.53</v>
      </c>
      <c r="D418" s="211">
        <v>23829916.420000002</v>
      </c>
      <c r="E418" s="211">
        <v>5807979</v>
      </c>
      <c r="F418" s="211">
        <v>12129967.710000001</v>
      </c>
      <c r="G418" s="203">
        <v>16229149.75</v>
      </c>
      <c r="H418" s="203">
        <v>22082327.5</v>
      </c>
      <c r="I418" s="203">
        <v>12692796.710000001</v>
      </c>
      <c r="J418" s="203">
        <v>14063780</v>
      </c>
      <c r="K418" s="203">
        <v>14579929.75</v>
      </c>
      <c r="L418" s="203">
        <v>13319901</v>
      </c>
      <c r="M418" s="203">
        <v>6879688</v>
      </c>
      <c r="N418" s="203">
        <v>20594674.75</v>
      </c>
      <c r="O418" s="203">
        <f t="shared" ref="O418:O423" si="61">SUM(C418:N418)</f>
        <v>166629818.12</v>
      </c>
    </row>
    <row r="419" spans="1:17" s="220" customFormat="1" ht="15.75" hidden="1" customHeight="1" x14ac:dyDescent="0.2">
      <c r="A419" s="219">
        <f t="shared" ref="A419:A422" si="62">A418+1</f>
        <v>1</v>
      </c>
      <c r="B419" s="228" t="s">
        <v>188</v>
      </c>
      <c r="C419" s="203"/>
      <c r="D419" s="203"/>
      <c r="E419" s="203"/>
      <c r="F419" s="203"/>
      <c r="G419" s="203"/>
      <c r="H419" s="203"/>
      <c r="I419" s="203"/>
      <c r="J419" s="203"/>
      <c r="K419" s="203"/>
      <c r="L419" s="203"/>
      <c r="M419" s="203"/>
      <c r="N419" s="203"/>
      <c r="O419" s="203">
        <f t="shared" si="61"/>
        <v>0</v>
      </c>
    </row>
    <row r="420" spans="1:17" s="220" customFormat="1" ht="15.75" hidden="1" customHeight="1" x14ac:dyDescent="0.2">
      <c r="A420" s="219">
        <f t="shared" si="62"/>
        <v>2</v>
      </c>
      <c r="B420" s="228" t="s">
        <v>1044</v>
      </c>
      <c r="C420" s="203"/>
      <c r="D420" s="203"/>
      <c r="E420" s="203"/>
      <c r="F420" s="203"/>
      <c r="G420" s="203"/>
      <c r="H420" s="203"/>
      <c r="I420" s="203"/>
      <c r="J420" s="203"/>
      <c r="K420" s="203"/>
      <c r="L420" s="203"/>
      <c r="M420" s="203"/>
      <c r="N420" s="203"/>
      <c r="O420" s="203">
        <f t="shared" si="61"/>
        <v>0</v>
      </c>
    </row>
    <row r="421" spans="1:17" s="220" customFormat="1" ht="15.75" hidden="1" customHeight="1" x14ac:dyDescent="0.2">
      <c r="A421" s="219">
        <f t="shared" si="62"/>
        <v>3</v>
      </c>
      <c r="B421" s="228" t="s">
        <v>1101</v>
      </c>
      <c r="C421" s="203"/>
      <c r="D421" s="203"/>
      <c r="E421" s="203"/>
      <c r="F421" s="203"/>
      <c r="G421" s="203"/>
      <c r="H421" s="203"/>
      <c r="I421" s="203"/>
      <c r="J421" s="203"/>
      <c r="K421" s="203"/>
      <c r="L421" s="203"/>
      <c r="M421" s="203"/>
      <c r="N421" s="203"/>
      <c r="O421" s="203">
        <f t="shared" si="61"/>
        <v>0</v>
      </c>
    </row>
    <row r="422" spans="1:17" s="220" customFormat="1" ht="15.75" hidden="1" customHeight="1" x14ac:dyDescent="0.2">
      <c r="A422" s="219">
        <f t="shared" si="62"/>
        <v>4</v>
      </c>
      <c r="B422" s="228" t="s">
        <v>1045</v>
      </c>
      <c r="C422" s="203"/>
      <c r="D422" s="203"/>
      <c r="E422" s="203"/>
      <c r="F422" s="203"/>
      <c r="G422" s="203"/>
      <c r="H422" s="203"/>
      <c r="I422" s="203"/>
      <c r="J422" s="203"/>
      <c r="K422" s="203"/>
      <c r="L422" s="203"/>
      <c r="M422" s="203"/>
      <c r="N422" s="203"/>
      <c r="O422" s="203">
        <f t="shared" si="61"/>
        <v>0</v>
      </c>
    </row>
    <row r="423" spans="1:17" s="220" customFormat="1" ht="15.75" hidden="1" customHeight="1" x14ac:dyDescent="0.2">
      <c r="A423" s="219">
        <v>5</v>
      </c>
      <c r="B423" s="228" t="s">
        <v>1102</v>
      </c>
      <c r="C423" s="203"/>
      <c r="D423" s="203"/>
      <c r="E423" s="203"/>
      <c r="F423" s="203"/>
      <c r="G423" s="203"/>
      <c r="H423" s="203"/>
      <c r="I423" s="203"/>
      <c r="J423" s="203"/>
      <c r="K423" s="203"/>
      <c r="L423" s="203"/>
      <c r="M423" s="203"/>
      <c r="N423" s="203"/>
      <c r="O423" s="203">
        <f t="shared" si="61"/>
        <v>0</v>
      </c>
    </row>
    <row r="424" spans="1:17" s="220" customFormat="1" ht="15.75" customHeight="1" x14ac:dyDescent="0.2">
      <c r="A424" s="228"/>
      <c r="B424" s="228"/>
      <c r="C424" s="203"/>
      <c r="D424" s="203"/>
      <c r="E424" s="203"/>
      <c r="F424" s="203"/>
      <c r="G424" s="203"/>
      <c r="H424" s="203"/>
      <c r="I424" s="203"/>
      <c r="J424" s="203"/>
      <c r="K424" s="203"/>
      <c r="L424" s="203"/>
      <c r="M424" s="203"/>
      <c r="N424" s="203"/>
      <c r="O424" s="203"/>
    </row>
    <row r="425" spans="1:17" s="220" customFormat="1" ht="15.75" customHeight="1" x14ac:dyDescent="0.2">
      <c r="A425" s="228"/>
      <c r="B425" s="228"/>
      <c r="C425" s="203"/>
      <c r="D425" s="203"/>
      <c r="E425" s="203"/>
      <c r="F425" s="203"/>
      <c r="G425" s="203"/>
      <c r="H425" s="203"/>
      <c r="I425" s="203"/>
      <c r="J425" s="203"/>
      <c r="K425" s="203"/>
      <c r="L425" s="203"/>
      <c r="M425" s="203"/>
      <c r="N425" s="203"/>
      <c r="O425" s="203"/>
    </row>
    <row r="426" spans="1:17" s="220" customFormat="1" ht="15.75" customHeight="1" x14ac:dyDescent="0.25">
      <c r="A426" s="228"/>
      <c r="B426" s="232" t="s">
        <v>222</v>
      </c>
      <c r="C426" s="229">
        <f t="shared" ref="C426:N426" si="63">C10+C13+C23+C26+C48+C52+C59+C62+C72+C81+C86+C89+C93+C97+C106+C116+C124+C127+C137+C345+C364+C368+C373+C382+C395+C401+C417</f>
        <v>5394945934.75</v>
      </c>
      <c r="D426" s="229">
        <f t="shared" si="63"/>
        <v>3823183792.6799998</v>
      </c>
      <c r="E426" s="229">
        <f t="shared" si="63"/>
        <v>4630157791.6800003</v>
      </c>
      <c r="F426" s="229">
        <f t="shared" si="63"/>
        <v>3601188679.0099998</v>
      </c>
      <c r="G426" s="229">
        <f t="shared" si="63"/>
        <v>4545332620.9099998</v>
      </c>
      <c r="H426" s="229">
        <f t="shared" si="63"/>
        <v>4451773196.9700003</v>
      </c>
      <c r="I426" s="229">
        <f t="shared" si="63"/>
        <v>4641478843.8400002</v>
      </c>
      <c r="J426" s="229">
        <f t="shared" si="63"/>
        <v>5259910915.1900005</v>
      </c>
      <c r="K426" s="229">
        <f t="shared" si="63"/>
        <v>7128645509.7600002</v>
      </c>
      <c r="L426" s="229">
        <f t="shared" si="63"/>
        <v>4473970069.2200003</v>
      </c>
      <c r="M426" s="229">
        <f t="shared" si="63"/>
        <v>4362544082.1400013</v>
      </c>
      <c r="N426" s="229">
        <f t="shared" si="63"/>
        <v>3961623701.9299998</v>
      </c>
      <c r="O426" s="229">
        <f>O10+O13+O23+O26+O48+O52+O59+O62+O72+O81+O86+O89+O93+O97+O106+O116+O124+O127+O137+O345+O364+O368+O373+O382+O395+O401+O417</f>
        <v>56274755138.080002</v>
      </c>
      <c r="P426" s="211"/>
      <c r="Q426" s="211"/>
    </row>
    <row r="427" spans="1:17" s="220" customFormat="1" ht="12.75" customHeight="1" x14ac:dyDescent="0.2">
      <c r="A427" s="249" t="s">
        <v>223</v>
      </c>
      <c r="B427" s="228"/>
      <c r="C427" s="203"/>
      <c r="D427" s="203"/>
      <c r="E427" s="203"/>
      <c r="F427" s="203"/>
      <c r="G427" s="203"/>
      <c r="H427" s="203"/>
      <c r="I427" s="203"/>
      <c r="J427" s="203"/>
      <c r="K427" s="203"/>
      <c r="L427" s="203"/>
      <c r="M427" s="203"/>
      <c r="N427" s="203"/>
      <c r="O427" s="203"/>
    </row>
    <row r="428" spans="1:17" s="220" customFormat="1" ht="12.75" hidden="1" customHeight="1" x14ac:dyDescent="0.2">
      <c r="A428" s="219"/>
      <c r="B428" s="219"/>
      <c r="C428" s="248">
        <f>C426-C99</f>
        <v>4388342007.2189999</v>
      </c>
      <c r="D428" s="248">
        <f t="shared" ref="D428:N428" si="64">D426-D99</f>
        <v>3190269426.5999999</v>
      </c>
      <c r="E428" s="248">
        <f t="shared" si="64"/>
        <v>4204600166.9900002</v>
      </c>
      <c r="F428" s="248">
        <f t="shared" si="64"/>
        <v>3321445973.1989999</v>
      </c>
      <c r="G428" s="248">
        <f t="shared" si="64"/>
        <v>4346704425.408</v>
      </c>
      <c r="H428" s="248">
        <f t="shared" si="64"/>
        <v>4234991613.0400004</v>
      </c>
      <c r="I428" s="248">
        <f t="shared" si="64"/>
        <v>4641478843.8400002</v>
      </c>
      <c r="J428" s="248">
        <f t="shared" si="64"/>
        <v>5259910915.1900005</v>
      </c>
      <c r="K428" s="248">
        <f t="shared" si="64"/>
        <v>7128645509.7600002</v>
      </c>
      <c r="L428" s="248">
        <f t="shared" si="64"/>
        <v>4473970069.2200003</v>
      </c>
      <c r="M428" s="248">
        <f t="shared" si="64"/>
        <v>4362544082.1400013</v>
      </c>
      <c r="N428" s="248">
        <f t="shared" si="64"/>
        <v>3961623701.9299998</v>
      </c>
      <c r="O428" s="203">
        <f>SUM(C428:N428)</f>
        <v>53514526734.536003</v>
      </c>
    </row>
    <row r="429" spans="1:17" s="220" customFormat="1" ht="12.75" hidden="1" customHeight="1" x14ac:dyDescent="0.25">
      <c r="A429" s="292"/>
      <c r="B429" s="293"/>
      <c r="C429" s="293"/>
      <c r="D429" s="251"/>
      <c r="E429" s="251"/>
      <c r="F429" s="251"/>
      <c r="G429" s="251"/>
      <c r="H429" s="251"/>
      <c r="I429" s="251"/>
      <c r="J429" s="251"/>
      <c r="K429" s="251"/>
      <c r="L429" s="251"/>
      <c r="M429" s="251"/>
      <c r="N429" s="251"/>
      <c r="O429" s="203">
        <f>C426+D426+E426+F426+G426+H426+I426+J426+K426+L426+M426+N426</f>
        <v>56274755138.080002</v>
      </c>
    </row>
    <row r="430" spans="1:17" s="220" customFormat="1" ht="12.75" hidden="1" customHeight="1" x14ac:dyDescent="0.2">
      <c r="A430" s="219" t="s">
        <v>225</v>
      </c>
      <c r="B430" s="228"/>
      <c r="C430" s="203"/>
      <c r="D430" s="203"/>
      <c r="E430" s="203"/>
      <c r="F430" s="203"/>
      <c r="G430" s="203"/>
      <c r="H430" s="203"/>
      <c r="I430" s="203"/>
      <c r="J430" s="203"/>
      <c r="K430" s="203"/>
      <c r="L430" s="203"/>
      <c r="M430" s="203"/>
      <c r="N430" s="203"/>
      <c r="O430" s="203"/>
    </row>
    <row r="431" spans="1:17" s="220" customFormat="1" ht="12.75" hidden="1" customHeight="1" x14ac:dyDescent="0.2">
      <c r="A431" s="228"/>
      <c r="B431" s="228"/>
      <c r="C431" s="203"/>
      <c r="D431" s="203"/>
      <c r="E431" s="203"/>
      <c r="F431" s="203"/>
      <c r="G431" s="203"/>
      <c r="H431" s="203"/>
      <c r="I431" s="203"/>
      <c r="J431" s="203"/>
      <c r="K431" s="203"/>
      <c r="L431" s="203"/>
      <c r="M431" s="203"/>
      <c r="N431" s="203"/>
      <c r="O431" s="203"/>
    </row>
    <row r="432" spans="1:17" s="220" customFormat="1" ht="12" hidden="1" customHeight="1" x14ac:dyDescent="0.2">
      <c r="A432" s="228"/>
      <c r="B432" s="219"/>
      <c r="C432" s="203">
        <v>5394945934.750001</v>
      </c>
      <c r="D432" s="203">
        <v>3882593190.9499998</v>
      </c>
      <c r="E432" s="203">
        <v>4739010488.8300009</v>
      </c>
      <c r="F432" s="203">
        <v>3845334956.2100005</v>
      </c>
      <c r="G432" s="203">
        <v>4983610093.9399996</v>
      </c>
      <c r="H432" s="203">
        <v>5163841103.0699997</v>
      </c>
      <c r="I432" s="203">
        <v>5648897177.2900009</v>
      </c>
      <c r="J432" s="203">
        <v>6536411378.8400002</v>
      </c>
      <c r="K432" s="203">
        <v>8788033929.5300007</v>
      </c>
      <c r="L432" s="203">
        <v>6543886795.9699984</v>
      </c>
      <c r="M432" s="203">
        <v>6691103409.210001</v>
      </c>
      <c r="N432" s="203">
        <v>6336799603.2699995</v>
      </c>
      <c r="O432" s="203">
        <v>68554468061.860001</v>
      </c>
    </row>
    <row r="433" spans="1:15" s="220" customFormat="1" ht="12" hidden="1" customHeight="1" x14ac:dyDescent="0.2">
      <c r="A433" s="228"/>
      <c r="B433" s="228"/>
      <c r="C433" s="203">
        <f>+C432-C426</f>
        <v>0</v>
      </c>
      <c r="D433" s="203">
        <f t="shared" ref="D433:O433" si="65">+D432-D426</f>
        <v>59409398.269999981</v>
      </c>
      <c r="E433" s="203">
        <f t="shared" si="65"/>
        <v>108852697.15000057</v>
      </c>
      <c r="F433" s="203">
        <f t="shared" si="65"/>
        <v>244146277.20000076</v>
      </c>
      <c r="G433" s="203">
        <f t="shared" si="65"/>
        <v>438277473.02999973</v>
      </c>
      <c r="H433" s="203">
        <f t="shared" si="65"/>
        <v>712067906.09999943</v>
      </c>
      <c r="I433" s="203">
        <f t="shared" si="65"/>
        <v>1007418333.4500008</v>
      </c>
      <c r="J433" s="203">
        <f t="shared" si="65"/>
        <v>1276500463.6499996</v>
      </c>
      <c r="K433" s="203">
        <f t="shared" si="65"/>
        <v>1659388419.7700005</v>
      </c>
      <c r="L433" s="203">
        <f t="shared" si="65"/>
        <v>2069916726.7499981</v>
      </c>
      <c r="M433" s="203">
        <f t="shared" si="65"/>
        <v>2328559327.0699997</v>
      </c>
      <c r="N433" s="203">
        <f t="shared" si="65"/>
        <v>2375175901.3399997</v>
      </c>
      <c r="O433" s="203">
        <f t="shared" si="65"/>
        <v>12279712923.779999</v>
      </c>
    </row>
    <row r="434" spans="1:15" s="220" customFormat="1" ht="12" hidden="1" customHeight="1" x14ac:dyDescent="0.2">
      <c r="A434" s="219"/>
      <c r="B434" s="228"/>
      <c r="C434" s="203"/>
      <c r="D434" s="203"/>
      <c r="E434" s="203"/>
      <c r="F434" s="203"/>
      <c r="G434" s="203"/>
      <c r="H434" s="203"/>
      <c r="I434" s="203"/>
      <c r="J434" s="203"/>
      <c r="K434" s="203"/>
      <c r="L434" s="203"/>
      <c r="M434" s="203"/>
      <c r="N434" s="203"/>
      <c r="O434" s="203"/>
    </row>
    <row r="435" spans="1:15" s="220" customFormat="1" ht="12" hidden="1" customHeight="1" x14ac:dyDescent="0.2">
      <c r="A435" s="294"/>
      <c r="B435" s="295"/>
      <c r="C435" s="203"/>
      <c r="D435" s="203"/>
      <c r="E435" s="203"/>
      <c r="F435" s="203"/>
      <c r="G435" s="203"/>
      <c r="H435" s="203"/>
      <c r="I435" s="203"/>
      <c r="J435" s="203"/>
      <c r="K435" s="203"/>
      <c r="L435" s="203"/>
      <c r="M435" s="203"/>
      <c r="N435" s="203"/>
      <c r="O435" s="203"/>
    </row>
    <row r="436" spans="1:15" s="220" customFormat="1" ht="15.75" hidden="1" customHeight="1" x14ac:dyDescent="0.25">
      <c r="A436" s="228"/>
      <c r="B436" s="228"/>
      <c r="C436" s="214">
        <f>939-939+1409+701+144+877-632+2896</f>
        <v>5395</v>
      </c>
      <c r="D436" s="214">
        <f>574+654+163+317-112+2286</f>
        <v>3882</v>
      </c>
      <c r="E436" s="214">
        <f>531+923+718-169+2732</f>
        <v>4735</v>
      </c>
      <c r="F436" s="214">
        <f>421+594+496-63+2396</f>
        <v>3844</v>
      </c>
      <c r="G436" s="214">
        <f>390+969+10+3613</f>
        <v>4982</v>
      </c>
      <c r="H436" s="214">
        <f>481+642+213+3826</f>
        <v>5162</v>
      </c>
      <c r="I436" s="214">
        <f>529+630+176+4310</f>
        <v>5645</v>
      </c>
      <c r="J436" s="214">
        <f>910+99+717+4807</f>
        <v>6533</v>
      </c>
      <c r="K436" s="214">
        <f>411+302+648+7425</f>
        <v>8786</v>
      </c>
      <c r="L436" s="214">
        <f>325+980+5237</f>
        <v>6542</v>
      </c>
      <c r="M436" s="215">
        <f>246+803+5640</f>
        <v>6689</v>
      </c>
      <c r="N436" s="214">
        <f>713+5619</f>
        <v>6332</v>
      </c>
      <c r="O436" s="203">
        <f>SUM(C436:N436)</f>
        <v>68527</v>
      </c>
    </row>
    <row r="437" spans="1:15" s="220" customFormat="1" ht="15.75" hidden="1" customHeight="1" x14ac:dyDescent="0.2">
      <c r="A437" s="228"/>
      <c r="B437" s="228"/>
      <c r="C437" s="203">
        <v>5395</v>
      </c>
      <c r="D437" s="203">
        <v>3883</v>
      </c>
      <c r="E437" s="203">
        <v>4739</v>
      </c>
      <c r="F437" s="203">
        <v>3845</v>
      </c>
      <c r="G437" s="203">
        <v>4984</v>
      </c>
      <c r="H437" s="203">
        <v>5164</v>
      </c>
      <c r="I437" s="203">
        <v>5649</v>
      </c>
      <c r="J437" s="203">
        <v>6536</v>
      </c>
      <c r="K437" s="203">
        <v>8788</v>
      </c>
      <c r="L437" s="203">
        <v>6544</v>
      </c>
      <c r="M437" s="203">
        <v>6691</v>
      </c>
      <c r="N437" s="203">
        <v>6337</v>
      </c>
      <c r="O437" s="203">
        <f t="shared" ref="O437:O438" si="66">SUM(C437:N437)</f>
        <v>68555</v>
      </c>
    </row>
    <row r="438" spans="1:15" s="220" customFormat="1" ht="15.75" hidden="1" customHeight="1" x14ac:dyDescent="0.2">
      <c r="A438" s="228"/>
      <c r="B438" s="228"/>
      <c r="C438" s="203">
        <f>+C437-C436</f>
        <v>0</v>
      </c>
      <c r="D438" s="203">
        <f t="shared" ref="D438:N438" si="67">+D437-D436</f>
        <v>1</v>
      </c>
      <c r="E438" s="203">
        <f t="shared" si="67"/>
        <v>4</v>
      </c>
      <c r="F438" s="203">
        <f t="shared" si="67"/>
        <v>1</v>
      </c>
      <c r="G438" s="203">
        <f t="shared" si="67"/>
        <v>2</v>
      </c>
      <c r="H438" s="203">
        <f t="shared" si="67"/>
        <v>2</v>
      </c>
      <c r="I438" s="203">
        <f t="shared" si="67"/>
        <v>4</v>
      </c>
      <c r="J438" s="203">
        <f t="shared" si="67"/>
        <v>3</v>
      </c>
      <c r="K438" s="203">
        <f t="shared" si="67"/>
        <v>2</v>
      </c>
      <c r="L438" s="203">
        <f t="shared" si="67"/>
        <v>2</v>
      </c>
      <c r="M438" s="203">
        <f t="shared" si="67"/>
        <v>2</v>
      </c>
      <c r="N438" s="203">
        <f t="shared" si="67"/>
        <v>5</v>
      </c>
      <c r="O438" s="203">
        <f t="shared" si="66"/>
        <v>28</v>
      </c>
    </row>
    <row r="439" spans="1:15" s="220" customFormat="1" ht="15.75" hidden="1" customHeight="1" x14ac:dyDescent="0.2">
      <c r="A439" s="228"/>
      <c r="B439" s="228"/>
      <c r="C439" s="203"/>
      <c r="D439" s="203"/>
      <c r="E439" s="203"/>
      <c r="F439" s="203"/>
      <c r="G439" s="203"/>
      <c r="H439" s="203"/>
      <c r="I439" s="203"/>
      <c r="J439" s="203"/>
      <c r="K439" s="203"/>
      <c r="L439" s="203"/>
      <c r="M439" s="203"/>
      <c r="N439" s="203"/>
      <c r="O439" s="203"/>
    </row>
    <row r="440" spans="1:15" s="220" customFormat="1" ht="15.75" hidden="1" customHeight="1" x14ac:dyDescent="0.2">
      <c r="A440" s="228"/>
      <c r="B440" s="228"/>
      <c r="C440" s="203"/>
      <c r="D440" s="203"/>
      <c r="E440" s="203"/>
      <c r="F440" s="203"/>
      <c r="G440" s="203"/>
      <c r="H440" s="203"/>
      <c r="I440" s="203"/>
      <c r="J440" s="203"/>
      <c r="K440" s="203"/>
      <c r="L440" s="203"/>
      <c r="M440" s="203"/>
      <c r="N440" s="203"/>
      <c r="O440" s="203"/>
    </row>
    <row r="441" spans="1:15" s="220" customFormat="1" ht="15.75" customHeight="1" x14ac:dyDescent="0.2">
      <c r="A441" s="228"/>
      <c r="B441" s="228"/>
      <c r="C441" s="203"/>
      <c r="D441" s="203"/>
      <c r="E441" s="203"/>
      <c r="F441" s="203"/>
      <c r="G441" s="203"/>
      <c r="H441" s="203"/>
      <c r="I441" s="203"/>
      <c r="J441" s="203"/>
      <c r="K441" s="203"/>
      <c r="L441" s="203"/>
      <c r="M441" s="203"/>
      <c r="N441" s="203"/>
      <c r="O441" s="203"/>
    </row>
    <row r="442" spans="1:15" s="220" customFormat="1" ht="15.75" customHeight="1" x14ac:dyDescent="0.2">
      <c r="A442" s="228"/>
      <c r="B442" s="228"/>
      <c r="C442" s="203"/>
      <c r="D442" s="203"/>
      <c r="E442" s="203"/>
      <c r="F442" s="203"/>
      <c r="G442" s="203"/>
      <c r="H442" s="203"/>
      <c r="I442" s="203"/>
      <c r="J442" s="203"/>
      <c r="K442" s="203"/>
      <c r="L442" s="203"/>
      <c r="M442" s="265"/>
      <c r="N442" s="265"/>
      <c r="O442" s="203"/>
    </row>
    <row r="443" spans="1:15" s="90" customFormat="1" ht="12.75" customHeight="1" x14ac:dyDescent="0.2">
      <c r="A443" s="92" t="s">
        <v>225</v>
      </c>
    </row>
    <row r="444" spans="1:15" s="90" customFormat="1" ht="12.75" customHeight="1" x14ac:dyDescent="0.2"/>
    <row r="445" spans="1:15" s="90" customFormat="1" ht="12" customHeight="1" x14ac:dyDescent="0.2">
      <c r="B445" s="92"/>
    </row>
    <row r="446" spans="1:15" s="90" customFormat="1" ht="12" customHeight="1" x14ac:dyDescent="0.2">
      <c r="C446" s="91"/>
      <c r="D446" s="91"/>
      <c r="E446" s="91"/>
      <c r="F446" s="91"/>
      <c r="G446" s="91"/>
      <c r="H446" s="91"/>
      <c r="I446" s="91"/>
      <c r="J446" s="91"/>
      <c r="K446" s="91"/>
      <c r="L446" s="91"/>
      <c r="M446" s="91"/>
      <c r="N446" s="91"/>
    </row>
    <row r="447" spans="1:15" s="90" customFormat="1" ht="12" customHeight="1" x14ac:dyDescent="0.2">
      <c r="A447" s="92" t="s">
        <v>226</v>
      </c>
    </row>
    <row r="448" spans="1:15" s="220" customFormat="1" ht="15.75" customHeight="1" x14ac:dyDescent="0.2">
      <c r="A448" s="228"/>
      <c r="B448" s="228"/>
      <c r="C448" s="203"/>
      <c r="D448" s="203"/>
      <c r="E448" s="203"/>
      <c r="F448" s="203"/>
      <c r="G448" s="203"/>
      <c r="H448" s="203"/>
      <c r="I448" s="203"/>
      <c r="J448" s="203"/>
      <c r="K448" s="203"/>
      <c r="L448" s="203"/>
      <c r="M448" s="203"/>
      <c r="N448" s="203"/>
      <c r="O448" s="203"/>
    </row>
    <row r="449" spans="1:15" s="220" customFormat="1" ht="15.75" customHeight="1" x14ac:dyDescent="0.2">
      <c r="A449" s="228"/>
      <c r="B449" s="228"/>
      <c r="C449" s="203"/>
      <c r="D449" s="203"/>
      <c r="E449" s="203"/>
      <c r="F449" s="203"/>
      <c r="G449" s="203"/>
      <c r="H449" s="203"/>
      <c r="I449" s="203"/>
      <c r="J449" s="203"/>
      <c r="K449" s="203"/>
      <c r="L449" s="203"/>
      <c r="M449" s="203"/>
      <c r="N449" s="203"/>
      <c r="O449" s="203"/>
    </row>
    <row r="450" spans="1:15" s="220" customFormat="1" ht="15.75" customHeight="1" x14ac:dyDescent="0.2">
      <c r="A450" s="228"/>
      <c r="B450" s="228"/>
      <c r="C450" s="203"/>
      <c r="D450" s="203"/>
      <c r="E450" s="203"/>
      <c r="F450" s="203"/>
      <c r="G450" s="203"/>
      <c r="H450" s="203"/>
      <c r="I450" s="203"/>
      <c r="J450" s="203"/>
      <c r="K450" s="203"/>
      <c r="L450" s="203"/>
      <c r="M450" s="203"/>
      <c r="N450" s="203"/>
      <c r="O450" s="203"/>
    </row>
    <row r="451" spans="1:15" s="220" customFormat="1" ht="15.75" customHeight="1" x14ac:dyDescent="0.2">
      <c r="A451" s="228"/>
      <c r="B451" s="228"/>
      <c r="C451" s="203"/>
      <c r="D451" s="203"/>
      <c r="E451" s="203"/>
      <c r="F451" s="203"/>
      <c r="G451" s="203"/>
      <c r="H451" s="203"/>
      <c r="I451" s="203"/>
      <c r="J451" s="203"/>
      <c r="K451" s="203"/>
      <c r="L451" s="203"/>
      <c r="M451" s="203"/>
      <c r="N451" s="203"/>
      <c r="O451" s="203"/>
    </row>
    <row r="452" spans="1:15" s="220" customFormat="1" ht="15.75" customHeight="1" x14ac:dyDescent="0.2">
      <c r="A452" s="228"/>
      <c r="B452" s="228"/>
      <c r="C452" s="203"/>
      <c r="D452" s="203"/>
      <c r="E452" s="203"/>
      <c r="F452" s="203"/>
      <c r="G452" s="203"/>
      <c r="H452" s="203"/>
      <c r="I452" s="203"/>
      <c r="J452" s="203"/>
      <c r="K452" s="203"/>
      <c r="L452" s="203"/>
      <c r="M452" s="203"/>
      <c r="N452" s="203"/>
      <c r="O452" s="203"/>
    </row>
    <row r="453" spans="1:15" s="220" customFormat="1" ht="15.75" customHeight="1" x14ac:dyDescent="0.2">
      <c r="A453" s="228"/>
      <c r="B453" s="228"/>
      <c r="C453" s="203"/>
      <c r="D453" s="203"/>
      <c r="E453" s="203"/>
      <c r="F453" s="203"/>
      <c r="G453" s="203"/>
      <c r="H453" s="203"/>
      <c r="I453" s="203"/>
      <c r="J453" s="203"/>
      <c r="K453" s="203"/>
      <c r="L453" s="203"/>
      <c r="M453" s="203"/>
      <c r="N453" s="203"/>
      <c r="O453" s="203"/>
    </row>
    <row r="454" spans="1:15" s="220" customFormat="1" ht="15.75" customHeight="1" x14ac:dyDescent="0.2">
      <c r="A454" s="228"/>
      <c r="B454" s="228"/>
      <c r="C454" s="203"/>
      <c r="D454" s="203"/>
      <c r="E454" s="203"/>
      <c r="F454" s="203"/>
      <c r="G454" s="203"/>
      <c r="H454" s="203"/>
      <c r="I454" s="203"/>
      <c r="J454" s="203"/>
      <c r="K454" s="203"/>
      <c r="L454" s="203"/>
      <c r="M454" s="203"/>
      <c r="N454" s="203"/>
      <c r="O454" s="203"/>
    </row>
    <row r="455" spans="1:15" s="220" customFormat="1" ht="15.75" customHeight="1" x14ac:dyDescent="0.2">
      <c r="A455" s="228"/>
      <c r="B455" s="228"/>
      <c r="C455" s="203"/>
      <c r="D455" s="203"/>
      <c r="E455" s="203"/>
      <c r="F455" s="203"/>
      <c r="G455" s="203"/>
      <c r="H455" s="203"/>
      <c r="I455" s="203"/>
      <c r="J455" s="203"/>
      <c r="K455" s="203"/>
      <c r="L455" s="203"/>
      <c r="M455" s="203"/>
      <c r="N455" s="203"/>
      <c r="O455" s="203"/>
    </row>
    <row r="456" spans="1:15" s="220" customFormat="1" ht="15.75" customHeight="1" x14ac:dyDescent="0.2">
      <c r="A456" s="228"/>
      <c r="B456" s="228"/>
      <c r="C456" s="203"/>
      <c r="D456" s="203"/>
      <c r="E456" s="203"/>
      <c r="F456" s="203"/>
      <c r="G456" s="203"/>
      <c r="H456" s="203"/>
      <c r="I456" s="203"/>
      <c r="J456" s="203"/>
      <c r="K456" s="203"/>
      <c r="L456" s="203"/>
      <c r="M456" s="203"/>
      <c r="N456" s="203"/>
      <c r="O456" s="203"/>
    </row>
    <row r="457" spans="1:15" s="220" customFormat="1" ht="15.75" customHeight="1" x14ac:dyDescent="0.2">
      <c r="A457" s="228"/>
      <c r="B457" s="228"/>
      <c r="C457" s="203"/>
      <c r="D457" s="203"/>
      <c r="E457" s="203"/>
      <c r="F457" s="203"/>
      <c r="G457" s="203"/>
      <c r="H457" s="203"/>
      <c r="I457" s="203"/>
      <c r="J457" s="203"/>
      <c r="K457" s="203"/>
      <c r="L457" s="203"/>
      <c r="M457" s="203"/>
      <c r="N457" s="203"/>
      <c r="O457" s="203"/>
    </row>
    <row r="458" spans="1:15" s="220" customFormat="1" ht="15.75" customHeight="1" x14ac:dyDescent="0.2">
      <c r="A458" s="228"/>
      <c r="B458" s="228"/>
      <c r="C458" s="203"/>
      <c r="D458" s="203"/>
      <c r="E458" s="203"/>
      <c r="F458" s="203"/>
      <c r="G458" s="203"/>
      <c r="H458" s="203"/>
      <c r="I458" s="203"/>
      <c r="J458" s="203"/>
      <c r="K458" s="203"/>
      <c r="L458" s="203"/>
      <c r="M458" s="203"/>
      <c r="N458" s="203"/>
      <c r="O458" s="203"/>
    </row>
    <row r="459" spans="1:15" s="220" customFormat="1" ht="15.75" customHeight="1" x14ac:dyDescent="0.2">
      <c r="A459" s="228"/>
      <c r="B459" s="228"/>
      <c r="C459" s="203"/>
      <c r="D459" s="203"/>
      <c r="E459" s="203"/>
      <c r="F459" s="203"/>
      <c r="G459" s="203"/>
      <c r="H459" s="203"/>
      <c r="I459" s="203"/>
      <c r="J459" s="203"/>
      <c r="K459" s="203"/>
      <c r="L459" s="203"/>
      <c r="M459" s="203"/>
      <c r="N459" s="203"/>
      <c r="O459" s="203"/>
    </row>
    <row r="460" spans="1:15" s="220" customFormat="1" ht="15.75" customHeight="1" x14ac:dyDescent="0.2">
      <c r="A460" s="228"/>
      <c r="B460" s="228"/>
      <c r="C460" s="203"/>
      <c r="D460" s="203"/>
      <c r="E460" s="203"/>
      <c r="F460" s="203"/>
      <c r="G460" s="203"/>
      <c r="H460" s="203"/>
      <c r="I460" s="203"/>
      <c r="J460" s="203"/>
      <c r="K460" s="203"/>
      <c r="L460" s="203"/>
      <c r="M460" s="203"/>
      <c r="N460" s="203"/>
      <c r="O460" s="203"/>
    </row>
    <row r="461" spans="1:15" s="220" customFormat="1" ht="15.75" customHeight="1" x14ac:dyDescent="0.2">
      <c r="A461" s="228"/>
      <c r="B461" s="228"/>
      <c r="C461" s="203"/>
      <c r="D461" s="203"/>
      <c r="E461" s="203"/>
      <c r="F461" s="203"/>
      <c r="G461" s="203"/>
      <c r="H461" s="203"/>
      <c r="I461" s="203"/>
      <c r="J461" s="203"/>
      <c r="K461" s="203"/>
      <c r="L461" s="203"/>
      <c r="M461" s="203"/>
      <c r="N461" s="203"/>
      <c r="O461" s="203"/>
    </row>
    <row r="462" spans="1:15" s="220" customFormat="1" ht="15.75" customHeight="1" x14ac:dyDescent="0.2">
      <c r="A462" s="228"/>
      <c r="B462" s="228"/>
      <c r="C462" s="203"/>
      <c r="D462" s="203"/>
      <c r="E462" s="203"/>
      <c r="F462" s="203"/>
      <c r="G462" s="203"/>
      <c r="H462" s="203"/>
      <c r="I462" s="203"/>
      <c r="J462" s="203"/>
      <c r="K462" s="203"/>
      <c r="L462" s="203"/>
      <c r="M462" s="203"/>
      <c r="N462" s="203"/>
      <c r="O462" s="203"/>
    </row>
    <row r="463" spans="1:15" s="220" customFormat="1" ht="15.75" customHeight="1" x14ac:dyDescent="0.2">
      <c r="A463" s="228"/>
      <c r="B463" s="228"/>
      <c r="C463" s="203"/>
      <c r="D463" s="203"/>
      <c r="E463" s="203"/>
      <c r="F463" s="203"/>
      <c r="G463" s="203"/>
      <c r="H463" s="203"/>
      <c r="I463" s="203"/>
      <c r="J463" s="203"/>
      <c r="K463" s="203"/>
      <c r="L463" s="203"/>
      <c r="M463" s="203"/>
      <c r="N463" s="203"/>
      <c r="O463" s="203"/>
    </row>
    <row r="464" spans="1:15" s="220" customFormat="1" ht="15.75" customHeight="1" x14ac:dyDescent="0.2">
      <c r="A464" s="228"/>
      <c r="B464" s="228"/>
      <c r="C464" s="203"/>
      <c r="D464" s="203"/>
      <c r="E464" s="203"/>
      <c r="F464" s="203"/>
      <c r="G464" s="203"/>
      <c r="H464" s="203"/>
      <c r="I464" s="203"/>
      <c r="J464" s="203"/>
      <c r="K464" s="203"/>
      <c r="L464" s="203"/>
      <c r="M464" s="203"/>
      <c r="N464" s="203"/>
      <c r="O464" s="203"/>
    </row>
    <row r="465" spans="1:15" s="220" customFormat="1" ht="15.75" customHeight="1" x14ac:dyDescent="0.2">
      <c r="A465" s="228"/>
      <c r="B465" s="228"/>
      <c r="C465" s="203"/>
      <c r="D465" s="203"/>
      <c r="E465" s="203"/>
      <c r="F465" s="203"/>
      <c r="G465" s="203"/>
      <c r="H465" s="203"/>
      <c r="I465" s="203"/>
      <c r="J465" s="203"/>
      <c r="K465" s="203"/>
      <c r="L465" s="203"/>
      <c r="M465" s="203"/>
      <c r="N465" s="203"/>
      <c r="O465" s="203"/>
    </row>
    <row r="466" spans="1:15" s="220" customFormat="1" ht="15.75" customHeight="1" x14ac:dyDescent="0.2">
      <c r="A466" s="228"/>
      <c r="B466" s="228"/>
      <c r="C466" s="203"/>
      <c r="D466" s="203"/>
      <c r="E466" s="203"/>
      <c r="F466" s="203"/>
      <c r="G466" s="203"/>
      <c r="H466" s="203"/>
      <c r="I466" s="203"/>
      <c r="J466" s="203"/>
      <c r="K466" s="203"/>
      <c r="L466" s="203"/>
      <c r="M466" s="203"/>
      <c r="N466" s="203"/>
      <c r="O466" s="203"/>
    </row>
    <row r="467" spans="1:15" s="220" customFormat="1" ht="15.75" customHeight="1" x14ac:dyDescent="0.2">
      <c r="A467" s="228"/>
      <c r="B467" s="228"/>
      <c r="C467" s="203"/>
      <c r="D467" s="203"/>
      <c r="E467" s="203"/>
      <c r="F467" s="203"/>
      <c r="G467" s="203"/>
      <c r="H467" s="203"/>
      <c r="I467" s="203"/>
      <c r="J467" s="203"/>
      <c r="K467" s="203"/>
      <c r="L467" s="203"/>
      <c r="M467" s="203"/>
      <c r="N467" s="203"/>
      <c r="O467" s="203"/>
    </row>
    <row r="468" spans="1:15" s="220" customFormat="1" ht="15.75" customHeight="1" x14ac:dyDescent="0.2">
      <c r="A468" s="228"/>
      <c r="B468" s="228"/>
      <c r="C468" s="203"/>
      <c r="D468" s="203"/>
      <c r="E468" s="203"/>
      <c r="F468" s="203"/>
      <c r="G468" s="203"/>
      <c r="H468" s="203"/>
      <c r="I468" s="203"/>
      <c r="J468" s="203"/>
      <c r="K468" s="203"/>
      <c r="L468" s="203"/>
      <c r="M468" s="203"/>
      <c r="N468" s="203"/>
      <c r="O468" s="203"/>
    </row>
    <row r="469" spans="1:15" s="220" customFormat="1" ht="15.75" customHeight="1" x14ac:dyDescent="0.2">
      <c r="A469" s="228"/>
      <c r="B469" s="228"/>
      <c r="C469" s="203"/>
      <c r="D469" s="203"/>
      <c r="E469" s="203"/>
      <c r="F469" s="203"/>
      <c r="G469" s="203"/>
      <c r="H469" s="203"/>
      <c r="I469" s="203"/>
      <c r="J469" s="203"/>
      <c r="K469" s="203"/>
      <c r="L469" s="203"/>
      <c r="M469" s="203"/>
      <c r="N469" s="203"/>
      <c r="O469" s="203"/>
    </row>
    <row r="470" spans="1:15" s="220" customFormat="1" ht="15.75" customHeight="1" x14ac:dyDescent="0.2">
      <c r="A470" s="228"/>
      <c r="B470" s="228"/>
      <c r="C470" s="203"/>
      <c r="D470" s="203"/>
      <c r="E470" s="203"/>
      <c r="F470" s="203"/>
      <c r="G470" s="203"/>
      <c r="H470" s="203"/>
      <c r="I470" s="203"/>
      <c r="J470" s="203"/>
      <c r="K470" s="203"/>
      <c r="L470" s="203"/>
      <c r="M470" s="203"/>
      <c r="N470" s="203"/>
      <c r="O470" s="203"/>
    </row>
    <row r="471" spans="1:15" s="220" customFormat="1" ht="15.75" customHeight="1" x14ac:dyDescent="0.2">
      <c r="A471" s="228"/>
      <c r="B471" s="228"/>
      <c r="C471" s="203"/>
      <c r="D471" s="203"/>
      <c r="E471" s="203"/>
      <c r="F471" s="203"/>
      <c r="G471" s="203"/>
      <c r="H471" s="203"/>
      <c r="I471" s="203"/>
      <c r="J471" s="203"/>
      <c r="K471" s="203"/>
      <c r="L471" s="203"/>
      <c r="M471" s="203"/>
      <c r="N471" s="203"/>
      <c r="O471" s="203"/>
    </row>
    <row r="472" spans="1:15" s="220" customFormat="1" ht="15.75" customHeight="1" x14ac:dyDescent="0.2">
      <c r="A472" s="228"/>
      <c r="B472" s="228"/>
      <c r="C472" s="203"/>
      <c r="D472" s="203"/>
      <c r="E472" s="203"/>
      <c r="F472" s="203"/>
      <c r="G472" s="203"/>
      <c r="H472" s="203"/>
      <c r="I472" s="203"/>
      <c r="J472" s="203"/>
      <c r="K472" s="203"/>
      <c r="L472" s="203"/>
      <c r="M472" s="203"/>
      <c r="N472" s="203"/>
      <c r="O472" s="203"/>
    </row>
    <row r="473" spans="1:15" s="220" customFormat="1" ht="15.75" customHeight="1" x14ac:dyDescent="0.2">
      <c r="A473" s="228"/>
      <c r="B473" s="228"/>
      <c r="C473" s="203"/>
      <c r="D473" s="203"/>
      <c r="E473" s="203"/>
      <c r="F473" s="203"/>
      <c r="G473" s="203"/>
      <c r="H473" s="203"/>
      <c r="I473" s="203"/>
      <c r="J473" s="203"/>
      <c r="K473" s="203"/>
      <c r="L473" s="203"/>
      <c r="M473" s="203"/>
      <c r="N473" s="203"/>
      <c r="O473" s="203"/>
    </row>
    <row r="474" spans="1:15" s="220" customFormat="1" ht="15.75" customHeight="1" x14ac:dyDescent="0.2">
      <c r="A474" s="228"/>
      <c r="B474" s="228"/>
      <c r="C474" s="203"/>
      <c r="D474" s="203"/>
      <c r="E474" s="203"/>
      <c r="F474" s="203"/>
      <c r="G474" s="203"/>
      <c r="H474" s="203"/>
      <c r="I474" s="203"/>
      <c r="J474" s="203"/>
      <c r="K474" s="203"/>
      <c r="L474" s="203"/>
      <c r="M474" s="203"/>
      <c r="N474" s="203"/>
      <c r="O474" s="203"/>
    </row>
    <row r="475" spans="1:15" s="220" customFormat="1" ht="15.75" customHeight="1" x14ac:dyDescent="0.2">
      <c r="A475" s="228"/>
      <c r="B475" s="228"/>
      <c r="C475" s="203"/>
      <c r="D475" s="203"/>
      <c r="E475" s="203"/>
      <c r="F475" s="203"/>
      <c r="G475" s="203"/>
      <c r="H475" s="203"/>
      <c r="I475" s="203"/>
      <c r="J475" s="203"/>
      <c r="K475" s="203"/>
      <c r="L475" s="203"/>
      <c r="M475" s="203"/>
      <c r="N475" s="203"/>
      <c r="O475" s="203"/>
    </row>
    <row r="476" spans="1:15" s="220" customFormat="1" ht="15.75" customHeight="1" x14ac:dyDescent="0.2">
      <c r="A476" s="228"/>
      <c r="B476" s="228"/>
      <c r="C476" s="203"/>
      <c r="D476" s="203"/>
      <c r="E476" s="203"/>
      <c r="F476" s="203"/>
      <c r="G476" s="203"/>
      <c r="H476" s="203"/>
      <c r="I476" s="203"/>
      <c r="J476" s="203"/>
      <c r="K476" s="203"/>
      <c r="L476" s="203"/>
      <c r="M476" s="203"/>
      <c r="N476" s="203"/>
      <c r="O476" s="203"/>
    </row>
    <row r="477" spans="1:15" s="220" customFormat="1" ht="15.75" customHeight="1" x14ac:dyDescent="0.2">
      <c r="A477" s="228"/>
      <c r="B477" s="228"/>
      <c r="C477" s="203"/>
      <c r="D477" s="203"/>
      <c r="E477" s="203"/>
      <c r="F477" s="203"/>
      <c r="G477" s="203"/>
      <c r="H477" s="203"/>
      <c r="I477" s="203"/>
      <c r="J477" s="203"/>
      <c r="K477" s="203"/>
      <c r="L477" s="203"/>
      <c r="M477" s="203"/>
      <c r="N477" s="203"/>
      <c r="O477" s="203"/>
    </row>
    <row r="478" spans="1:15" s="220" customFormat="1" ht="15.75" customHeight="1" x14ac:dyDescent="0.2">
      <c r="A478" s="228"/>
      <c r="B478" s="228"/>
      <c r="C478" s="203"/>
      <c r="D478" s="203"/>
      <c r="E478" s="203"/>
      <c r="F478" s="203"/>
      <c r="G478" s="203"/>
      <c r="H478" s="203"/>
      <c r="I478" s="203"/>
      <c r="J478" s="203"/>
      <c r="K478" s="203"/>
      <c r="L478" s="203"/>
      <c r="M478" s="203"/>
      <c r="N478" s="203"/>
      <c r="O478" s="203"/>
    </row>
    <row r="479" spans="1:15" s="220" customFormat="1" ht="15.75" customHeight="1" x14ac:dyDescent="0.2">
      <c r="A479" s="228"/>
      <c r="B479" s="228"/>
      <c r="C479" s="203"/>
      <c r="D479" s="203"/>
      <c r="E479" s="203"/>
      <c r="F479" s="203"/>
      <c r="G479" s="203"/>
      <c r="H479" s="203"/>
      <c r="I479" s="203"/>
      <c r="J479" s="203"/>
      <c r="K479" s="203"/>
      <c r="L479" s="203"/>
      <c r="M479" s="203"/>
      <c r="N479" s="203"/>
      <c r="O479" s="203"/>
    </row>
    <row r="480" spans="1:15" s="220" customFormat="1" ht="15.75" customHeight="1" x14ac:dyDescent="0.2">
      <c r="A480" s="228"/>
      <c r="B480" s="228"/>
      <c r="C480" s="203"/>
      <c r="D480" s="203"/>
      <c r="E480" s="203"/>
      <c r="F480" s="203"/>
      <c r="G480" s="203"/>
      <c r="H480" s="203"/>
      <c r="I480" s="203"/>
      <c r="J480" s="203"/>
      <c r="K480" s="203"/>
      <c r="L480" s="203"/>
      <c r="M480" s="203"/>
      <c r="N480" s="203"/>
      <c r="O480" s="203"/>
    </row>
    <row r="481" spans="1:15" s="220" customFormat="1" ht="15.75" customHeight="1" x14ac:dyDescent="0.2">
      <c r="A481" s="228"/>
      <c r="B481" s="228"/>
      <c r="C481" s="203"/>
      <c r="D481" s="203"/>
      <c r="E481" s="203"/>
      <c r="F481" s="203"/>
      <c r="G481" s="203"/>
      <c r="H481" s="203"/>
      <c r="I481" s="203"/>
      <c r="J481" s="203"/>
      <c r="K481" s="203"/>
      <c r="L481" s="203"/>
      <c r="M481" s="203"/>
      <c r="N481" s="203"/>
      <c r="O481" s="203"/>
    </row>
    <row r="482" spans="1:15" s="220" customFormat="1" ht="15.75" customHeight="1" x14ac:dyDescent="0.2">
      <c r="A482" s="228"/>
      <c r="B482" s="228"/>
      <c r="C482" s="203"/>
      <c r="D482" s="203"/>
      <c r="E482" s="203"/>
      <c r="F482" s="203"/>
      <c r="G482" s="203"/>
      <c r="H482" s="203"/>
      <c r="I482" s="203"/>
      <c r="J482" s="203"/>
      <c r="K482" s="203"/>
      <c r="L482" s="203"/>
      <c r="M482" s="203"/>
      <c r="N482" s="203"/>
      <c r="O482" s="203"/>
    </row>
    <row r="483" spans="1:15" s="220" customFormat="1" ht="15.75" customHeight="1" x14ac:dyDescent="0.2">
      <c r="A483" s="228"/>
      <c r="B483" s="228"/>
      <c r="C483" s="203"/>
      <c r="D483" s="203"/>
      <c r="E483" s="203"/>
      <c r="F483" s="203"/>
      <c r="G483" s="203"/>
      <c r="H483" s="203"/>
      <c r="I483" s="203"/>
      <c r="J483" s="203"/>
      <c r="K483" s="203"/>
      <c r="L483" s="203"/>
      <c r="M483" s="203"/>
      <c r="N483" s="203"/>
      <c r="O483" s="203"/>
    </row>
    <row r="484" spans="1:15" s="220" customFormat="1" ht="15.75" customHeight="1" x14ac:dyDescent="0.2">
      <c r="A484" s="228"/>
      <c r="B484" s="228"/>
      <c r="C484" s="203"/>
      <c r="D484" s="203"/>
      <c r="E484" s="203"/>
      <c r="F484" s="203"/>
      <c r="G484" s="203"/>
      <c r="H484" s="203"/>
      <c r="I484" s="203"/>
      <c r="J484" s="203"/>
      <c r="K484" s="203"/>
      <c r="L484" s="203"/>
      <c r="M484" s="203"/>
      <c r="N484" s="203"/>
      <c r="O484" s="203"/>
    </row>
    <row r="485" spans="1:15" s="220" customFormat="1" ht="15.75" customHeight="1" x14ac:dyDescent="0.2">
      <c r="A485" s="228"/>
      <c r="B485" s="228"/>
      <c r="C485" s="203"/>
      <c r="D485" s="203"/>
      <c r="E485" s="203"/>
      <c r="F485" s="203"/>
      <c r="G485" s="203"/>
      <c r="H485" s="203"/>
      <c r="I485" s="203"/>
      <c r="J485" s="203"/>
      <c r="K485" s="203"/>
      <c r="L485" s="203"/>
      <c r="M485" s="203"/>
      <c r="N485" s="203"/>
      <c r="O485" s="203"/>
    </row>
    <row r="486" spans="1:15" s="220" customFormat="1" ht="15.75" customHeight="1" x14ac:dyDescent="0.2">
      <c r="A486" s="228"/>
      <c r="B486" s="228"/>
      <c r="C486" s="203"/>
      <c r="D486" s="203"/>
      <c r="E486" s="203"/>
      <c r="F486" s="203"/>
      <c r="G486" s="203"/>
      <c r="H486" s="203"/>
      <c r="I486" s="203"/>
      <c r="J486" s="203"/>
      <c r="K486" s="203"/>
      <c r="L486" s="203"/>
      <c r="M486" s="203"/>
      <c r="N486" s="203"/>
      <c r="O486" s="203"/>
    </row>
    <row r="487" spans="1:15" s="220" customFormat="1" ht="15.75" customHeight="1" x14ac:dyDescent="0.2">
      <c r="A487" s="228"/>
      <c r="B487" s="228"/>
      <c r="C487" s="203"/>
      <c r="D487" s="203"/>
      <c r="E487" s="203"/>
      <c r="F487" s="203"/>
      <c r="G487" s="203"/>
      <c r="H487" s="203"/>
      <c r="I487" s="203"/>
      <c r="J487" s="203"/>
      <c r="K487" s="203"/>
      <c r="L487" s="203"/>
      <c r="M487" s="203"/>
      <c r="N487" s="203"/>
      <c r="O487" s="203"/>
    </row>
    <row r="488" spans="1:15" s="220" customFormat="1" ht="15.75" customHeight="1" x14ac:dyDescent="0.2">
      <c r="A488" s="228"/>
      <c r="B488" s="228"/>
      <c r="C488" s="203"/>
      <c r="D488" s="203"/>
      <c r="E488" s="203"/>
      <c r="F488" s="203"/>
      <c r="G488" s="203"/>
      <c r="H488" s="203"/>
      <c r="I488" s="203"/>
      <c r="J488" s="203"/>
      <c r="K488" s="203"/>
      <c r="L488" s="203"/>
      <c r="M488" s="203"/>
      <c r="N488" s="203"/>
      <c r="O488" s="203"/>
    </row>
    <row r="489" spans="1:15" s="220" customFormat="1" ht="15.75" customHeight="1" x14ac:dyDescent="0.2">
      <c r="A489" s="228"/>
      <c r="B489" s="228"/>
      <c r="C489" s="203"/>
      <c r="D489" s="203"/>
      <c r="E489" s="203"/>
      <c r="F489" s="203"/>
      <c r="G489" s="203"/>
      <c r="H489" s="203"/>
      <c r="I489" s="203"/>
      <c r="J489" s="203"/>
      <c r="K489" s="203"/>
      <c r="L489" s="203"/>
      <c r="M489" s="203"/>
      <c r="N489" s="203"/>
      <c r="O489" s="203"/>
    </row>
    <row r="490" spans="1:15" s="220" customFormat="1" ht="15.75" customHeight="1" x14ac:dyDescent="0.2">
      <c r="A490" s="228"/>
      <c r="B490" s="228"/>
      <c r="C490" s="203"/>
      <c r="D490" s="203"/>
      <c r="E490" s="203"/>
      <c r="F490" s="203"/>
      <c r="G490" s="203"/>
      <c r="H490" s="203"/>
      <c r="I490" s="203"/>
      <c r="J490" s="203"/>
      <c r="K490" s="203"/>
      <c r="L490" s="203"/>
      <c r="M490" s="203"/>
      <c r="N490" s="203"/>
      <c r="O490" s="203"/>
    </row>
    <row r="491" spans="1:15" s="220" customFormat="1" ht="15.75" customHeight="1" x14ac:dyDescent="0.2">
      <c r="A491" s="228"/>
      <c r="B491" s="228"/>
      <c r="C491" s="203"/>
      <c r="D491" s="203"/>
      <c r="E491" s="203"/>
      <c r="F491" s="203"/>
      <c r="G491" s="203"/>
      <c r="H491" s="203"/>
      <c r="I491" s="203"/>
      <c r="J491" s="203"/>
      <c r="K491" s="203"/>
      <c r="L491" s="203"/>
      <c r="M491" s="203"/>
      <c r="N491" s="203"/>
      <c r="O491" s="203"/>
    </row>
    <row r="492" spans="1:15" s="220" customFormat="1" ht="15.75" customHeight="1" x14ac:dyDescent="0.2">
      <c r="A492" s="228"/>
      <c r="B492" s="228"/>
      <c r="C492" s="203"/>
      <c r="D492" s="203"/>
      <c r="E492" s="203"/>
      <c r="F492" s="203"/>
      <c r="G492" s="203"/>
      <c r="H492" s="203"/>
      <c r="I492" s="203"/>
      <c r="J492" s="203"/>
      <c r="K492" s="203"/>
      <c r="L492" s="203"/>
      <c r="M492" s="203"/>
      <c r="N492" s="203"/>
      <c r="O492" s="203"/>
    </row>
    <row r="493" spans="1:15" s="220" customFormat="1" ht="15.75" customHeight="1" x14ac:dyDescent="0.2">
      <c r="A493" s="228"/>
      <c r="B493" s="228"/>
      <c r="C493" s="203"/>
      <c r="D493" s="203"/>
      <c r="E493" s="203"/>
      <c r="F493" s="203"/>
      <c r="G493" s="203"/>
      <c r="H493" s="203"/>
      <c r="I493" s="203"/>
      <c r="J493" s="203"/>
      <c r="K493" s="203"/>
      <c r="L493" s="203"/>
      <c r="M493" s="203"/>
      <c r="N493" s="203"/>
      <c r="O493" s="203"/>
    </row>
    <row r="494" spans="1:15" s="220" customFormat="1" ht="15.75" customHeight="1" x14ac:dyDescent="0.2">
      <c r="A494" s="228"/>
      <c r="B494" s="228"/>
      <c r="C494" s="203"/>
      <c r="D494" s="203"/>
      <c r="E494" s="203"/>
      <c r="F494" s="203"/>
      <c r="G494" s="203"/>
      <c r="H494" s="203"/>
      <c r="I494" s="203"/>
      <c r="J494" s="203"/>
      <c r="K494" s="203"/>
      <c r="L494" s="203"/>
      <c r="M494" s="203"/>
      <c r="N494" s="203"/>
      <c r="O494" s="203"/>
    </row>
    <row r="495" spans="1:15" s="220" customFormat="1" ht="15.75" customHeight="1" x14ac:dyDescent="0.2">
      <c r="A495" s="228"/>
      <c r="B495" s="228"/>
      <c r="C495" s="203"/>
      <c r="D495" s="203"/>
      <c r="E495" s="203"/>
      <c r="F495" s="203"/>
      <c r="G495" s="203"/>
      <c r="H495" s="203"/>
      <c r="I495" s="203"/>
      <c r="J495" s="203"/>
      <c r="K495" s="203"/>
      <c r="L495" s="203"/>
      <c r="M495" s="203"/>
      <c r="N495" s="203"/>
      <c r="O495" s="203"/>
    </row>
    <row r="496" spans="1:15" s="220" customFormat="1" ht="15.75" customHeight="1" x14ac:dyDescent="0.2">
      <c r="A496" s="228"/>
      <c r="B496" s="228"/>
      <c r="C496" s="203"/>
      <c r="D496" s="203"/>
      <c r="E496" s="203"/>
      <c r="F496" s="203"/>
      <c r="G496" s="203"/>
      <c r="H496" s="203"/>
      <c r="I496" s="203"/>
      <c r="J496" s="203"/>
      <c r="K496" s="203"/>
      <c r="L496" s="203"/>
      <c r="M496" s="203"/>
      <c r="N496" s="203"/>
      <c r="O496" s="203"/>
    </row>
    <row r="497" spans="1:15" s="220" customFormat="1" ht="15.75" customHeight="1" x14ac:dyDescent="0.2">
      <c r="A497" s="228"/>
      <c r="B497" s="228"/>
      <c r="C497" s="203"/>
      <c r="D497" s="203"/>
      <c r="E497" s="203"/>
      <c r="F497" s="203"/>
      <c r="G497" s="203"/>
      <c r="H497" s="203"/>
      <c r="I497" s="203"/>
      <c r="J497" s="203"/>
      <c r="K497" s="203"/>
      <c r="L497" s="203"/>
      <c r="M497" s="203"/>
      <c r="N497" s="203"/>
      <c r="O497" s="203"/>
    </row>
    <row r="498" spans="1:15" s="220" customFormat="1" ht="15.75" customHeight="1" x14ac:dyDescent="0.2">
      <c r="A498" s="228"/>
      <c r="B498" s="228"/>
      <c r="C498" s="203"/>
      <c r="D498" s="203"/>
      <c r="E498" s="203"/>
      <c r="F498" s="203"/>
      <c r="G498" s="203"/>
      <c r="H498" s="203"/>
      <c r="I498" s="203"/>
      <c r="J498" s="203"/>
      <c r="K498" s="203"/>
      <c r="L498" s="203"/>
      <c r="M498" s="203"/>
      <c r="N498" s="203"/>
      <c r="O498" s="203"/>
    </row>
    <row r="499" spans="1:15" s="220" customFormat="1" ht="15.75" customHeight="1" x14ac:dyDescent="0.2">
      <c r="A499" s="228"/>
      <c r="B499" s="228"/>
      <c r="C499" s="203"/>
      <c r="D499" s="203"/>
      <c r="E499" s="203"/>
      <c r="F499" s="203"/>
      <c r="G499" s="203"/>
      <c r="H499" s="203"/>
      <c r="I499" s="203"/>
      <c r="J499" s="203"/>
      <c r="K499" s="203"/>
      <c r="L499" s="203"/>
      <c r="M499" s="203"/>
      <c r="N499" s="203"/>
      <c r="O499" s="203"/>
    </row>
    <row r="500" spans="1:15" s="220" customFormat="1" ht="15.75" customHeight="1" x14ac:dyDescent="0.2">
      <c r="A500" s="228"/>
      <c r="B500" s="228"/>
      <c r="C500" s="203"/>
      <c r="D500" s="203"/>
      <c r="E500" s="203"/>
      <c r="F500" s="203"/>
      <c r="G500" s="203"/>
      <c r="H500" s="203"/>
      <c r="I500" s="203"/>
      <c r="J500" s="203"/>
      <c r="K500" s="203"/>
      <c r="L500" s="203"/>
      <c r="M500" s="203"/>
      <c r="N500" s="203"/>
      <c r="O500" s="203"/>
    </row>
    <row r="501" spans="1:15" s="220" customFormat="1" ht="15.75" customHeight="1" x14ac:dyDescent="0.2">
      <c r="A501" s="228"/>
      <c r="B501" s="228"/>
      <c r="C501" s="203"/>
      <c r="D501" s="203"/>
      <c r="E501" s="203"/>
      <c r="F501" s="203"/>
      <c r="G501" s="203"/>
      <c r="H501" s="203"/>
      <c r="I501" s="203"/>
      <c r="J501" s="203"/>
      <c r="K501" s="203"/>
      <c r="L501" s="203"/>
      <c r="M501" s="203"/>
      <c r="N501" s="203"/>
      <c r="O501" s="203"/>
    </row>
    <row r="502" spans="1:15" s="220" customFormat="1" ht="15.75" customHeight="1" x14ac:dyDescent="0.2">
      <c r="A502" s="228"/>
      <c r="B502" s="228"/>
      <c r="C502" s="203"/>
      <c r="D502" s="203"/>
      <c r="E502" s="203"/>
      <c r="F502" s="203"/>
      <c r="G502" s="203"/>
      <c r="H502" s="203"/>
      <c r="I502" s="203"/>
      <c r="J502" s="203"/>
      <c r="K502" s="203"/>
      <c r="L502" s="203"/>
      <c r="M502" s="203"/>
      <c r="N502" s="203"/>
      <c r="O502" s="203"/>
    </row>
    <row r="503" spans="1:15" s="220" customFormat="1" ht="15.75" customHeight="1" x14ac:dyDescent="0.2">
      <c r="A503" s="228"/>
      <c r="B503" s="228"/>
      <c r="C503" s="203"/>
      <c r="D503" s="203"/>
      <c r="E503" s="203"/>
      <c r="F503" s="203"/>
      <c r="G503" s="203"/>
      <c r="H503" s="203"/>
      <c r="I503" s="203"/>
      <c r="J503" s="203"/>
      <c r="K503" s="203"/>
      <c r="L503" s="203"/>
      <c r="M503" s="203"/>
      <c r="N503" s="203"/>
      <c r="O503" s="203"/>
    </row>
    <row r="504" spans="1:15" s="220" customFormat="1" ht="15.75" customHeight="1" x14ac:dyDescent="0.2">
      <c r="A504" s="228"/>
      <c r="B504" s="228"/>
      <c r="C504" s="203"/>
      <c r="D504" s="203"/>
      <c r="E504" s="203"/>
      <c r="F504" s="203"/>
      <c r="G504" s="203"/>
      <c r="H504" s="203"/>
      <c r="I504" s="203"/>
      <c r="J504" s="203"/>
      <c r="K504" s="203"/>
      <c r="L504" s="203"/>
      <c r="M504" s="203"/>
      <c r="N504" s="203"/>
      <c r="O504" s="203"/>
    </row>
    <row r="505" spans="1:15" s="220" customFormat="1" ht="15.75" customHeight="1" x14ac:dyDescent="0.2">
      <c r="A505" s="228"/>
      <c r="B505" s="228"/>
      <c r="C505" s="203"/>
      <c r="D505" s="203"/>
      <c r="E505" s="203"/>
      <c r="F505" s="203"/>
      <c r="G505" s="203"/>
      <c r="H505" s="203"/>
      <c r="I505" s="203"/>
      <c r="J505" s="203"/>
      <c r="K505" s="203"/>
      <c r="L505" s="203"/>
      <c r="M505" s="203"/>
      <c r="N505" s="203"/>
      <c r="O505" s="203"/>
    </row>
    <row r="506" spans="1:15" s="220" customFormat="1" ht="15.75" customHeight="1" x14ac:dyDescent="0.2">
      <c r="A506" s="228"/>
      <c r="B506" s="228"/>
      <c r="C506" s="203"/>
      <c r="D506" s="203"/>
      <c r="E506" s="203"/>
      <c r="F506" s="203"/>
      <c r="G506" s="203"/>
      <c r="H506" s="203"/>
      <c r="I506" s="203"/>
      <c r="J506" s="203"/>
      <c r="K506" s="203"/>
      <c r="L506" s="203"/>
      <c r="M506" s="203"/>
      <c r="N506" s="203"/>
      <c r="O506" s="203"/>
    </row>
    <row r="507" spans="1:15" s="220" customFormat="1" ht="15.75" customHeight="1" x14ac:dyDescent="0.2">
      <c r="A507" s="228"/>
      <c r="B507" s="228"/>
      <c r="C507" s="203"/>
      <c r="D507" s="203"/>
      <c r="E507" s="203"/>
      <c r="F507" s="203"/>
      <c r="G507" s="203"/>
      <c r="H507" s="203"/>
      <c r="I507" s="203"/>
      <c r="J507" s="203"/>
      <c r="K507" s="203"/>
      <c r="L507" s="203"/>
      <c r="M507" s="203"/>
      <c r="N507" s="203"/>
      <c r="O507" s="203"/>
    </row>
    <row r="508" spans="1:15" s="220" customFormat="1" ht="15.75" customHeight="1" x14ac:dyDescent="0.2">
      <c r="A508" s="228"/>
      <c r="B508" s="228"/>
      <c r="C508" s="203"/>
      <c r="D508" s="203"/>
      <c r="E508" s="203"/>
      <c r="F508" s="203"/>
      <c r="G508" s="203"/>
      <c r="H508" s="203"/>
      <c r="I508" s="203"/>
      <c r="J508" s="203"/>
      <c r="K508" s="203"/>
      <c r="L508" s="203"/>
      <c r="M508" s="203"/>
      <c r="N508" s="203"/>
      <c r="O508" s="203"/>
    </row>
    <row r="509" spans="1:15" s="220" customFormat="1" ht="15.75" customHeight="1" x14ac:dyDescent="0.2">
      <c r="A509" s="228"/>
      <c r="B509" s="228"/>
      <c r="C509" s="203"/>
      <c r="D509" s="203"/>
      <c r="E509" s="203"/>
      <c r="F509" s="203"/>
      <c r="G509" s="203"/>
      <c r="H509" s="203"/>
      <c r="I509" s="203"/>
      <c r="J509" s="203"/>
      <c r="K509" s="203"/>
      <c r="L509" s="203"/>
      <c r="M509" s="203"/>
      <c r="N509" s="203"/>
      <c r="O509" s="203"/>
    </row>
    <row r="510" spans="1:15" s="220" customFormat="1" ht="15.75" customHeight="1" x14ac:dyDescent="0.2">
      <c r="A510" s="228"/>
      <c r="B510" s="228"/>
      <c r="C510" s="203"/>
      <c r="D510" s="203"/>
      <c r="E510" s="203"/>
      <c r="F510" s="203"/>
      <c r="G510" s="203"/>
      <c r="H510" s="203"/>
      <c r="I510" s="203"/>
      <c r="J510" s="203"/>
      <c r="K510" s="203"/>
      <c r="L510" s="203"/>
      <c r="M510" s="203"/>
      <c r="N510" s="203"/>
      <c r="O510" s="203"/>
    </row>
    <row r="511" spans="1:15" s="220" customFormat="1" ht="15.75" customHeight="1" x14ac:dyDescent="0.2">
      <c r="A511" s="228"/>
      <c r="B511" s="228"/>
      <c r="C511" s="203"/>
      <c r="D511" s="203"/>
      <c r="E511" s="203"/>
      <c r="F511" s="203"/>
      <c r="G511" s="203"/>
      <c r="H511" s="203"/>
      <c r="I511" s="203"/>
      <c r="J511" s="203"/>
      <c r="K511" s="203"/>
      <c r="L511" s="203"/>
      <c r="M511" s="203"/>
      <c r="N511" s="203"/>
      <c r="O511" s="203"/>
    </row>
    <row r="512" spans="1:15" s="220" customFormat="1" ht="15.75" customHeight="1" x14ac:dyDescent="0.2">
      <c r="A512" s="228"/>
      <c r="B512" s="228"/>
      <c r="C512" s="203"/>
      <c r="D512" s="203"/>
      <c r="E512" s="203"/>
      <c r="F512" s="203"/>
      <c r="G512" s="203"/>
      <c r="H512" s="203"/>
      <c r="I512" s="203"/>
      <c r="J512" s="203"/>
      <c r="K512" s="203"/>
      <c r="L512" s="203"/>
      <c r="M512" s="203"/>
      <c r="N512" s="203"/>
      <c r="O512" s="203"/>
    </row>
    <row r="513" spans="1:15" s="220" customFormat="1" ht="15.75" customHeight="1" x14ac:dyDescent="0.2">
      <c r="A513" s="228"/>
      <c r="B513" s="228"/>
      <c r="C513" s="203"/>
      <c r="D513" s="203"/>
      <c r="E513" s="203"/>
      <c r="F513" s="203"/>
      <c r="G513" s="203"/>
      <c r="H513" s="203"/>
      <c r="I513" s="203"/>
      <c r="J513" s="203"/>
      <c r="K513" s="203"/>
      <c r="L513" s="203"/>
      <c r="M513" s="203"/>
      <c r="N513" s="203"/>
      <c r="O513" s="203"/>
    </row>
    <row r="514" spans="1:15" s="220" customFormat="1" ht="15.75" customHeight="1" x14ac:dyDescent="0.2">
      <c r="A514" s="228"/>
      <c r="B514" s="228"/>
      <c r="C514" s="203"/>
      <c r="D514" s="203"/>
      <c r="E514" s="203"/>
      <c r="F514" s="203"/>
      <c r="G514" s="203"/>
      <c r="H514" s="203"/>
      <c r="I514" s="203"/>
      <c r="J514" s="203"/>
      <c r="K514" s="203"/>
      <c r="L514" s="203"/>
      <c r="M514" s="203"/>
      <c r="N514" s="203"/>
      <c r="O514" s="203"/>
    </row>
    <row r="515" spans="1:15" s="220" customFormat="1" ht="15.75" customHeight="1" x14ac:dyDescent="0.2">
      <c r="A515" s="228"/>
      <c r="B515" s="228"/>
      <c r="C515" s="203"/>
      <c r="D515" s="203"/>
      <c r="E515" s="203"/>
      <c r="F515" s="203"/>
      <c r="G515" s="203"/>
      <c r="H515" s="203"/>
      <c r="I515" s="203"/>
      <c r="J515" s="203"/>
      <c r="K515" s="203"/>
      <c r="L515" s="203"/>
      <c r="M515" s="203"/>
      <c r="N515" s="203"/>
      <c r="O515" s="203"/>
    </row>
    <row r="516" spans="1:15" s="220" customFormat="1" ht="15.75" customHeight="1" x14ac:dyDescent="0.2">
      <c r="A516" s="228"/>
      <c r="B516" s="228"/>
      <c r="C516" s="203"/>
      <c r="D516" s="203"/>
      <c r="E516" s="203"/>
      <c r="F516" s="203"/>
      <c r="G516" s="203"/>
      <c r="H516" s="203"/>
      <c r="I516" s="203"/>
      <c r="J516" s="203"/>
      <c r="K516" s="203"/>
      <c r="L516" s="203"/>
      <c r="M516" s="203"/>
      <c r="N516" s="203"/>
      <c r="O516" s="203"/>
    </row>
    <row r="517" spans="1:15" s="220" customFormat="1" ht="15.75" customHeight="1" x14ac:dyDescent="0.2">
      <c r="A517" s="228"/>
      <c r="B517" s="228"/>
      <c r="C517" s="203"/>
      <c r="D517" s="203"/>
      <c r="E517" s="203"/>
      <c r="F517" s="203"/>
      <c r="G517" s="203"/>
      <c r="H517" s="203"/>
      <c r="I517" s="203"/>
      <c r="J517" s="203"/>
      <c r="K517" s="203"/>
      <c r="L517" s="203"/>
      <c r="M517" s="203"/>
      <c r="N517" s="203"/>
      <c r="O517" s="203"/>
    </row>
    <row r="518" spans="1:15" s="220" customFormat="1" ht="15.75" customHeight="1" x14ac:dyDescent="0.2">
      <c r="A518" s="228"/>
      <c r="B518" s="228"/>
      <c r="C518" s="203"/>
      <c r="D518" s="203"/>
      <c r="E518" s="203"/>
      <c r="F518" s="203"/>
      <c r="G518" s="203"/>
      <c r="H518" s="203"/>
      <c r="I518" s="203"/>
      <c r="J518" s="203"/>
      <c r="K518" s="203"/>
      <c r="L518" s="203"/>
      <c r="M518" s="203"/>
      <c r="N518" s="203"/>
      <c r="O518" s="203"/>
    </row>
    <row r="519" spans="1:15" s="220" customFormat="1" ht="15.75" customHeight="1" x14ac:dyDescent="0.2">
      <c r="A519" s="228"/>
      <c r="B519" s="228"/>
      <c r="C519" s="203"/>
      <c r="D519" s="203"/>
      <c r="E519" s="203"/>
      <c r="F519" s="203"/>
      <c r="G519" s="203"/>
      <c r="H519" s="203"/>
      <c r="I519" s="203"/>
      <c r="J519" s="203"/>
      <c r="K519" s="203"/>
      <c r="L519" s="203"/>
      <c r="M519" s="203"/>
      <c r="N519" s="203"/>
      <c r="O519" s="203"/>
    </row>
    <row r="520" spans="1:15" s="220" customFormat="1" ht="15.75" customHeight="1" x14ac:dyDescent="0.2">
      <c r="A520" s="228"/>
      <c r="B520" s="228"/>
      <c r="C520" s="203"/>
      <c r="D520" s="203"/>
      <c r="E520" s="203"/>
      <c r="F520" s="203"/>
      <c r="G520" s="203"/>
      <c r="H520" s="203"/>
      <c r="I520" s="203"/>
      <c r="J520" s="203"/>
      <c r="K520" s="203"/>
      <c r="L520" s="203"/>
      <c r="M520" s="203"/>
      <c r="N520" s="203"/>
      <c r="O520" s="203"/>
    </row>
    <row r="521" spans="1:15" s="220" customFormat="1" ht="15.75" customHeight="1" x14ac:dyDescent="0.2">
      <c r="A521" s="228"/>
      <c r="B521" s="228"/>
      <c r="C521" s="203"/>
      <c r="D521" s="203"/>
      <c r="E521" s="203"/>
      <c r="F521" s="203"/>
      <c r="G521" s="203"/>
      <c r="H521" s="203"/>
      <c r="I521" s="203"/>
      <c r="J521" s="203"/>
      <c r="K521" s="203"/>
      <c r="L521" s="203"/>
      <c r="M521" s="203"/>
      <c r="N521" s="203"/>
      <c r="O521" s="203"/>
    </row>
    <row r="522" spans="1:15" s="220" customFormat="1" ht="15.75" customHeight="1" x14ac:dyDescent="0.2">
      <c r="A522" s="228"/>
      <c r="B522" s="228"/>
      <c r="C522" s="203"/>
      <c r="D522" s="203"/>
      <c r="E522" s="203"/>
      <c r="F522" s="203"/>
      <c r="G522" s="203"/>
      <c r="H522" s="203"/>
      <c r="I522" s="203"/>
      <c r="J522" s="203"/>
      <c r="K522" s="203"/>
      <c r="L522" s="203"/>
      <c r="M522" s="203"/>
      <c r="N522" s="203"/>
      <c r="O522" s="203"/>
    </row>
    <row r="523" spans="1:15" s="220" customFormat="1" ht="15.75" customHeight="1" x14ac:dyDescent="0.2">
      <c r="A523" s="228"/>
      <c r="B523" s="228"/>
      <c r="C523" s="203"/>
      <c r="D523" s="203"/>
      <c r="E523" s="203"/>
      <c r="F523" s="203"/>
      <c r="G523" s="203"/>
      <c r="H523" s="203"/>
      <c r="I523" s="203"/>
      <c r="J523" s="203"/>
      <c r="K523" s="203"/>
      <c r="L523" s="203"/>
      <c r="M523" s="203"/>
      <c r="N523" s="203"/>
      <c r="O523" s="203"/>
    </row>
    <row r="524" spans="1:15" s="220" customFormat="1" ht="15.75" customHeight="1" x14ac:dyDescent="0.2">
      <c r="A524" s="228"/>
      <c r="B524" s="228"/>
      <c r="C524" s="203"/>
      <c r="D524" s="203"/>
      <c r="E524" s="203"/>
      <c r="F524" s="203"/>
      <c r="G524" s="203"/>
      <c r="H524" s="203"/>
      <c r="I524" s="203"/>
      <c r="J524" s="203"/>
      <c r="K524" s="203"/>
      <c r="L524" s="203"/>
      <c r="M524" s="203"/>
      <c r="N524" s="203"/>
      <c r="O524" s="203"/>
    </row>
    <row r="525" spans="1:15" s="220" customFormat="1" ht="15.75" customHeight="1" x14ac:dyDescent="0.2">
      <c r="A525" s="228"/>
      <c r="B525" s="228"/>
      <c r="C525" s="203"/>
      <c r="D525" s="203"/>
      <c r="E525" s="203"/>
      <c r="F525" s="203"/>
      <c r="G525" s="203"/>
      <c r="H525" s="203"/>
      <c r="I525" s="203"/>
      <c r="J525" s="203"/>
      <c r="K525" s="203"/>
      <c r="L525" s="203"/>
      <c r="M525" s="203"/>
      <c r="N525" s="203"/>
      <c r="O525" s="203"/>
    </row>
    <row r="526" spans="1:15" s="220" customFormat="1" ht="15.75" customHeight="1" x14ac:dyDescent="0.2">
      <c r="A526" s="228"/>
      <c r="B526" s="228"/>
      <c r="C526" s="203"/>
      <c r="D526" s="203"/>
      <c r="E526" s="203"/>
      <c r="F526" s="203"/>
      <c r="G526" s="203"/>
      <c r="H526" s="203"/>
      <c r="I526" s="203"/>
      <c r="J526" s="203"/>
      <c r="K526" s="203"/>
      <c r="L526" s="203"/>
      <c r="M526" s="203"/>
      <c r="N526" s="203"/>
      <c r="O526" s="203"/>
    </row>
    <row r="527" spans="1:15" s="220" customFormat="1" ht="15.75" customHeight="1" x14ac:dyDescent="0.2">
      <c r="A527" s="228"/>
      <c r="B527" s="228"/>
      <c r="C527" s="203"/>
      <c r="D527" s="203"/>
      <c r="E527" s="203"/>
      <c r="F527" s="203"/>
      <c r="G527" s="203"/>
      <c r="H527" s="203"/>
      <c r="I527" s="203"/>
      <c r="J527" s="203"/>
      <c r="K527" s="203"/>
      <c r="L527" s="203"/>
      <c r="M527" s="203"/>
      <c r="N527" s="203"/>
      <c r="O527" s="203"/>
    </row>
    <row r="528" spans="1:15" s="220" customFormat="1" ht="15.75" customHeight="1" x14ac:dyDescent="0.2">
      <c r="A528" s="228"/>
      <c r="B528" s="228"/>
      <c r="C528" s="203"/>
      <c r="D528" s="203"/>
      <c r="E528" s="203"/>
      <c r="F528" s="203"/>
      <c r="G528" s="203"/>
      <c r="H528" s="203"/>
      <c r="I528" s="203"/>
      <c r="J528" s="203"/>
      <c r="K528" s="203"/>
      <c r="L528" s="203"/>
      <c r="M528" s="203"/>
      <c r="N528" s="203"/>
      <c r="O528" s="203"/>
    </row>
    <row r="529" spans="1:15" s="220" customFormat="1" ht="15.75" customHeight="1" x14ac:dyDescent="0.2">
      <c r="A529" s="228"/>
      <c r="B529" s="228"/>
      <c r="C529" s="203"/>
      <c r="D529" s="203"/>
      <c r="E529" s="203"/>
      <c r="F529" s="203"/>
      <c r="G529" s="203"/>
      <c r="H529" s="203"/>
      <c r="I529" s="203"/>
      <c r="J529" s="203"/>
      <c r="K529" s="203"/>
      <c r="L529" s="203"/>
      <c r="M529" s="203"/>
      <c r="N529" s="203"/>
      <c r="O529" s="203"/>
    </row>
    <row r="530" spans="1:15" s="220" customFormat="1" ht="15.75" customHeight="1" x14ac:dyDescent="0.2">
      <c r="A530" s="228"/>
      <c r="B530" s="228"/>
      <c r="C530" s="203"/>
      <c r="D530" s="203"/>
      <c r="E530" s="203"/>
      <c r="F530" s="203"/>
      <c r="G530" s="203"/>
      <c r="H530" s="203"/>
      <c r="I530" s="203"/>
      <c r="J530" s="203"/>
      <c r="K530" s="203"/>
      <c r="L530" s="203"/>
      <c r="M530" s="203"/>
      <c r="N530" s="203"/>
      <c r="O530" s="203"/>
    </row>
    <row r="531" spans="1:15" s="220" customFormat="1" ht="15.75" customHeight="1" x14ac:dyDescent="0.2">
      <c r="A531" s="228"/>
      <c r="B531" s="228"/>
      <c r="C531" s="203"/>
      <c r="D531" s="203"/>
      <c r="E531" s="203"/>
      <c r="F531" s="203"/>
      <c r="G531" s="203"/>
      <c r="H531" s="203"/>
      <c r="I531" s="203"/>
      <c r="J531" s="203"/>
      <c r="K531" s="203"/>
      <c r="L531" s="203"/>
      <c r="M531" s="203"/>
      <c r="N531" s="203"/>
      <c r="O531" s="203"/>
    </row>
    <row r="532" spans="1:15" s="220" customFormat="1" ht="15.75" customHeight="1" x14ac:dyDescent="0.2">
      <c r="A532" s="228"/>
      <c r="B532" s="228"/>
      <c r="C532" s="203"/>
      <c r="D532" s="203"/>
      <c r="E532" s="203"/>
      <c r="F532" s="203"/>
      <c r="G532" s="203"/>
      <c r="H532" s="203"/>
      <c r="I532" s="203"/>
      <c r="J532" s="203"/>
      <c r="K532" s="203"/>
      <c r="L532" s="203"/>
      <c r="M532" s="203"/>
      <c r="N532" s="203"/>
      <c r="O532" s="203"/>
    </row>
    <row r="533" spans="1:15" s="220" customFormat="1" ht="15.75" customHeight="1" x14ac:dyDescent="0.2">
      <c r="A533" s="228"/>
      <c r="B533" s="228"/>
      <c r="C533" s="203"/>
      <c r="D533" s="203"/>
      <c r="E533" s="203"/>
      <c r="F533" s="203"/>
      <c r="G533" s="203"/>
      <c r="H533" s="203"/>
      <c r="I533" s="203"/>
      <c r="J533" s="203"/>
      <c r="K533" s="203"/>
      <c r="L533" s="203"/>
      <c r="M533" s="203"/>
      <c r="N533" s="203"/>
      <c r="O533" s="203"/>
    </row>
    <row r="534" spans="1:15" s="220" customFormat="1" ht="15.75" customHeight="1" x14ac:dyDescent="0.2">
      <c r="A534" s="228"/>
      <c r="B534" s="228"/>
      <c r="C534" s="203"/>
      <c r="D534" s="203"/>
      <c r="E534" s="203"/>
      <c r="F534" s="203"/>
      <c r="G534" s="203"/>
      <c r="H534" s="203"/>
      <c r="I534" s="203"/>
      <c r="J534" s="203"/>
      <c r="K534" s="203"/>
      <c r="L534" s="203"/>
      <c r="M534" s="203"/>
      <c r="N534" s="203"/>
      <c r="O534" s="203"/>
    </row>
    <row r="535" spans="1:15" s="220" customFormat="1" ht="15.75" customHeight="1" x14ac:dyDescent="0.2">
      <c r="A535" s="228"/>
      <c r="B535" s="228"/>
      <c r="C535" s="203"/>
      <c r="D535" s="203"/>
      <c r="E535" s="203"/>
      <c r="F535" s="203"/>
      <c r="G535" s="203"/>
      <c r="H535" s="203"/>
      <c r="I535" s="203"/>
      <c r="J535" s="203"/>
      <c r="K535" s="203"/>
      <c r="L535" s="203"/>
      <c r="M535" s="203"/>
      <c r="N535" s="203"/>
      <c r="O535" s="203"/>
    </row>
    <row r="536" spans="1:15" s="220" customFormat="1" ht="15.75" customHeight="1" x14ac:dyDescent="0.2">
      <c r="A536" s="228"/>
      <c r="B536" s="228"/>
      <c r="C536" s="203"/>
      <c r="D536" s="203"/>
      <c r="E536" s="203"/>
      <c r="F536" s="203"/>
      <c r="G536" s="203"/>
      <c r="H536" s="203"/>
      <c r="I536" s="203"/>
      <c r="J536" s="203"/>
      <c r="K536" s="203"/>
      <c r="L536" s="203"/>
      <c r="M536" s="203"/>
      <c r="N536" s="203"/>
      <c r="O536" s="203"/>
    </row>
    <row r="537" spans="1:15" s="220" customFormat="1" ht="15.75" customHeight="1" x14ac:dyDescent="0.2">
      <c r="A537" s="228"/>
      <c r="B537" s="228"/>
      <c r="C537" s="203"/>
      <c r="D537" s="203"/>
      <c r="E537" s="203"/>
      <c r="F537" s="203"/>
      <c r="G537" s="203"/>
      <c r="H537" s="203"/>
      <c r="I537" s="203"/>
      <c r="J537" s="203"/>
      <c r="K537" s="203"/>
      <c r="L537" s="203"/>
      <c r="M537" s="203"/>
      <c r="N537" s="203"/>
      <c r="O537" s="203"/>
    </row>
    <row r="538" spans="1:15" s="220" customFormat="1" ht="15.75" customHeight="1" x14ac:dyDescent="0.2">
      <c r="A538" s="228"/>
      <c r="B538" s="228"/>
      <c r="C538" s="203"/>
      <c r="D538" s="203"/>
      <c r="E538" s="203"/>
      <c r="F538" s="203"/>
      <c r="G538" s="203"/>
      <c r="H538" s="203"/>
      <c r="I538" s="203"/>
      <c r="J538" s="203"/>
      <c r="K538" s="203"/>
      <c r="L538" s="203"/>
      <c r="M538" s="203"/>
      <c r="N538" s="203"/>
      <c r="O538" s="203"/>
    </row>
    <row r="539" spans="1:15" s="220" customFormat="1" ht="15.75" customHeight="1" x14ac:dyDescent="0.2">
      <c r="A539" s="228"/>
      <c r="B539" s="228"/>
      <c r="C539" s="203"/>
      <c r="D539" s="203"/>
      <c r="E539" s="203"/>
      <c r="F539" s="203"/>
      <c r="G539" s="203"/>
      <c r="H539" s="203"/>
      <c r="I539" s="203"/>
      <c r="J539" s="203"/>
      <c r="K539" s="203"/>
      <c r="L539" s="203"/>
      <c r="M539" s="203"/>
      <c r="N539" s="203"/>
      <c r="O539" s="203"/>
    </row>
    <row r="540" spans="1:15" s="220" customFormat="1" ht="15.75" customHeight="1" x14ac:dyDescent="0.2">
      <c r="A540" s="228"/>
      <c r="B540" s="228"/>
      <c r="C540" s="203"/>
      <c r="D540" s="203"/>
      <c r="E540" s="203"/>
      <c r="F540" s="203"/>
      <c r="G540" s="203"/>
      <c r="H540" s="203"/>
      <c r="I540" s="203"/>
      <c r="J540" s="203"/>
      <c r="K540" s="203"/>
      <c r="L540" s="203"/>
      <c r="M540" s="203"/>
      <c r="N540" s="203"/>
      <c r="O540" s="203"/>
    </row>
    <row r="541" spans="1:15" s="220" customFormat="1" ht="15.75" customHeight="1" x14ac:dyDescent="0.2">
      <c r="A541" s="228"/>
      <c r="B541" s="228"/>
      <c r="C541" s="203"/>
      <c r="D541" s="203"/>
      <c r="E541" s="203"/>
      <c r="F541" s="203"/>
      <c r="G541" s="203"/>
      <c r="H541" s="203"/>
      <c r="I541" s="203"/>
      <c r="J541" s="203"/>
      <c r="K541" s="203"/>
      <c r="L541" s="203"/>
      <c r="M541" s="203"/>
      <c r="N541" s="203"/>
      <c r="O541" s="203"/>
    </row>
    <row r="542" spans="1:15" s="220" customFormat="1" ht="15.75" customHeight="1" x14ac:dyDescent="0.2">
      <c r="A542" s="228"/>
      <c r="B542" s="228"/>
      <c r="C542" s="203"/>
      <c r="D542" s="203"/>
      <c r="E542" s="203"/>
      <c r="F542" s="203"/>
      <c r="G542" s="203"/>
      <c r="H542" s="203"/>
      <c r="I542" s="203"/>
      <c r="J542" s="203"/>
      <c r="K542" s="203"/>
      <c r="L542" s="203"/>
      <c r="M542" s="203"/>
      <c r="N542" s="203"/>
      <c r="O542" s="203"/>
    </row>
    <row r="543" spans="1:15" s="220" customFormat="1" ht="15.75" customHeight="1" x14ac:dyDescent="0.2">
      <c r="A543" s="228"/>
      <c r="B543" s="228"/>
      <c r="C543" s="203"/>
      <c r="D543" s="203"/>
      <c r="E543" s="203"/>
      <c r="F543" s="203"/>
      <c r="G543" s="203"/>
      <c r="H543" s="203"/>
      <c r="I543" s="203"/>
      <c r="J543" s="203"/>
      <c r="K543" s="203"/>
      <c r="L543" s="203"/>
      <c r="M543" s="203"/>
      <c r="N543" s="203"/>
      <c r="O543" s="203"/>
    </row>
    <row r="544" spans="1:15" s="220" customFormat="1" ht="15.75" customHeight="1" x14ac:dyDescent="0.2">
      <c r="A544" s="228"/>
      <c r="B544" s="228"/>
      <c r="C544" s="203"/>
      <c r="D544" s="203"/>
      <c r="E544" s="203"/>
      <c r="F544" s="203"/>
      <c r="G544" s="203"/>
      <c r="H544" s="203"/>
      <c r="I544" s="203"/>
      <c r="J544" s="203"/>
      <c r="K544" s="203"/>
      <c r="L544" s="203"/>
      <c r="M544" s="203"/>
      <c r="N544" s="203"/>
      <c r="O544" s="203"/>
    </row>
    <row r="545" spans="1:15" s="220" customFormat="1" ht="15.75" customHeight="1" x14ac:dyDescent="0.2">
      <c r="A545" s="228"/>
      <c r="B545" s="228"/>
      <c r="C545" s="203"/>
      <c r="D545" s="203"/>
      <c r="E545" s="203"/>
      <c r="F545" s="203"/>
      <c r="G545" s="203"/>
      <c r="H545" s="203"/>
      <c r="I545" s="203"/>
      <c r="J545" s="203"/>
      <c r="K545" s="203"/>
      <c r="L545" s="203"/>
      <c r="M545" s="203"/>
      <c r="N545" s="203"/>
      <c r="O545" s="203"/>
    </row>
    <row r="546" spans="1:15" s="220" customFormat="1" ht="15.75" customHeight="1" x14ac:dyDescent="0.2">
      <c r="A546" s="228"/>
      <c r="B546" s="228"/>
      <c r="C546" s="203"/>
      <c r="D546" s="203"/>
      <c r="E546" s="203"/>
      <c r="F546" s="203"/>
      <c r="G546" s="203"/>
      <c r="H546" s="203"/>
      <c r="I546" s="203"/>
      <c r="J546" s="203"/>
      <c r="K546" s="203"/>
      <c r="L546" s="203"/>
      <c r="M546" s="203"/>
      <c r="N546" s="203"/>
      <c r="O546" s="203"/>
    </row>
    <row r="547" spans="1:15" s="220" customFormat="1" ht="15.75" customHeight="1" x14ac:dyDescent="0.2">
      <c r="A547" s="228"/>
      <c r="B547" s="228"/>
      <c r="C547" s="203"/>
      <c r="D547" s="203"/>
      <c r="E547" s="203"/>
      <c r="F547" s="203"/>
      <c r="G547" s="203"/>
      <c r="H547" s="203"/>
      <c r="I547" s="203"/>
      <c r="J547" s="203"/>
      <c r="K547" s="203"/>
      <c r="L547" s="203"/>
      <c r="M547" s="203"/>
      <c r="N547" s="203"/>
      <c r="O547" s="203"/>
    </row>
    <row r="548" spans="1:15" s="220" customFormat="1" ht="15.75" customHeight="1" x14ac:dyDescent="0.2">
      <c r="A548" s="228"/>
      <c r="B548" s="228"/>
      <c r="C548" s="203"/>
      <c r="D548" s="203"/>
      <c r="E548" s="203"/>
      <c r="F548" s="203"/>
      <c r="G548" s="203"/>
      <c r="H548" s="203"/>
      <c r="I548" s="203"/>
      <c r="J548" s="203"/>
      <c r="K548" s="203"/>
      <c r="L548" s="203"/>
      <c r="M548" s="203"/>
      <c r="N548" s="203"/>
      <c r="O548" s="203"/>
    </row>
    <row r="549" spans="1:15" s="220" customFormat="1" ht="15.75" customHeight="1" x14ac:dyDescent="0.2">
      <c r="A549" s="228"/>
      <c r="B549" s="228"/>
      <c r="C549" s="203"/>
      <c r="D549" s="203"/>
      <c r="E549" s="203"/>
      <c r="F549" s="203"/>
      <c r="G549" s="203"/>
      <c r="H549" s="203"/>
      <c r="I549" s="203"/>
      <c r="J549" s="203"/>
      <c r="K549" s="203"/>
      <c r="L549" s="203"/>
      <c r="M549" s="203"/>
      <c r="N549" s="203"/>
      <c r="O549" s="203"/>
    </row>
    <row r="550" spans="1:15" s="220" customFormat="1" ht="15.75" customHeight="1" x14ac:dyDescent="0.2">
      <c r="A550" s="228"/>
      <c r="B550" s="228"/>
      <c r="C550" s="203"/>
      <c r="D550" s="203"/>
      <c r="E550" s="203"/>
      <c r="F550" s="203"/>
      <c r="G550" s="203"/>
      <c r="H550" s="203"/>
      <c r="I550" s="203"/>
      <c r="J550" s="203"/>
      <c r="K550" s="203"/>
      <c r="L550" s="203"/>
      <c r="M550" s="203"/>
      <c r="N550" s="203"/>
      <c r="O550" s="203"/>
    </row>
    <row r="551" spans="1:15" s="220" customFormat="1" ht="15.75" customHeight="1" x14ac:dyDescent="0.2">
      <c r="A551" s="228"/>
      <c r="B551" s="228"/>
      <c r="C551" s="203"/>
      <c r="D551" s="203"/>
      <c r="E551" s="203"/>
      <c r="F551" s="203"/>
      <c r="G551" s="203"/>
      <c r="H551" s="203"/>
      <c r="I551" s="203"/>
      <c r="J551" s="203"/>
      <c r="K551" s="203"/>
      <c r="L551" s="203"/>
      <c r="M551" s="203"/>
      <c r="N551" s="203"/>
      <c r="O551" s="203"/>
    </row>
    <row r="552" spans="1:15" s="220" customFormat="1" ht="15.75" customHeight="1" x14ac:dyDescent="0.2">
      <c r="A552" s="228"/>
      <c r="B552" s="228"/>
      <c r="C552" s="203"/>
      <c r="D552" s="203"/>
      <c r="E552" s="203"/>
      <c r="F552" s="203"/>
      <c r="G552" s="203"/>
      <c r="H552" s="203"/>
      <c r="I552" s="203"/>
      <c r="J552" s="203"/>
      <c r="K552" s="203"/>
      <c r="L552" s="203"/>
      <c r="M552" s="203"/>
      <c r="N552" s="203"/>
      <c r="O552" s="203"/>
    </row>
    <row r="553" spans="1:15" s="220" customFormat="1" ht="15.75" customHeight="1" x14ac:dyDescent="0.2">
      <c r="A553" s="228"/>
      <c r="B553" s="228"/>
      <c r="C553" s="203"/>
      <c r="D553" s="203"/>
      <c r="E553" s="203"/>
      <c r="F553" s="203"/>
      <c r="G553" s="203"/>
      <c r="H553" s="203"/>
      <c r="I553" s="203"/>
      <c r="J553" s="203"/>
      <c r="K553" s="203"/>
      <c r="L553" s="203"/>
      <c r="M553" s="203"/>
      <c r="N553" s="203"/>
      <c r="O553" s="203"/>
    </row>
    <row r="554" spans="1:15" s="220" customFormat="1" ht="15.75" customHeight="1" x14ac:dyDescent="0.2">
      <c r="A554" s="228"/>
      <c r="B554" s="228"/>
      <c r="C554" s="203"/>
      <c r="D554" s="203"/>
      <c r="E554" s="203"/>
      <c r="F554" s="203"/>
      <c r="G554" s="203"/>
      <c r="H554" s="203"/>
      <c r="I554" s="203"/>
      <c r="J554" s="203"/>
      <c r="K554" s="203"/>
      <c r="L554" s="203"/>
      <c r="M554" s="203"/>
      <c r="N554" s="203"/>
      <c r="O554" s="203"/>
    </row>
    <row r="555" spans="1:15" s="220" customFormat="1" ht="15.75" customHeight="1" x14ac:dyDescent="0.2">
      <c r="A555" s="228"/>
      <c r="B555" s="228"/>
      <c r="C555" s="203"/>
      <c r="D555" s="203"/>
      <c r="E555" s="203"/>
      <c r="F555" s="203"/>
      <c r="G555" s="203"/>
      <c r="H555" s="203"/>
      <c r="I555" s="203"/>
      <c r="J555" s="203"/>
      <c r="K555" s="203"/>
      <c r="L555" s="203"/>
      <c r="M555" s="203"/>
      <c r="N555" s="203"/>
      <c r="O555" s="203"/>
    </row>
    <row r="556" spans="1:15" s="220" customFormat="1" ht="15.75" customHeight="1" x14ac:dyDescent="0.2">
      <c r="A556" s="228"/>
      <c r="B556" s="228"/>
      <c r="C556" s="203"/>
      <c r="D556" s="203"/>
      <c r="E556" s="203"/>
      <c r="F556" s="203"/>
      <c r="G556" s="203"/>
      <c r="H556" s="203"/>
      <c r="I556" s="203"/>
      <c r="J556" s="203"/>
      <c r="K556" s="203"/>
      <c r="L556" s="203"/>
      <c r="M556" s="203"/>
      <c r="N556" s="203"/>
      <c r="O556" s="203"/>
    </row>
    <row r="557" spans="1:15" s="220" customFormat="1" ht="15.75" customHeight="1" x14ac:dyDescent="0.2">
      <c r="A557" s="228"/>
      <c r="B557" s="228"/>
      <c r="C557" s="203"/>
      <c r="D557" s="203"/>
      <c r="E557" s="203"/>
      <c r="F557" s="203"/>
      <c r="G557" s="203"/>
      <c r="H557" s="203"/>
      <c r="I557" s="203"/>
      <c r="J557" s="203"/>
      <c r="K557" s="203"/>
      <c r="L557" s="203"/>
      <c r="M557" s="203"/>
      <c r="N557" s="203"/>
      <c r="O557" s="203"/>
    </row>
    <row r="558" spans="1:15" s="220" customFormat="1" ht="15.75" customHeight="1" x14ac:dyDescent="0.2">
      <c r="A558" s="228"/>
      <c r="B558" s="228"/>
      <c r="C558" s="203"/>
      <c r="D558" s="203"/>
      <c r="E558" s="203"/>
      <c r="F558" s="203"/>
      <c r="G558" s="203"/>
      <c r="H558" s="203"/>
      <c r="I558" s="203"/>
      <c r="J558" s="203"/>
      <c r="K558" s="203"/>
      <c r="L558" s="203"/>
      <c r="M558" s="203"/>
      <c r="N558" s="203"/>
      <c r="O558" s="203"/>
    </row>
    <row r="559" spans="1:15" s="220" customFormat="1" ht="15.75" customHeight="1" x14ac:dyDescent="0.2">
      <c r="A559" s="228"/>
      <c r="B559" s="228"/>
      <c r="C559" s="203"/>
      <c r="D559" s="203"/>
      <c r="E559" s="203"/>
      <c r="F559" s="203"/>
      <c r="G559" s="203"/>
      <c r="H559" s="203"/>
      <c r="I559" s="203"/>
      <c r="J559" s="203"/>
      <c r="K559" s="203"/>
      <c r="L559" s="203"/>
      <c r="M559" s="203"/>
      <c r="N559" s="203"/>
      <c r="O559" s="203"/>
    </row>
    <row r="560" spans="1:15" s="220" customFormat="1" ht="15.75" customHeight="1" x14ac:dyDescent="0.2">
      <c r="A560" s="228"/>
      <c r="B560" s="228"/>
      <c r="C560" s="203"/>
      <c r="D560" s="203"/>
      <c r="E560" s="203"/>
      <c r="F560" s="203"/>
      <c r="G560" s="203"/>
      <c r="H560" s="203"/>
      <c r="I560" s="203"/>
      <c r="J560" s="203"/>
      <c r="K560" s="203"/>
      <c r="L560" s="203"/>
      <c r="M560" s="203"/>
      <c r="N560" s="203"/>
      <c r="O560" s="203"/>
    </row>
    <row r="561" spans="1:15" s="220" customFormat="1" ht="15.75" customHeight="1" x14ac:dyDescent="0.2">
      <c r="A561" s="228"/>
      <c r="B561" s="228"/>
      <c r="C561" s="203"/>
      <c r="D561" s="203"/>
      <c r="E561" s="203"/>
      <c r="F561" s="203"/>
      <c r="G561" s="203"/>
      <c r="H561" s="203"/>
      <c r="I561" s="203"/>
      <c r="J561" s="203"/>
      <c r="K561" s="203"/>
      <c r="L561" s="203"/>
      <c r="M561" s="203"/>
      <c r="N561" s="203"/>
      <c r="O561" s="203"/>
    </row>
    <row r="562" spans="1:15" s="220" customFormat="1" ht="15.75" customHeight="1" x14ac:dyDescent="0.2">
      <c r="A562" s="228"/>
      <c r="B562" s="228"/>
      <c r="C562" s="203"/>
      <c r="D562" s="203"/>
      <c r="E562" s="203"/>
      <c r="F562" s="203"/>
      <c r="G562" s="203"/>
      <c r="H562" s="203"/>
      <c r="I562" s="203"/>
      <c r="J562" s="203"/>
      <c r="K562" s="203"/>
      <c r="L562" s="203"/>
      <c r="M562" s="203"/>
      <c r="N562" s="203"/>
      <c r="O562" s="203"/>
    </row>
    <row r="563" spans="1:15" s="220" customFormat="1" ht="15.75" customHeight="1" x14ac:dyDescent="0.2">
      <c r="A563" s="228"/>
      <c r="B563" s="228"/>
      <c r="C563" s="203"/>
      <c r="D563" s="203"/>
      <c r="E563" s="203"/>
      <c r="F563" s="203"/>
      <c r="G563" s="203"/>
      <c r="H563" s="203"/>
      <c r="I563" s="203"/>
      <c r="J563" s="203"/>
      <c r="K563" s="203"/>
      <c r="L563" s="203"/>
      <c r="M563" s="203"/>
      <c r="N563" s="203"/>
      <c r="O563" s="203"/>
    </row>
    <row r="564" spans="1:15" s="220" customFormat="1" ht="15.75" customHeight="1" x14ac:dyDescent="0.2">
      <c r="A564" s="228"/>
      <c r="B564" s="228"/>
      <c r="C564" s="203"/>
      <c r="D564" s="203"/>
      <c r="E564" s="203"/>
      <c r="F564" s="203"/>
      <c r="G564" s="203"/>
      <c r="H564" s="203"/>
      <c r="I564" s="203"/>
      <c r="J564" s="203"/>
      <c r="K564" s="203"/>
      <c r="L564" s="203"/>
      <c r="M564" s="203"/>
      <c r="N564" s="203"/>
      <c r="O564" s="203"/>
    </row>
    <row r="565" spans="1:15" s="220" customFormat="1" ht="15.75" customHeight="1" x14ac:dyDescent="0.2">
      <c r="A565" s="228"/>
      <c r="B565" s="228"/>
      <c r="C565" s="203"/>
      <c r="D565" s="203"/>
      <c r="E565" s="203"/>
      <c r="F565" s="203"/>
      <c r="G565" s="203"/>
      <c r="H565" s="203"/>
      <c r="I565" s="203"/>
      <c r="J565" s="203"/>
      <c r="K565" s="203"/>
      <c r="L565" s="203"/>
      <c r="M565" s="203"/>
      <c r="N565" s="203"/>
      <c r="O565" s="203"/>
    </row>
    <row r="566" spans="1:15" s="220" customFormat="1" ht="15.75" customHeight="1" x14ac:dyDescent="0.2">
      <c r="A566" s="228"/>
      <c r="B566" s="228"/>
      <c r="C566" s="203"/>
      <c r="D566" s="203"/>
      <c r="E566" s="203"/>
      <c r="F566" s="203"/>
      <c r="G566" s="203"/>
      <c r="H566" s="203"/>
      <c r="I566" s="203"/>
      <c r="J566" s="203"/>
      <c r="K566" s="203"/>
      <c r="L566" s="203"/>
      <c r="M566" s="203"/>
      <c r="N566" s="203"/>
      <c r="O566" s="203"/>
    </row>
    <row r="567" spans="1:15" s="220" customFormat="1" ht="15.75" customHeight="1" x14ac:dyDescent="0.2">
      <c r="A567" s="228"/>
      <c r="B567" s="228"/>
      <c r="C567" s="203"/>
      <c r="D567" s="203"/>
      <c r="E567" s="203"/>
      <c r="F567" s="203"/>
      <c r="G567" s="203"/>
      <c r="H567" s="203"/>
      <c r="I567" s="203"/>
      <c r="J567" s="203"/>
      <c r="K567" s="203"/>
      <c r="L567" s="203"/>
      <c r="M567" s="203"/>
      <c r="N567" s="203"/>
      <c r="O567" s="203"/>
    </row>
    <row r="568" spans="1:15" s="220" customFormat="1" ht="15.75" customHeight="1" x14ac:dyDescent="0.2">
      <c r="A568" s="228"/>
      <c r="B568" s="228"/>
      <c r="C568" s="203"/>
      <c r="D568" s="203"/>
      <c r="E568" s="203"/>
      <c r="F568" s="203"/>
      <c r="G568" s="203"/>
      <c r="H568" s="203"/>
      <c r="I568" s="203"/>
      <c r="J568" s="203"/>
      <c r="K568" s="203"/>
      <c r="L568" s="203"/>
      <c r="M568" s="203"/>
      <c r="N568" s="203"/>
      <c r="O568" s="203"/>
    </row>
    <row r="569" spans="1:15" s="220" customFormat="1" ht="15.75" customHeight="1" x14ac:dyDescent="0.2">
      <c r="A569" s="228"/>
      <c r="B569" s="228"/>
      <c r="C569" s="203"/>
      <c r="D569" s="203"/>
      <c r="E569" s="203"/>
      <c r="F569" s="203"/>
      <c r="G569" s="203"/>
      <c r="H569" s="203"/>
      <c r="I569" s="203"/>
      <c r="J569" s="203"/>
      <c r="K569" s="203"/>
      <c r="L569" s="203"/>
      <c r="M569" s="203"/>
      <c r="N569" s="203"/>
      <c r="O569" s="203"/>
    </row>
    <row r="570" spans="1:15" s="220" customFormat="1" ht="15.75" customHeight="1" x14ac:dyDescent="0.2">
      <c r="A570" s="228"/>
      <c r="B570" s="228"/>
      <c r="C570" s="203"/>
      <c r="D570" s="203"/>
      <c r="E570" s="203"/>
      <c r="F570" s="203"/>
      <c r="G570" s="203"/>
      <c r="H570" s="203"/>
      <c r="I570" s="203"/>
      <c r="J570" s="203"/>
      <c r="K570" s="203"/>
      <c r="L570" s="203"/>
      <c r="M570" s="203"/>
      <c r="N570" s="203"/>
      <c r="O570" s="203"/>
    </row>
    <row r="571" spans="1:15" s="220" customFormat="1" ht="15.75" customHeight="1" x14ac:dyDescent="0.2">
      <c r="A571" s="228"/>
      <c r="B571" s="228"/>
      <c r="C571" s="203"/>
      <c r="D571" s="203"/>
      <c r="E571" s="203"/>
      <c r="F571" s="203"/>
      <c r="G571" s="203"/>
      <c r="H571" s="203"/>
      <c r="I571" s="203"/>
      <c r="J571" s="203"/>
      <c r="K571" s="203"/>
      <c r="L571" s="203"/>
      <c r="M571" s="203"/>
      <c r="N571" s="203"/>
      <c r="O571" s="203"/>
    </row>
    <row r="572" spans="1:15" s="220" customFormat="1" ht="15.75" customHeight="1" x14ac:dyDescent="0.2">
      <c r="A572" s="228"/>
      <c r="B572" s="228"/>
      <c r="C572" s="203"/>
      <c r="D572" s="203"/>
      <c r="E572" s="203"/>
      <c r="F572" s="203"/>
      <c r="G572" s="203"/>
      <c r="H572" s="203"/>
      <c r="I572" s="203"/>
      <c r="J572" s="203"/>
      <c r="K572" s="203"/>
      <c r="L572" s="203"/>
      <c r="M572" s="203"/>
      <c r="N572" s="203"/>
      <c r="O572" s="203"/>
    </row>
    <row r="573" spans="1:15" s="220" customFormat="1" ht="15.75" customHeight="1" x14ac:dyDescent="0.2">
      <c r="A573" s="228"/>
      <c r="B573" s="228"/>
      <c r="C573" s="203"/>
      <c r="D573" s="203"/>
      <c r="E573" s="203"/>
      <c r="F573" s="203"/>
      <c r="G573" s="203"/>
      <c r="H573" s="203"/>
      <c r="I573" s="203"/>
      <c r="J573" s="203"/>
      <c r="K573" s="203"/>
      <c r="L573" s="203"/>
      <c r="M573" s="203"/>
      <c r="N573" s="203"/>
      <c r="O573" s="203"/>
    </row>
    <row r="574" spans="1:15" s="220" customFormat="1" ht="15.75" customHeight="1" x14ac:dyDescent="0.2">
      <c r="A574" s="228"/>
      <c r="B574" s="228"/>
      <c r="C574" s="203"/>
      <c r="D574" s="203"/>
      <c r="E574" s="203"/>
      <c r="F574" s="203"/>
      <c r="G574" s="203"/>
      <c r="H574" s="203"/>
      <c r="I574" s="203"/>
      <c r="J574" s="203"/>
      <c r="K574" s="203"/>
      <c r="L574" s="203"/>
      <c r="M574" s="203"/>
      <c r="N574" s="203"/>
      <c r="O574" s="203"/>
    </row>
    <row r="575" spans="1:15" s="220" customFormat="1" ht="15.75" customHeight="1" x14ac:dyDescent="0.2">
      <c r="A575" s="228"/>
      <c r="B575" s="228"/>
      <c r="C575" s="203"/>
      <c r="D575" s="203"/>
      <c r="E575" s="203"/>
      <c r="F575" s="203"/>
      <c r="G575" s="203"/>
      <c r="H575" s="203"/>
      <c r="I575" s="203"/>
      <c r="J575" s="203"/>
      <c r="K575" s="203"/>
      <c r="L575" s="203"/>
      <c r="M575" s="203"/>
      <c r="N575" s="203"/>
      <c r="O575" s="203"/>
    </row>
    <row r="576" spans="1:15" s="220" customFormat="1" ht="15.75" customHeight="1" x14ac:dyDescent="0.2">
      <c r="A576" s="228"/>
      <c r="B576" s="228"/>
      <c r="C576" s="203"/>
      <c r="D576" s="203"/>
      <c r="E576" s="203"/>
      <c r="F576" s="203"/>
      <c r="G576" s="203"/>
      <c r="H576" s="203"/>
      <c r="I576" s="203"/>
      <c r="J576" s="203"/>
      <c r="K576" s="203"/>
      <c r="L576" s="203"/>
      <c r="M576" s="203"/>
      <c r="N576" s="203"/>
      <c r="O576" s="203"/>
    </row>
    <row r="577" spans="1:15" s="220" customFormat="1" ht="15.75" customHeight="1" x14ac:dyDescent="0.2">
      <c r="A577" s="228"/>
      <c r="B577" s="228"/>
      <c r="C577" s="203"/>
      <c r="D577" s="203"/>
      <c r="E577" s="203"/>
      <c r="F577" s="203"/>
      <c r="G577" s="203"/>
      <c r="H577" s="203"/>
      <c r="I577" s="203"/>
      <c r="J577" s="203"/>
      <c r="K577" s="203"/>
      <c r="L577" s="203"/>
      <c r="M577" s="203"/>
      <c r="N577" s="203"/>
      <c r="O577" s="203"/>
    </row>
    <row r="578" spans="1:15" s="220" customFormat="1" ht="15.75" customHeight="1" x14ac:dyDescent="0.2">
      <c r="A578" s="228"/>
      <c r="B578" s="228"/>
      <c r="C578" s="203"/>
      <c r="D578" s="203"/>
      <c r="E578" s="203"/>
      <c r="F578" s="203"/>
      <c r="G578" s="203"/>
      <c r="H578" s="203"/>
      <c r="I578" s="203"/>
      <c r="J578" s="203"/>
      <c r="K578" s="203"/>
      <c r="L578" s="203"/>
      <c r="M578" s="203"/>
      <c r="N578" s="203"/>
      <c r="O578" s="203"/>
    </row>
    <row r="579" spans="1:15" s="220" customFormat="1" ht="15.75" customHeight="1" x14ac:dyDescent="0.2">
      <c r="A579" s="228"/>
      <c r="B579" s="228"/>
      <c r="C579" s="203"/>
      <c r="D579" s="203"/>
      <c r="E579" s="203"/>
      <c r="F579" s="203"/>
      <c r="G579" s="203"/>
      <c r="H579" s="203"/>
      <c r="I579" s="203"/>
      <c r="J579" s="203"/>
      <c r="K579" s="203"/>
      <c r="L579" s="203"/>
      <c r="M579" s="203"/>
      <c r="N579" s="203"/>
      <c r="O579" s="203"/>
    </row>
    <row r="580" spans="1:15" s="220" customFormat="1" ht="15.75" customHeight="1" x14ac:dyDescent="0.2">
      <c r="A580" s="228"/>
      <c r="B580" s="228"/>
      <c r="C580" s="203"/>
      <c r="D580" s="203"/>
      <c r="E580" s="203"/>
      <c r="F580" s="203"/>
      <c r="G580" s="203"/>
      <c r="H580" s="203"/>
      <c r="I580" s="203"/>
      <c r="J580" s="203"/>
      <c r="K580" s="203"/>
      <c r="L580" s="203"/>
      <c r="M580" s="203"/>
      <c r="N580" s="203"/>
      <c r="O580" s="203"/>
    </row>
    <row r="581" spans="1:15" s="220" customFormat="1" ht="15.75" customHeight="1" x14ac:dyDescent="0.2">
      <c r="A581" s="228"/>
      <c r="B581" s="228"/>
      <c r="C581" s="203"/>
      <c r="D581" s="203"/>
      <c r="E581" s="203"/>
      <c r="F581" s="203"/>
      <c r="G581" s="203"/>
      <c r="H581" s="203"/>
      <c r="I581" s="203"/>
      <c r="J581" s="203"/>
      <c r="K581" s="203"/>
      <c r="L581" s="203"/>
      <c r="M581" s="203"/>
      <c r="N581" s="203"/>
      <c r="O581" s="203"/>
    </row>
    <row r="582" spans="1:15" s="220" customFormat="1" ht="15.75" customHeight="1" x14ac:dyDescent="0.2">
      <c r="A582" s="228"/>
      <c r="B582" s="228"/>
      <c r="C582" s="203"/>
      <c r="D582" s="203"/>
      <c r="E582" s="203"/>
      <c r="F582" s="203"/>
      <c r="G582" s="203"/>
      <c r="H582" s="203"/>
      <c r="I582" s="203"/>
      <c r="J582" s="203"/>
      <c r="K582" s="203"/>
      <c r="L582" s="203"/>
      <c r="M582" s="203"/>
      <c r="N582" s="203"/>
      <c r="O582" s="203"/>
    </row>
    <row r="583" spans="1:15" s="220" customFormat="1" ht="15.75" customHeight="1" x14ac:dyDescent="0.2">
      <c r="A583" s="228"/>
      <c r="B583" s="228"/>
      <c r="C583" s="203"/>
      <c r="D583" s="203"/>
      <c r="E583" s="203"/>
      <c r="F583" s="203"/>
      <c r="G583" s="203"/>
      <c r="H583" s="203"/>
      <c r="I583" s="203"/>
      <c r="J583" s="203"/>
      <c r="K583" s="203"/>
      <c r="L583" s="203"/>
      <c r="M583" s="203"/>
      <c r="N583" s="203"/>
      <c r="O583" s="203"/>
    </row>
    <row r="584" spans="1:15" s="220" customFormat="1" ht="15.75" customHeight="1" x14ac:dyDescent="0.2">
      <c r="A584" s="228"/>
      <c r="B584" s="228"/>
      <c r="C584" s="203"/>
      <c r="D584" s="203"/>
      <c r="E584" s="203"/>
      <c r="F584" s="203"/>
      <c r="G584" s="203"/>
      <c r="H584" s="203"/>
      <c r="I584" s="203"/>
      <c r="J584" s="203"/>
      <c r="K584" s="203"/>
      <c r="L584" s="203"/>
      <c r="M584" s="203"/>
      <c r="N584" s="203"/>
      <c r="O584" s="203"/>
    </row>
    <row r="585" spans="1:15" s="220" customFormat="1" ht="15.75" customHeight="1" x14ac:dyDescent="0.2">
      <c r="A585" s="228"/>
      <c r="B585" s="228"/>
      <c r="C585" s="203"/>
      <c r="D585" s="203"/>
      <c r="E585" s="203"/>
      <c r="F585" s="203"/>
      <c r="G585" s="203"/>
      <c r="H585" s="203"/>
      <c r="I585" s="203"/>
      <c r="J585" s="203"/>
      <c r="K585" s="203"/>
      <c r="L585" s="203"/>
      <c r="M585" s="203"/>
      <c r="N585" s="203"/>
      <c r="O585" s="203"/>
    </row>
    <row r="586" spans="1:15" s="220" customFormat="1" ht="15.75" customHeight="1" x14ac:dyDescent="0.2">
      <c r="A586" s="228"/>
      <c r="B586" s="228"/>
      <c r="C586" s="203"/>
      <c r="D586" s="203"/>
      <c r="E586" s="203"/>
      <c r="F586" s="203"/>
      <c r="G586" s="203"/>
      <c r="H586" s="203"/>
      <c r="I586" s="203"/>
      <c r="J586" s="203"/>
      <c r="K586" s="203"/>
      <c r="L586" s="203"/>
      <c r="M586" s="203"/>
      <c r="N586" s="203"/>
      <c r="O586" s="203"/>
    </row>
    <row r="587" spans="1:15" s="220" customFormat="1" ht="15.75" customHeight="1" x14ac:dyDescent="0.2">
      <c r="A587" s="228"/>
      <c r="B587" s="228"/>
      <c r="C587" s="203"/>
      <c r="D587" s="203"/>
      <c r="E587" s="203"/>
      <c r="F587" s="203"/>
      <c r="G587" s="203"/>
      <c r="H587" s="203"/>
      <c r="I587" s="203"/>
      <c r="J587" s="203"/>
      <c r="K587" s="203"/>
      <c r="L587" s="203"/>
      <c r="M587" s="203"/>
      <c r="N587" s="203"/>
      <c r="O587" s="203"/>
    </row>
    <row r="588" spans="1:15" s="220" customFormat="1" ht="15.75" customHeight="1" x14ac:dyDescent="0.2">
      <c r="A588" s="228"/>
      <c r="B588" s="228"/>
      <c r="C588" s="203"/>
      <c r="D588" s="203"/>
      <c r="E588" s="203"/>
      <c r="F588" s="203"/>
      <c r="G588" s="203"/>
      <c r="H588" s="203"/>
      <c r="I588" s="203"/>
      <c r="J588" s="203"/>
      <c r="K588" s="203"/>
      <c r="L588" s="203"/>
      <c r="M588" s="203"/>
      <c r="N588" s="203"/>
      <c r="O588" s="203"/>
    </row>
    <row r="589" spans="1:15" s="220" customFormat="1" ht="15.75" customHeight="1" x14ac:dyDescent="0.2">
      <c r="A589" s="228"/>
      <c r="B589" s="228"/>
      <c r="C589" s="203"/>
      <c r="D589" s="203"/>
      <c r="E589" s="203"/>
      <c r="F589" s="203"/>
      <c r="G589" s="203"/>
      <c r="H589" s="203"/>
      <c r="I589" s="203"/>
      <c r="J589" s="203"/>
      <c r="K589" s="203"/>
      <c r="L589" s="203"/>
      <c r="M589" s="203"/>
      <c r="N589" s="203"/>
      <c r="O589" s="203"/>
    </row>
    <row r="590" spans="1:15" s="220" customFormat="1" ht="15.75" customHeight="1" x14ac:dyDescent="0.2">
      <c r="A590" s="228"/>
      <c r="B590" s="228"/>
      <c r="C590" s="203"/>
      <c r="D590" s="203"/>
      <c r="E590" s="203"/>
      <c r="F590" s="203"/>
      <c r="G590" s="203"/>
      <c r="H590" s="203"/>
      <c r="I590" s="203"/>
      <c r="J590" s="203"/>
      <c r="K590" s="203"/>
      <c r="L590" s="203"/>
      <c r="M590" s="203"/>
      <c r="N590" s="203"/>
      <c r="O590" s="203"/>
    </row>
    <row r="591" spans="1:15" s="220" customFormat="1" ht="15.75" customHeight="1" x14ac:dyDescent="0.2">
      <c r="A591" s="228"/>
      <c r="B591" s="228"/>
      <c r="C591" s="203"/>
      <c r="D591" s="203"/>
      <c r="E591" s="203"/>
      <c r="F591" s="203"/>
      <c r="G591" s="203"/>
      <c r="H591" s="203"/>
      <c r="I591" s="203"/>
      <c r="J591" s="203"/>
      <c r="K591" s="203"/>
      <c r="L591" s="203"/>
      <c r="M591" s="203"/>
      <c r="N591" s="203"/>
      <c r="O591" s="203"/>
    </row>
    <row r="592" spans="1:15" s="220" customFormat="1" ht="15.75" customHeight="1" x14ac:dyDescent="0.2">
      <c r="A592" s="228"/>
      <c r="B592" s="228"/>
      <c r="C592" s="203"/>
      <c r="D592" s="203"/>
      <c r="E592" s="203"/>
      <c r="F592" s="203"/>
      <c r="G592" s="203"/>
      <c r="H592" s="203"/>
      <c r="I592" s="203"/>
      <c r="J592" s="203"/>
      <c r="K592" s="203"/>
      <c r="L592" s="203"/>
      <c r="M592" s="203"/>
      <c r="N592" s="203"/>
      <c r="O592" s="203"/>
    </row>
    <row r="593" spans="1:15" s="220" customFormat="1" ht="15.75" customHeight="1" x14ac:dyDescent="0.2">
      <c r="A593" s="228"/>
      <c r="B593" s="228"/>
      <c r="C593" s="203"/>
      <c r="D593" s="203"/>
      <c r="E593" s="203"/>
      <c r="F593" s="203"/>
      <c r="G593" s="203"/>
      <c r="H593" s="203"/>
      <c r="I593" s="203"/>
      <c r="J593" s="203"/>
      <c r="K593" s="203"/>
      <c r="L593" s="203"/>
      <c r="M593" s="203"/>
      <c r="N593" s="203"/>
      <c r="O593" s="203"/>
    </row>
    <row r="594" spans="1:15" s="220" customFormat="1" ht="15.75" customHeight="1" x14ac:dyDescent="0.2">
      <c r="A594" s="228"/>
      <c r="B594" s="228"/>
      <c r="C594" s="203"/>
      <c r="D594" s="203"/>
      <c r="E594" s="203"/>
      <c r="F594" s="203"/>
      <c r="G594" s="203"/>
      <c r="H594" s="203"/>
      <c r="I594" s="203"/>
      <c r="J594" s="203"/>
      <c r="K594" s="203"/>
      <c r="L594" s="203"/>
      <c r="M594" s="203"/>
      <c r="N594" s="203"/>
      <c r="O594" s="203"/>
    </row>
    <row r="595" spans="1:15" s="220" customFormat="1" ht="15.75" customHeight="1" x14ac:dyDescent="0.2">
      <c r="A595" s="228"/>
      <c r="B595" s="228"/>
      <c r="C595" s="203"/>
      <c r="D595" s="203"/>
      <c r="E595" s="203"/>
      <c r="F595" s="203"/>
      <c r="G595" s="203"/>
      <c r="H595" s="203"/>
      <c r="I595" s="203"/>
      <c r="J595" s="203"/>
      <c r="K595" s="203"/>
      <c r="L595" s="203"/>
      <c r="M595" s="203"/>
      <c r="N595" s="203"/>
      <c r="O595" s="203"/>
    </row>
    <row r="596" spans="1:15" s="220" customFormat="1" ht="15.75" customHeight="1" x14ac:dyDescent="0.2">
      <c r="A596" s="228"/>
      <c r="B596" s="228"/>
      <c r="C596" s="203"/>
      <c r="D596" s="203"/>
      <c r="E596" s="203"/>
      <c r="F596" s="203"/>
      <c r="G596" s="203"/>
      <c r="H596" s="203"/>
      <c r="I596" s="203"/>
      <c r="J596" s="203"/>
      <c r="K596" s="203"/>
      <c r="L596" s="203"/>
      <c r="M596" s="203"/>
      <c r="N596" s="203"/>
      <c r="O596" s="203"/>
    </row>
    <row r="597" spans="1:15" s="220" customFormat="1" ht="15.75" customHeight="1" x14ac:dyDescent="0.2">
      <c r="A597" s="228"/>
      <c r="B597" s="228"/>
      <c r="C597" s="203"/>
      <c r="D597" s="203"/>
      <c r="E597" s="203"/>
      <c r="F597" s="203"/>
      <c r="G597" s="203"/>
      <c r="H597" s="203"/>
      <c r="I597" s="203"/>
      <c r="J597" s="203"/>
      <c r="K597" s="203"/>
      <c r="L597" s="203"/>
      <c r="M597" s="203"/>
      <c r="N597" s="203"/>
      <c r="O597" s="203"/>
    </row>
    <row r="598" spans="1:15" s="220" customFormat="1" ht="15.75" customHeight="1" x14ac:dyDescent="0.2">
      <c r="A598" s="228"/>
      <c r="B598" s="228"/>
      <c r="C598" s="203"/>
      <c r="D598" s="203"/>
      <c r="E598" s="203"/>
      <c r="F598" s="203"/>
      <c r="G598" s="203"/>
      <c r="H598" s="203"/>
      <c r="I598" s="203"/>
      <c r="J598" s="203"/>
      <c r="K598" s="203"/>
      <c r="L598" s="203"/>
      <c r="M598" s="203"/>
      <c r="N598" s="203"/>
      <c r="O598" s="203"/>
    </row>
    <row r="599" spans="1:15" s="220" customFormat="1" ht="15.75" customHeight="1" x14ac:dyDescent="0.2">
      <c r="A599" s="228"/>
      <c r="B599" s="228"/>
      <c r="C599" s="203"/>
      <c r="D599" s="203"/>
      <c r="E599" s="203"/>
      <c r="F599" s="203"/>
      <c r="G599" s="203"/>
      <c r="H599" s="203"/>
      <c r="I599" s="203"/>
      <c r="J599" s="203"/>
      <c r="K599" s="203"/>
      <c r="L599" s="203"/>
      <c r="M599" s="203"/>
      <c r="N599" s="203"/>
      <c r="O599" s="203"/>
    </row>
    <row r="600" spans="1:15" s="220" customFormat="1" ht="15.75" customHeight="1" x14ac:dyDescent="0.2">
      <c r="A600" s="228"/>
      <c r="B600" s="228"/>
      <c r="C600" s="203"/>
      <c r="D600" s="203"/>
      <c r="E600" s="203"/>
      <c r="F600" s="203"/>
      <c r="G600" s="203"/>
      <c r="H600" s="203"/>
      <c r="I600" s="203"/>
      <c r="J600" s="203"/>
      <c r="K600" s="203"/>
      <c r="L600" s="203"/>
      <c r="M600" s="203"/>
      <c r="N600" s="203"/>
      <c r="O600" s="203"/>
    </row>
    <row r="601" spans="1:15" ht="15.75" customHeight="1" x14ac:dyDescent="0.25">
      <c r="A601" s="192"/>
      <c r="B601" s="192"/>
      <c r="C601" s="200"/>
      <c r="D601" s="200"/>
      <c r="E601" s="200"/>
      <c r="F601" s="200"/>
      <c r="G601" s="200"/>
      <c r="H601" s="200"/>
      <c r="I601" s="200"/>
      <c r="J601" s="200"/>
      <c r="K601" s="200"/>
      <c r="L601" s="200"/>
      <c r="M601" s="200"/>
      <c r="N601" s="200"/>
      <c r="O601" s="200"/>
    </row>
    <row r="602" spans="1:15" ht="15.75" customHeight="1" x14ac:dyDescent="0.25">
      <c r="A602" s="192"/>
      <c r="B602" s="192"/>
      <c r="C602" s="200"/>
      <c r="D602" s="200"/>
      <c r="E602" s="200"/>
      <c r="F602" s="200"/>
      <c r="G602" s="200"/>
      <c r="H602" s="200"/>
      <c r="I602" s="200"/>
      <c r="J602" s="200"/>
      <c r="K602" s="200"/>
      <c r="L602" s="200"/>
      <c r="M602" s="200"/>
      <c r="N602" s="200"/>
      <c r="O602" s="200"/>
    </row>
    <row r="603" spans="1:15" ht="15.75" customHeight="1" x14ac:dyDescent="0.25">
      <c r="A603" s="192"/>
      <c r="B603" s="192"/>
      <c r="C603" s="200"/>
      <c r="D603" s="200"/>
      <c r="E603" s="200"/>
      <c r="F603" s="200"/>
      <c r="G603" s="200"/>
      <c r="H603" s="200"/>
      <c r="I603" s="200"/>
      <c r="J603" s="200"/>
      <c r="K603" s="200"/>
      <c r="L603" s="200"/>
      <c r="M603" s="200"/>
      <c r="N603" s="200"/>
      <c r="O603" s="200"/>
    </row>
    <row r="604" spans="1:15" ht="15.75" customHeight="1" x14ac:dyDescent="0.25">
      <c r="A604" s="192"/>
      <c r="B604" s="192"/>
      <c r="C604" s="200"/>
      <c r="D604" s="200"/>
      <c r="E604" s="200"/>
      <c r="F604" s="200"/>
      <c r="G604" s="200"/>
      <c r="H604" s="200"/>
      <c r="I604" s="200"/>
      <c r="J604" s="200"/>
      <c r="K604" s="200"/>
      <c r="L604" s="200"/>
      <c r="M604" s="200"/>
      <c r="N604" s="200"/>
      <c r="O604" s="200"/>
    </row>
    <row r="605" spans="1:15" ht="15.75" customHeight="1" x14ac:dyDescent="0.25">
      <c r="A605" s="192"/>
      <c r="B605" s="192"/>
      <c r="C605" s="200"/>
      <c r="D605" s="200"/>
      <c r="E605" s="200"/>
      <c r="F605" s="200"/>
      <c r="G605" s="200"/>
      <c r="H605" s="200"/>
      <c r="I605" s="200"/>
      <c r="J605" s="200"/>
      <c r="K605" s="200"/>
      <c r="L605" s="200"/>
      <c r="M605" s="200"/>
      <c r="N605" s="200"/>
      <c r="O605" s="200"/>
    </row>
    <row r="606" spans="1:15" ht="15.75" customHeight="1" x14ac:dyDescent="0.25">
      <c r="A606" s="192"/>
      <c r="B606" s="192"/>
      <c r="C606" s="200"/>
      <c r="D606" s="200"/>
      <c r="E606" s="200"/>
      <c r="F606" s="200"/>
      <c r="G606" s="200"/>
      <c r="H606" s="200"/>
      <c r="I606" s="200"/>
      <c r="J606" s="200"/>
      <c r="K606" s="200"/>
      <c r="L606" s="200"/>
      <c r="M606" s="200"/>
      <c r="N606" s="200"/>
      <c r="O606" s="200"/>
    </row>
    <row r="607" spans="1:15" ht="15.75" customHeight="1" x14ac:dyDescent="0.25">
      <c r="A607" s="192"/>
      <c r="B607" s="192"/>
      <c r="C607" s="200"/>
      <c r="D607" s="200"/>
      <c r="E607" s="200"/>
      <c r="F607" s="200"/>
      <c r="G607" s="200"/>
      <c r="H607" s="200"/>
      <c r="I607" s="200"/>
      <c r="J607" s="200"/>
      <c r="K607" s="200"/>
      <c r="L607" s="200"/>
      <c r="M607" s="200"/>
      <c r="N607" s="200"/>
      <c r="O607" s="200"/>
    </row>
    <row r="608" spans="1:15" ht="15.75" customHeight="1" x14ac:dyDescent="0.25">
      <c r="A608" s="192"/>
      <c r="B608" s="192"/>
      <c r="C608" s="200"/>
      <c r="D608" s="200"/>
      <c r="E608" s="200"/>
      <c r="F608" s="200"/>
      <c r="G608" s="200"/>
      <c r="H608" s="200"/>
      <c r="I608" s="200"/>
      <c r="J608" s="200"/>
      <c r="K608" s="200"/>
      <c r="L608" s="200"/>
      <c r="M608" s="200"/>
      <c r="N608" s="200"/>
      <c r="O608" s="200"/>
    </row>
    <row r="609" spans="1:15" ht="15.75" customHeight="1" x14ac:dyDescent="0.25">
      <c r="A609" s="192"/>
      <c r="B609" s="192"/>
      <c r="C609" s="200"/>
      <c r="D609" s="200"/>
      <c r="E609" s="200"/>
      <c r="F609" s="200"/>
      <c r="G609" s="200"/>
      <c r="H609" s="200"/>
      <c r="I609" s="200"/>
      <c r="J609" s="200"/>
      <c r="K609" s="200"/>
      <c r="L609" s="200"/>
      <c r="M609" s="200"/>
      <c r="N609" s="200"/>
      <c r="O609" s="200"/>
    </row>
    <row r="610" spans="1:15" ht="15.75" customHeight="1" x14ac:dyDescent="0.25">
      <c r="A610" s="192"/>
      <c r="B610" s="192"/>
      <c r="C610" s="200"/>
      <c r="D610" s="200"/>
      <c r="E610" s="200"/>
      <c r="F610" s="200"/>
      <c r="G610" s="200"/>
      <c r="H610" s="200"/>
      <c r="I610" s="200"/>
      <c r="J610" s="200"/>
      <c r="K610" s="200"/>
      <c r="L610" s="200"/>
      <c r="M610" s="200"/>
      <c r="N610" s="200"/>
      <c r="O610" s="200"/>
    </row>
    <row r="611" spans="1:15" ht="15.75" customHeight="1" x14ac:dyDescent="0.25">
      <c r="A611" s="192"/>
      <c r="B611" s="192"/>
      <c r="C611" s="200"/>
      <c r="D611" s="200"/>
      <c r="E611" s="200"/>
      <c r="F611" s="200"/>
      <c r="G611" s="200"/>
      <c r="H611" s="200"/>
      <c r="I611" s="200"/>
      <c r="J611" s="200"/>
      <c r="K611" s="200"/>
      <c r="L611" s="200"/>
      <c r="M611" s="200"/>
      <c r="N611" s="200"/>
      <c r="O611" s="200"/>
    </row>
    <row r="612" spans="1:15" ht="15.75" customHeight="1" x14ac:dyDescent="0.25">
      <c r="A612" s="192"/>
      <c r="B612" s="192"/>
      <c r="C612" s="200"/>
      <c r="D612" s="200"/>
      <c r="E612" s="200"/>
      <c r="F612" s="200"/>
      <c r="G612" s="200"/>
      <c r="H612" s="200"/>
      <c r="I612" s="200"/>
      <c r="J612" s="200"/>
      <c r="K612" s="200"/>
      <c r="L612" s="200"/>
      <c r="M612" s="200"/>
      <c r="N612" s="200"/>
      <c r="O612" s="200"/>
    </row>
    <row r="613" spans="1:15" ht="15.75" customHeight="1" x14ac:dyDescent="0.25">
      <c r="A613" s="192"/>
      <c r="B613" s="192"/>
      <c r="C613" s="200"/>
      <c r="D613" s="200"/>
      <c r="E613" s="200"/>
      <c r="F613" s="200"/>
      <c r="G613" s="200"/>
      <c r="H613" s="200"/>
      <c r="I613" s="200"/>
      <c r="J613" s="200"/>
      <c r="K613" s="200"/>
      <c r="L613" s="200"/>
      <c r="M613" s="200"/>
      <c r="N613" s="200"/>
      <c r="O613" s="200"/>
    </row>
    <row r="614" spans="1:15" ht="15.75" customHeight="1" x14ac:dyDescent="0.25">
      <c r="A614" s="192"/>
      <c r="B614" s="192"/>
      <c r="C614" s="200"/>
      <c r="D614" s="200"/>
      <c r="E614" s="200"/>
      <c r="F614" s="200"/>
      <c r="G614" s="200"/>
      <c r="H614" s="200"/>
      <c r="I614" s="200"/>
      <c r="J614" s="200"/>
      <c r="K614" s="200"/>
      <c r="L614" s="200"/>
      <c r="M614" s="200"/>
      <c r="N614" s="200"/>
      <c r="O614" s="200"/>
    </row>
    <row r="615" spans="1:15" ht="15.75" customHeight="1" x14ac:dyDescent="0.25">
      <c r="A615" s="192"/>
      <c r="B615" s="192"/>
      <c r="C615" s="200"/>
      <c r="D615" s="200"/>
      <c r="E615" s="200"/>
      <c r="F615" s="200"/>
      <c r="G615" s="200"/>
      <c r="H615" s="200"/>
      <c r="I615" s="200"/>
      <c r="J615" s="200"/>
      <c r="K615" s="200"/>
      <c r="L615" s="200"/>
      <c r="M615" s="200"/>
      <c r="N615" s="200"/>
      <c r="O615" s="200"/>
    </row>
    <row r="616" spans="1:15" ht="15.75" customHeight="1" x14ac:dyDescent="0.25">
      <c r="A616" s="192"/>
      <c r="B616" s="192"/>
      <c r="C616" s="200"/>
      <c r="D616" s="200"/>
      <c r="E616" s="200"/>
      <c r="F616" s="200"/>
      <c r="G616" s="200"/>
      <c r="H616" s="200"/>
      <c r="I616" s="200"/>
      <c r="J616" s="200"/>
      <c r="K616" s="200"/>
      <c r="L616" s="200"/>
      <c r="M616" s="200"/>
      <c r="N616" s="200"/>
      <c r="O616" s="200"/>
    </row>
    <row r="617" spans="1:15" ht="15.75" customHeight="1" x14ac:dyDescent="0.25">
      <c r="A617" s="192"/>
      <c r="B617" s="192"/>
      <c r="C617" s="200"/>
      <c r="D617" s="200"/>
      <c r="E617" s="200"/>
      <c r="F617" s="200"/>
      <c r="G617" s="200"/>
      <c r="H617" s="200"/>
      <c r="I617" s="200"/>
      <c r="J617" s="200"/>
      <c r="K617" s="200"/>
      <c r="L617" s="200"/>
      <c r="M617" s="200"/>
      <c r="N617" s="200"/>
      <c r="O617" s="200"/>
    </row>
    <row r="618" spans="1:15" ht="15.75" customHeight="1" x14ac:dyDescent="0.25">
      <c r="A618" s="192"/>
      <c r="B618" s="192"/>
      <c r="C618" s="200"/>
      <c r="D618" s="200"/>
      <c r="E618" s="200"/>
      <c r="F618" s="200"/>
      <c r="G618" s="200"/>
      <c r="H618" s="200"/>
      <c r="I618" s="200"/>
      <c r="J618" s="200"/>
      <c r="K618" s="200"/>
      <c r="L618" s="200"/>
      <c r="M618" s="200"/>
      <c r="N618" s="200"/>
      <c r="O618" s="200"/>
    </row>
    <row r="619" spans="1:15" ht="15.75" customHeight="1" x14ac:dyDescent="0.25">
      <c r="A619" s="192"/>
      <c r="B619" s="192"/>
      <c r="C619" s="200"/>
      <c r="D619" s="200"/>
      <c r="E619" s="200"/>
      <c r="F619" s="200"/>
      <c r="G619" s="200"/>
      <c r="H619" s="200"/>
      <c r="I619" s="200"/>
      <c r="J619" s="200"/>
      <c r="K619" s="200"/>
      <c r="L619" s="200"/>
      <c r="M619" s="200"/>
      <c r="N619" s="200"/>
      <c r="O619" s="200"/>
    </row>
    <row r="620" spans="1:15" ht="15.75" customHeight="1" x14ac:dyDescent="0.25">
      <c r="A620" s="192"/>
      <c r="B620" s="192"/>
      <c r="C620" s="200"/>
      <c r="D620" s="200"/>
      <c r="E620" s="200"/>
      <c r="F620" s="200"/>
      <c r="G620" s="200"/>
      <c r="H620" s="200"/>
      <c r="I620" s="200"/>
      <c r="J620" s="200"/>
      <c r="K620" s="200"/>
      <c r="L620" s="200"/>
      <c r="M620" s="200"/>
      <c r="N620" s="200"/>
      <c r="O620" s="200"/>
    </row>
    <row r="621" spans="1:15" ht="15.75" customHeight="1" x14ac:dyDescent="0.25">
      <c r="A621" s="192"/>
      <c r="B621" s="192"/>
      <c r="C621" s="200"/>
      <c r="D621" s="200"/>
      <c r="E621" s="200"/>
      <c r="F621" s="200"/>
      <c r="G621" s="200"/>
      <c r="H621" s="200"/>
      <c r="I621" s="200"/>
      <c r="J621" s="200"/>
      <c r="K621" s="200"/>
      <c r="L621" s="200"/>
      <c r="M621" s="200"/>
      <c r="N621" s="200"/>
      <c r="O621" s="200"/>
    </row>
    <row r="622" spans="1:15" ht="15.75" customHeight="1" x14ac:dyDescent="0.25">
      <c r="A622" s="192"/>
      <c r="B622" s="192"/>
      <c r="C622" s="200"/>
      <c r="D622" s="200"/>
      <c r="E622" s="200"/>
      <c r="F622" s="200"/>
      <c r="G622" s="200"/>
      <c r="H622" s="200"/>
      <c r="I622" s="200"/>
      <c r="J622" s="200"/>
      <c r="K622" s="200"/>
      <c r="L622" s="200"/>
      <c r="M622" s="200"/>
      <c r="N622" s="200"/>
      <c r="O622" s="200"/>
    </row>
    <row r="623" spans="1:15" ht="15.75" customHeight="1" x14ac:dyDescent="0.25">
      <c r="A623" s="192"/>
      <c r="B623" s="192"/>
      <c r="C623" s="200"/>
      <c r="D623" s="200"/>
      <c r="E623" s="200"/>
      <c r="F623" s="200"/>
      <c r="G623" s="200"/>
      <c r="H623" s="200"/>
      <c r="I623" s="200"/>
      <c r="J623" s="200"/>
      <c r="K623" s="200"/>
      <c r="L623" s="200"/>
      <c r="M623" s="200"/>
      <c r="N623" s="200"/>
      <c r="O623" s="200"/>
    </row>
    <row r="624" spans="1:15" ht="15.75" customHeight="1" x14ac:dyDescent="0.25">
      <c r="A624" s="192"/>
      <c r="B624" s="192"/>
      <c r="C624" s="200"/>
      <c r="D624" s="200"/>
      <c r="E624" s="200"/>
      <c r="F624" s="200"/>
      <c r="G624" s="200"/>
      <c r="H624" s="200"/>
      <c r="I624" s="200"/>
      <c r="J624" s="200"/>
      <c r="K624" s="200"/>
      <c r="L624" s="200"/>
      <c r="M624" s="200"/>
      <c r="N624" s="200"/>
      <c r="O624" s="200"/>
    </row>
    <row r="625" spans="1:15" ht="15.75" customHeight="1" x14ac:dyDescent="0.25">
      <c r="A625" s="192"/>
      <c r="B625" s="192"/>
      <c r="C625" s="200"/>
      <c r="D625" s="200"/>
      <c r="E625" s="200"/>
      <c r="F625" s="200"/>
      <c r="G625" s="200"/>
      <c r="H625" s="200"/>
      <c r="I625" s="200"/>
      <c r="J625" s="200"/>
      <c r="K625" s="200"/>
      <c r="L625" s="200"/>
      <c r="M625" s="200"/>
      <c r="N625" s="200"/>
      <c r="O625" s="200"/>
    </row>
    <row r="626" spans="1:15" ht="15.75" customHeight="1" x14ac:dyDescent="0.25">
      <c r="A626" s="192"/>
      <c r="B626" s="192"/>
      <c r="C626" s="200"/>
      <c r="D626" s="200"/>
      <c r="E626" s="200"/>
      <c r="F626" s="200"/>
      <c r="G626" s="200"/>
      <c r="H626" s="200"/>
      <c r="I626" s="200"/>
      <c r="J626" s="200"/>
      <c r="K626" s="200"/>
      <c r="L626" s="200"/>
      <c r="M626" s="200"/>
      <c r="N626" s="200"/>
      <c r="O626" s="200"/>
    </row>
    <row r="627" spans="1:15" ht="15.75" customHeight="1" x14ac:dyDescent="0.25">
      <c r="A627" s="192"/>
      <c r="B627" s="192"/>
      <c r="C627" s="200"/>
      <c r="D627" s="200"/>
      <c r="E627" s="200"/>
      <c r="F627" s="200"/>
      <c r="G627" s="200"/>
      <c r="H627" s="200"/>
      <c r="I627" s="200"/>
      <c r="J627" s="200"/>
      <c r="K627" s="200"/>
      <c r="L627" s="200"/>
      <c r="M627" s="200"/>
      <c r="N627" s="200"/>
      <c r="O627" s="200"/>
    </row>
    <row r="628" spans="1:15" ht="15.75" customHeight="1" x14ac:dyDescent="0.25">
      <c r="A628" s="192"/>
      <c r="B628" s="192"/>
      <c r="C628" s="200"/>
      <c r="D628" s="200"/>
      <c r="E628" s="200"/>
      <c r="F628" s="200"/>
      <c r="G628" s="200"/>
      <c r="H628" s="200"/>
      <c r="I628" s="200"/>
      <c r="J628" s="200"/>
      <c r="K628" s="200"/>
      <c r="L628" s="200"/>
      <c r="M628" s="200"/>
      <c r="N628" s="200"/>
      <c r="O628" s="200"/>
    </row>
    <row r="629" spans="1:15" ht="15.75" customHeight="1" x14ac:dyDescent="0.25">
      <c r="A629" s="192"/>
      <c r="B629" s="192"/>
      <c r="C629" s="200"/>
      <c r="D629" s="200"/>
      <c r="E629" s="200"/>
      <c r="F629" s="200"/>
      <c r="G629" s="200"/>
      <c r="H629" s="200"/>
      <c r="I629" s="200"/>
      <c r="J629" s="200"/>
      <c r="K629" s="200"/>
      <c r="L629" s="200"/>
      <c r="M629" s="200"/>
      <c r="N629" s="200"/>
      <c r="O629" s="200"/>
    </row>
    <row r="630" spans="1:15" ht="15.75" customHeight="1" x14ac:dyDescent="0.25">
      <c r="A630" s="192"/>
      <c r="B630" s="192"/>
      <c r="C630" s="200"/>
      <c r="D630" s="200"/>
      <c r="E630" s="200"/>
      <c r="F630" s="200"/>
      <c r="G630" s="200"/>
      <c r="H630" s="200"/>
      <c r="I630" s="200"/>
      <c r="J630" s="200"/>
      <c r="K630" s="200"/>
      <c r="L630" s="200"/>
      <c r="M630" s="200"/>
      <c r="N630" s="200"/>
      <c r="O630" s="200"/>
    </row>
    <row r="631" spans="1:15" ht="15.75" customHeight="1" x14ac:dyDescent="0.25">
      <c r="A631" s="192"/>
      <c r="B631" s="192"/>
      <c r="C631" s="200"/>
      <c r="D631" s="200"/>
      <c r="E631" s="200"/>
      <c r="F631" s="200"/>
      <c r="G631" s="200"/>
      <c r="H631" s="200"/>
      <c r="I631" s="200"/>
      <c r="J631" s="200"/>
      <c r="K631" s="200"/>
      <c r="L631" s="200"/>
      <c r="M631" s="200"/>
      <c r="N631" s="200"/>
      <c r="O631" s="200"/>
    </row>
    <row r="632" spans="1:15" ht="15.75" customHeight="1" x14ac:dyDescent="0.25">
      <c r="A632" s="192"/>
      <c r="B632" s="192"/>
      <c r="C632" s="200"/>
      <c r="D632" s="200"/>
      <c r="E632" s="200"/>
      <c r="F632" s="200"/>
      <c r="G632" s="200"/>
      <c r="H632" s="200"/>
      <c r="I632" s="200"/>
      <c r="J632" s="200"/>
      <c r="K632" s="200"/>
      <c r="L632" s="200"/>
      <c r="M632" s="200"/>
      <c r="N632" s="200"/>
      <c r="O632" s="200"/>
    </row>
    <row r="633" spans="1:15" ht="15.75" customHeight="1" x14ac:dyDescent="0.25">
      <c r="A633" s="192"/>
      <c r="B633" s="192"/>
      <c r="C633" s="200"/>
      <c r="D633" s="200"/>
      <c r="E633" s="200"/>
      <c r="F633" s="200"/>
      <c r="G633" s="200"/>
      <c r="H633" s="200"/>
      <c r="I633" s="200"/>
      <c r="J633" s="200"/>
      <c r="K633" s="200"/>
      <c r="L633" s="200"/>
      <c r="M633" s="200"/>
      <c r="N633" s="200"/>
      <c r="O633" s="200"/>
    </row>
    <row r="634" spans="1:15" ht="15.75" customHeight="1" x14ac:dyDescent="0.25">
      <c r="A634" s="192"/>
      <c r="B634" s="192"/>
      <c r="C634" s="200"/>
      <c r="D634" s="200"/>
      <c r="E634" s="200"/>
      <c r="F634" s="200"/>
      <c r="G634" s="200"/>
      <c r="H634" s="200"/>
      <c r="I634" s="200"/>
      <c r="J634" s="200"/>
      <c r="K634" s="200"/>
      <c r="L634" s="200"/>
      <c r="M634" s="200"/>
      <c r="N634" s="200"/>
      <c r="O634" s="200"/>
    </row>
    <row r="635" spans="1:15" ht="15.75" customHeight="1" x14ac:dyDescent="0.25">
      <c r="A635" s="192"/>
      <c r="B635" s="192"/>
      <c r="C635" s="200"/>
      <c r="D635" s="200"/>
      <c r="E635" s="200"/>
      <c r="F635" s="200"/>
      <c r="G635" s="200"/>
      <c r="H635" s="200"/>
      <c r="I635" s="200"/>
      <c r="J635" s="200"/>
      <c r="K635" s="200"/>
      <c r="L635" s="200"/>
      <c r="M635" s="200"/>
      <c r="N635" s="200"/>
      <c r="O635" s="200"/>
    </row>
    <row r="636" spans="1:15" ht="15.75" customHeight="1" x14ac:dyDescent="0.25">
      <c r="A636" s="192"/>
      <c r="B636" s="192"/>
      <c r="C636" s="200"/>
      <c r="D636" s="200"/>
      <c r="E636" s="200"/>
      <c r="F636" s="200"/>
      <c r="G636" s="200"/>
      <c r="H636" s="200"/>
      <c r="I636" s="200"/>
      <c r="J636" s="200"/>
      <c r="K636" s="200"/>
      <c r="L636" s="200"/>
      <c r="M636" s="200"/>
      <c r="N636" s="200"/>
      <c r="O636" s="200"/>
    </row>
    <row r="637" spans="1:15" ht="15.75" customHeight="1" x14ac:dyDescent="0.25">
      <c r="A637" s="192"/>
      <c r="B637" s="192"/>
      <c r="C637" s="200"/>
      <c r="D637" s="200"/>
      <c r="E637" s="200"/>
      <c r="F637" s="200"/>
      <c r="G637" s="200"/>
      <c r="H637" s="200"/>
      <c r="I637" s="200"/>
      <c r="J637" s="200"/>
      <c r="K637" s="200"/>
      <c r="L637" s="200"/>
      <c r="M637" s="200"/>
      <c r="N637" s="200"/>
      <c r="O637" s="200"/>
    </row>
    <row r="638" spans="1:15" ht="15.75" customHeight="1" x14ac:dyDescent="0.25">
      <c r="A638" s="192"/>
      <c r="B638" s="192"/>
      <c r="C638" s="200"/>
      <c r="D638" s="200"/>
      <c r="E638" s="200"/>
      <c r="F638" s="200"/>
      <c r="G638" s="200"/>
      <c r="H638" s="200"/>
      <c r="I638" s="200"/>
      <c r="J638" s="200"/>
      <c r="K638" s="200"/>
      <c r="L638" s="200"/>
      <c r="M638" s="200"/>
      <c r="N638" s="200"/>
      <c r="O638" s="200"/>
    </row>
    <row r="639" spans="1:15" ht="15.75" customHeight="1" x14ac:dyDescent="0.25">
      <c r="A639" s="192"/>
      <c r="B639" s="192"/>
      <c r="C639" s="200"/>
      <c r="D639" s="200"/>
      <c r="E639" s="200"/>
      <c r="F639" s="200"/>
      <c r="G639" s="200"/>
      <c r="H639" s="200"/>
      <c r="I639" s="200"/>
      <c r="J639" s="200"/>
      <c r="K639" s="200"/>
      <c r="L639" s="200"/>
      <c r="M639" s="200"/>
      <c r="N639" s="200"/>
      <c r="O639" s="200"/>
    </row>
    <row r="640" spans="1:15" ht="15.75" customHeight="1" x14ac:dyDescent="0.25">
      <c r="A640" s="192"/>
      <c r="B640" s="192"/>
      <c r="C640" s="200"/>
      <c r="D640" s="200"/>
      <c r="E640" s="200"/>
      <c r="F640" s="200"/>
      <c r="G640" s="200"/>
      <c r="H640" s="200"/>
      <c r="I640" s="200"/>
      <c r="J640" s="200"/>
      <c r="K640" s="200"/>
      <c r="L640" s="200"/>
      <c r="M640" s="200"/>
      <c r="N640" s="200"/>
      <c r="O640" s="200"/>
    </row>
    <row r="641" spans="1:15" ht="15.75" customHeight="1" x14ac:dyDescent="0.25">
      <c r="A641" s="192"/>
      <c r="B641" s="192"/>
      <c r="C641" s="200"/>
      <c r="D641" s="200"/>
      <c r="E641" s="200"/>
      <c r="F641" s="200"/>
      <c r="G641" s="200"/>
      <c r="H641" s="200"/>
      <c r="I641" s="200"/>
      <c r="J641" s="200"/>
      <c r="K641" s="200"/>
      <c r="L641" s="200"/>
      <c r="M641" s="200"/>
      <c r="N641" s="200"/>
      <c r="O641" s="200"/>
    </row>
    <row r="642" spans="1:15" ht="15.75" customHeight="1" x14ac:dyDescent="0.25">
      <c r="A642" s="192"/>
      <c r="B642" s="192"/>
      <c r="C642" s="200"/>
      <c r="D642" s="200"/>
      <c r="E642" s="200"/>
      <c r="F642" s="200"/>
      <c r="G642" s="200"/>
      <c r="H642" s="200"/>
      <c r="I642" s="200"/>
      <c r="J642" s="200"/>
      <c r="K642" s="200"/>
      <c r="L642" s="200"/>
      <c r="M642" s="200"/>
      <c r="N642" s="200"/>
      <c r="O642" s="200"/>
    </row>
    <row r="643" spans="1:15" ht="15.75" customHeight="1" x14ac:dyDescent="0.25">
      <c r="A643" s="192"/>
      <c r="B643" s="192"/>
      <c r="C643" s="200"/>
      <c r="D643" s="200"/>
      <c r="E643" s="200"/>
      <c r="F643" s="200"/>
      <c r="G643" s="200"/>
      <c r="H643" s="200"/>
      <c r="I643" s="200"/>
      <c r="J643" s="200"/>
      <c r="K643" s="200"/>
      <c r="L643" s="200"/>
      <c r="M643" s="200"/>
      <c r="N643" s="200"/>
      <c r="O643" s="200"/>
    </row>
    <row r="644" spans="1:15" ht="15.75" customHeight="1" x14ac:dyDescent="0.25">
      <c r="A644" s="192"/>
      <c r="B644" s="192"/>
      <c r="C644" s="200"/>
      <c r="D644" s="200"/>
      <c r="E644" s="200"/>
      <c r="F644" s="200"/>
      <c r="G644" s="200"/>
      <c r="H644" s="200"/>
      <c r="I644" s="200"/>
      <c r="J644" s="200"/>
      <c r="K644" s="200"/>
      <c r="L644" s="200"/>
      <c r="M644" s="200"/>
      <c r="N644" s="200"/>
      <c r="O644" s="200"/>
    </row>
    <row r="645" spans="1:15" ht="15.75" customHeight="1" x14ac:dyDescent="0.25">
      <c r="A645" s="192"/>
      <c r="B645" s="192"/>
      <c r="C645" s="200"/>
      <c r="D645" s="200"/>
      <c r="E645" s="200"/>
      <c r="F645" s="200"/>
      <c r="G645" s="200"/>
      <c r="H645" s="200"/>
      <c r="I645" s="200"/>
      <c r="J645" s="200"/>
      <c r="K645" s="200"/>
      <c r="L645" s="200"/>
      <c r="M645" s="200"/>
      <c r="N645" s="200"/>
      <c r="O645" s="200"/>
    </row>
    <row r="646" spans="1:15" ht="15.75" customHeight="1" x14ac:dyDescent="0.25">
      <c r="A646" s="192"/>
      <c r="B646" s="192"/>
      <c r="C646" s="200"/>
      <c r="D646" s="200"/>
      <c r="E646" s="200"/>
      <c r="F646" s="200"/>
      <c r="G646" s="200"/>
      <c r="H646" s="200"/>
      <c r="I646" s="200"/>
      <c r="J646" s="200"/>
      <c r="K646" s="200"/>
      <c r="L646" s="200"/>
      <c r="M646" s="200"/>
      <c r="N646" s="200"/>
      <c r="O646" s="200"/>
    </row>
    <row r="647" spans="1:15" ht="15.75" customHeight="1" x14ac:dyDescent="0.25">
      <c r="A647" s="192"/>
      <c r="B647" s="192"/>
      <c r="C647" s="200"/>
      <c r="D647" s="200"/>
      <c r="E647" s="200"/>
      <c r="F647" s="200"/>
      <c r="G647" s="200"/>
      <c r="H647" s="200"/>
      <c r="I647" s="200"/>
      <c r="J647" s="200"/>
      <c r="K647" s="200"/>
      <c r="L647" s="200"/>
      <c r="M647" s="200"/>
      <c r="N647" s="200"/>
      <c r="O647" s="200"/>
    </row>
    <row r="648" spans="1:15" ht="15.75" customHeight="1" x14ac:dyDescent="0.25">
      <c r="A648" s="192"/>
      <c r="B648" s="192"/>
      <c r="C648" s="200"/>
      <c r="D648" s="200"/>
      <c r="E648" s="200"/>
      <c r="F648" s="200"/>
      <c r="G648" s="200"/>
      <c r="H648" s="200"/>
      <c r="I648" s="200"/>
      <c r="J648" s="200"/>
      <c r="K648" s="200"/>
      <c r="L648" s="200"/>
      <c r="M648" s="200"/>
      <c r="N648" s="200"/>
      <c r="O648" s="200"/>
    </row>
    <row r="649" spans="1:15" ht="15.75" customHeight="1" x14ac:dyDescent="0.25">
      <c r="A649" s="192"/>
      <c r="B649" s="192"/>
      <c r="C649" s="200"/>
      <c r="D649" s="200"/>
      <c r="E649" s="200"/>
      <c r="F649" s="200"/>
      <c r="G649" s="200"/>
      <c r="H649" s="200"/>
      <c r="I649" s="200"/>
      <c r="J649" s="200"/>
      <c r="K649" s="200"/>
      <c r="L649" s="200"/>
      <c r="M649" s="200"/>
      <c r="N649" s="200"/>
      <c r="O649" s="200"/>
    </row>
    <row r="650" spans="1:15" ht="15.75" customHeight="1" x14ac:dyDescent="0.25">
      <c r="A650" s="192"/>
      <c r="B650" s="192"/>
      <c r="C650" s="200"/>
      <c r="D650" s="200"/>
      <c r="E650" s="200"/>
      <c r="F650" s="200"/>
      <c r="G650" s="200"/>
      <c r="H650" s="200"/>
      <c r="I650" s="200"/>
      <c r="J650" s="200"/>
      <c r="K650" s="200"/>
      <c r="L650" s="200"/>
      <c r="M650" s="200"/>
      <c r="N650" s="200"/>
      <c r="O650" s="200"/>
    </row>
    <row r="651" spans="1:15" ht="15.75" customHeight="1" x14ac:dyDescent="0.25">
      <c r="A651" s="192"/>
      <c r="B651" s="192"/>
      <c r="C651" s="200"/>
      <c r="D651" s="200"/>
      <c r="E651" s="200"/>
      <c r="F651" s="200"/>
      <c r="G651" s="200"/>
      <c r="H651" s="200"/>
      <c r="I651" s="200"/>
      <c r="J651" s="200"/>
      <c r="K651" s="200"/>
      <c r="L651" s="200"/>
      <c r="M651" s="200"/>
      <c r="N651" s="200"/>
      <c r="O651" s="200"/>
    </row>
    <row r="652" spans="1:15" ht="15.75" customHeight="1" x14ac:dyDescent="0.25">
      <c r="A652" s="192"/>
      <c r="B652" s="192"/>
      <c r="C652" s="200"/>
      <c r="D652" s="200"/>
      <c r="E652" s="200"/>
      <c r="F652" s="200"/>
      <c r="G652" s="200"/>
      <c r="H652" s="200"/>
      <c r="I652" s="200"/>
      <c r="J652" s="200"/>
      <c r="K652" s="200"/>
      <c r="L652" s="200"/>
      <c r="M652" s="200"/>
      <c r="N652" s="200"/>
      <c r="O652" s="200"/>
    </row>
    <row r="653" spans="1:15" ht="15.75" customHeight="1" x14ac:dyDescent="0.25">
      <c r="A653" s="192"/>
      <c r="B653" s="192"/>
      <c r="C653" s="200"/>
      <c r="D653" s="200"/>
      <c r="E653" s="200"/>
      <c r="F653" s="200"/>
      <c r="G653" s="200"/>
      <c r="H653" s="200"/>
      <c r="I653" s="200"/>
      <c r="J653" s="200"/>
      <c r="K653" s="200"/>
      <c r="L653" s="200"/>
      <c r="M653" s="200"/>
      <c r="N653" s="200"/>
      <c r="O653" s="200"/>
    </row>
    <row r="654" spans="1:15" ht="15.75" customHeight="1" x14ac:dyDescent="0.25">
      <c r="A654" s="192"/>
      <c r="B654" s="192"/>
      <c r="C654" s="200"/>
      <c r="D654" s="200"/>
      <c r="E654" s="200"/>
      <c r="F654" s="200"/>
      <c r="G654" s="200"/>
      <c r="H654" s="200"/>
      <c r="I654" s="200"/>
      <c r="J654" s="200"/>
      <c r="K654" s="200"/>
      <c r="L654" s="200"/>
      <c r="M654" s="200"/>
      <c r="N654" s="200"/>
      <c r="O654" s="200"/>
    </row>
    <row r="655" spans="1:15" ht="15.75" customHeight="1" x14ac:dyDescent="0.25">
      <c r="A655" s="192"/>
      <c r="B655" s="192"/>
      <c r="C655" s="200"/>
      <c r="D655" s="200"/>
      <c r="E655" s="200"/>
      <c r="F655" s="200"/>
      <c r="G655" s="200"/>
      <c r="H655" s="200"/>
      <c r="I655" s="200"/>
      <c r="J655" s="200"/>
      <c r="K655" s="200"/>
      <c r="L655" s="200"/>
      <c r="M655" s="200"/>
      <c r="N655" s="200"/>
      <c r="O655" s="200"/>
    </row>
    <row r="656" spans="1:15" ht="15.75" customHeight="1" x14ac:dyDescent="0.25">
      <c r="A656" s="192"/>
      <c r="B656" s="192"/>
      <c r="C656" s="200"/>
      <c r="D656" s="200"/>
      <c r="E656" s="200"/>
      <c r="F656" s="200"/>
      <c r="G656" s="200"/>
      <c r="H656" s="200"/>
      <c r="I656" s="200"/>
      <c r="J656" s="200"/>
      <c r="K656" s="200"/>
      <c r="L656" s="200"/>
      <c r="M656" s="200"/>
      <c r="N656" s="200"/>
      <c r="O656" s="200"/>
    </row>
    <row r="657" spans="1:15" ht="15.75" customHeight="1" x14ac:dyDescent="0.25">
      <c r="A657" s="192"/>
      <c r="B657" s="192"/>
      <c r="C657" s="200"/>
      <c r="D657" s="200"/>
      <c r="E657" s="200"/>
      <c r="F657" s="200"/>
      <c r="G657" s="200"/>
      <c r="H657" s="200"/>
      <c r="I657" s="200"/>
      <c r="J657" s="200"/>
      <c r="K657" s="200"/>
      <c r="L657" s="200"/>
      <c r="M657" s="200"/>
      <c r="N657" s="200"/>
      <c r="O657" s="200"/>
    </row>
    <row r="658" spans="1:15" ht="15.75" customHeight="1" x14ac:dyDescent="0.25">
      <c r="A658" s="192"/>
      <c r="B658" s="192"/>
      <c r="C658" s="200"/>
      <c r="D658" s="200"/>
      <c r="E658" s="200"/>
      <c r="F658" s="200"/>
      <c r="G658" s="200"/>
      <c r="H658" s="200"/>
      <c r="I658" s="200"/>
      <c r="J658" s="200"/>
      <c r="K658" s="200"/>
      <c r="L658" s="200"/>
      <c r="M658" s="200"/>
      <c r="N658" s="200"/>
      <c r="O658" s="200"/>
    </row>
    <row r="659" spans="1:15" ht="15.75" customHeight="1" x14ac:dyDescent="0.25">
      <c r="A659" s="192"/>
      <c r="B659" s="192"/>
      <c r="C659" s="200"/>
      <c r="D659" s="200"/>
      <c r="E659" s="200"/>
      <c r="F659" s="200"/>
      <c r="G659" s="200"/>
      <c r="H659" s="200"/>
      <c r="I659" s="200"/>
      <c r="J659" s="200"/>
      <c r="K659" s="200"/>
      <c r="L659" s="200"/>
      <c r="M659" s="200"/>
      <c r="N659" s="200"/>
      <c r="O659" s="200"/>
    </row>
    <row r="660" spans="1:15" ht="15.75" customHeight="1" x14ac:dyDescent="0.25">
      <c r="A660" s="192"/>
      <c r="B660" s="192"/>
      <c r="C660" s="200"/>
      <c r="D660" s="200"/>
      <c r="E660" s="200"/>
      <c r="F660" s="200"/>
      <c r="G660" s="200"/>
      <c r="H660" s="200"/>
      <c r="I660" s="200"/>
      <c r="J660" s="200"/>
      <c r="K660" s="200"/>
      <c r="L660" s="200"/>
      <c r="M660" s="200"/>
      <c r="N660" s="200"/>
      <c r="O660" s="200"/>
    </row>
    <row r="661" spans="1:15" ht="15.75" customHeight="1" x14ac:dyDescent="0.25">
      <c r="A661" s="192"/>
      <c r="B661" s="192"/>
      <c r="C661" s="200"/>
      <c r="D661" s="200"/>
      <c r="E661" s="200"/>
      <c r="F661" s="200"/>
      <c r="G661" s="200"/>
      <c r="H661" s="200"/>
      <c r="I661" s="200"/>
      <c r="J661" s="200"/>
      <c r="K661" s="200"/>
      <c r="L661" s="200"/>
      <c r="M661" s="200"/>
      <c r="N661" s="200"/>
      <c r="O661" s="200"/>
    </row>
    <row r="662" spans="1:15" ht="15.75" customHeight="1" x14ac:dyDescent="0.25">
      <c r="A662" s="192"/>
      <c r="B662" s="192"/>
      <c r="C662" s="200"/>
      <c r="D662" s="200"/>
      <c r="E662" s="200"/>
      <c r="F662" s="200"/>
      <c r="G662" s="200"/>
      <c r="H662" s="200"/>
      <c r="I662" s="200"/>
      <c r="J662" s="200"/>
      <c r="K662" s="200"/>
      <c r="L662" s="200"/>
      <c r="M662" s="200"/>
      <c r="N662" s="200"/>
      <c r="O662" s="200"/>
    </row>
    <row r="663" spans="1:15" ht="15.75" customHeight="1" x14ac:dyDescent="0.25">
      <c r="A663" s="192"/>
      <c r="B663" s="192"/>
      <c r="C663" s="200"/>
      <c r="D663" s="200"/>
      <c r="E663" s="200"/>
      <c r="F663" s="200"/>
      <c r="G663" s="200"/>
      <c r="H663" s="200"/>
      <c r="I663" s="200"/>
      <c r="J663" s="200"/>
      <c r="K663" s="200"/>
      <c r="L663" s="200"/>
      <c r="M663" s="200"/>
      <c r="N663" s="200"/>
      <c r="O663" s="200"/>
    </row>
    <row r="664" spans="1:15" ht="15.75" customHeight="1" x14ac:dyDescent="0.25">
      <c r="A664" s="192"/>
      <c r="B664" s="192"/>
      <c r="C664" s="200"/>
      <c r="D664" s="200"/>
      <c r="E664" s="200"/>
      <c r="F664" s="200"/>
      <c r="G664" s="200"/>
      <c r="H664" s="200"/>
      <c r="I664" s="200"/>
      <c r="J664" s="200"/>
      <c r="K664" s="200"/>
      <c r="L664" s="200"/>
      <c r="M664" s="200"/>
      <c r="N664" s="200"/>
      <c r="O664" s="200"/>
    </row>
    <row r="665" spans="1:15" ht="15.75" customHeight="1" x14ac:dyDescent="0.25">
      <c r="A665" s="192"/>
      <c r="B665" s="192"/>
      <c r="C665" s="200"/>
      <c r="D665" s="200"/>
      <c r="E665" s="200"/>
      <c r="F665" s="200"/>
      <c r="G665" s="200"/>
      <c r="H665" s="200"/>
      <c r="I665" s="200"/>
      <c r="J665" s="200"/>
      <c r="K665" s="200"/>
      <c r="L665" s="200"/>
      <c r="M665" s="200"/>
      <c r="N665" s="200"/>
      <c r="O665" s="200"/>
    </row>
    <row r="666" spans="1:15" ht="15.75" customHeight="1" x14ac:dyDescent="0.25">
      <c r="A666" s="192"/>
      <c r="B666" s="192"/>
      <c r="C666" s="200"/>
      <c r="D666" s="200"/>
      <c r="E666" s="200"/>
      <c r="F666" s="200"/>
      <c r="G666" s="200"/>
      <c r="H666" s="200"/>
      <c r="I666" s="200"/>
      <c r="J666" s="200"/>
      <c r="K666" s="200"/>
      <c r="L666" s="200"/>
      <c r="M666" s="200"/>
      <c r="N666" s="200"/>
      <c r="O666" s="200"/>
    </row>
    <row r="667" spans="1:15" ht="15.75" customHeight="1" x14ac:dyDescent="0.25">
      <c r="A667" s="192"/>
      <c r="B667" s="192"/>
      <c r="C667" s="200"/>
      <c r="D667" s="200"/>
      <c r="E667" s="200"/>
      <c r="F667" s="200"/>
      <c r="G667" s="200"/>
      <c r="H667" s="200"/>
      <c r="I667" s="200"/>
      <c r="J667" s="200"/>
      <c r="K667" s="200"/>
      <c r="L667" s="200"/>
      <c r="M667" s="200"/>
      <c r="N667" s="200"/>
      <c r="O667" s="200"/>
    </row>
    <row r="668" spans="1:15" ht="15.75" customHeight="1" x14ac:dyDescent="0.25">
      <c r="A668" s="192"/>
      <c r="B668" s="192"/>
      <c r="C668" s="200"/>
      <c r="D668" s="200"/>
      <c r="E668" s="200"/>
      <c r="F668" s="200"/>
      <c r="G668" s="200"/>
      <c r="H668" s="200"/>
      <c r="I668" s="200"/>
      <c r="J668" s="200"/>
      <c r="K668" s="200"/>
      <c r="L668" s="200"/>
      <c r="M668" s="200"/>
      <c r="N668" s="200"/>
      <c r="O668" s="200"/>
    </row>
    <row r="669" spans="1:15" ht="15.75" customHeight="1" x14ac:dyDescent="0.25">
      <c r="A669" s="192"/>
      <c r="B669" s="192"/>
      <c r="C669" s="200"/>
      <c r="D669" s="200"/>
      <c r="E669" s="200"/>
      <c r="F669" s="200"/>
      <c r="G669" s="200"/>
      <c r="H669" s="200"/>
      <c r="I669" s="200"/>
      <c r="J669" s="200"/>
      <c r="K669" s="200"/>
      <c r="L669" s="200"/>
      <c r="M669" s="200"/>
      <c r="N669" s="200"/>
      <c r="O669" s="200"/>
    </row>
    <row r="670" spans="1:15" ht="15.75" customHeight="1" x14ac:dyDescent="0.25">
      <c r="A670" s="192"/>
      <c r="B670" s="192"/>
      <c r="C670" s="200"/>
      <c r="D670" s="200"/>
      <c r="E670" s="200"/>
      <c r="F670" s="200"/>
      <c r="G670" s="200"/>
      <c r="H670" s="200"/>
      <c r="I670" s="200"/>
      <c r="J670" s="200"/>
      <c r="K670" s="200"/>
      <c r="L670" s="200"/>
      <c r="M670" s="200"/>
      <c r="N670" s="200"/>
      <c r="O670" s="200"/>
    </row>
    <row r="671" spans="1:15" ht="15.75" customHeight="1" x14ac:dyDescent="0.25">
      <c r="A671" s="192"/>
      <c r="B671" s="192"/>
      <c r="C671" s="200"/>
      <c r="D671" s="200"/>
      <c r="E671" s="200"/>
      <c r="F671" s="200"/>
      <c r="G671" s="200"/>
      <c r="H671" s="200"/>
      <c r="I671" s="200"/>
      <c r="J671" s="200"/>
      <c r="K671" s="200"/>
      <c r="L671" s="200"/>
      <c r="M671" s="200"/>
      <c r="N671" s="200"/>
      <c r="O671" s="200"/>
    </row>
    <row r="672" spans="1:15" ht="15.75" customHeight="1" x14ac:dyDescent="0.25">
      <c r="A672" s="192"/>
      <c r="B672" s="192"/>
      <c r="C672" s="200"/>
      <c r="D672" s="200"/>
      <c r="E672" s="200"/>
      <c r="F672" s="200"/>
      <c r="G672" s="200"/>
      <c r="H672" s="200"/>
      <c r="I672" s="200"/>
      <c r="J672" s="200"/>
      <c r="K672" s="200"/>
      <c r="L672" s="200"/>
      <c r="M672" s="200"/>
      <c r="N672" s="200"/>
      <c r="O672" s="200"/>
    </row>
    <row r="673" spans="1:15" ht="15.75" customHeight="1" x14ac:dyDescent="0.25">
      <c r="A673" s="192"/>
      <c r="B673" s="192"/>
      <c r="C673" s="200"/>
      <c r="D673" s="200"/>
      <c r="E673" s="200"/>
      <c r="F673" s="200"/>
      <c r="G673" s="200"/>
      <c r="H673" s="200"/>
      <c r="I673" s="200"/>
      <c r="J673" s="200"/>
      <c r="K673" s="200"/>
      <c r="L673" s="200"/>
      <c r="M673" s="200"/>
      <c r="N673" s="200"/>
      <c r="O673" s="200"/>
    </row>
    <row r="674" spans="1:15" ht="15.75" customHeight="1" x14ac:dyDescent="0.25">
      <c r="A674" s="192"/>
      <c r="B674" s="192"/>
      <c r="C674" s="200"/>
      <c r="D674" s="200"/>
      <c r="E674" s="200"/>
      <c r="F674" s="200"/>
      <c r="G674" s="200"/>
      <c r="H674" s="200"/>
      <c r="I674" s="200"/>
      <c r="J674" s="200"/>
      <c r="K674" s="200"/>
      <c r="L674" s="200"/>
      <c r="M674" s="200"/>
      <c r="N674" s="200"/>
      <c r="O674" s="200"/>
    </row>
    <row r="675" spans="1:15" ht="15.75" customHeight="1" x14ac:dyDescent="0.25">
      <c r="A675" s="192"/>
      <c r="B675" s="192"/>
      <c r="C675" s="200"/>
      <c r="D675" s="200"/>
      <c r="E675" s="200"/>
      <c r="F675" s="200"/>
      <c r="G675" s="200"/>
      <c r="H675" s="200"/>
      <c r="I675" s="200"/>
      <c r="J675" s="200"/>
      <c r="K675" s="200"/>
      <c r="L675" s="200"/>
      <c r="M675" s="200"/>
      <c r="N675" s="200"/>
      <c r="O675" s="200"/>
    </row>
    <row r="676" spans="1:15" ht="15.75" customHeight="1" x14ac:dyDescent="0.25">
      <c r="A676" s="192"/>
      <c r="B676" s="192"/>
      <c r="C676" s="200"/>
      <c r="D676" s="200"/>
      <c r="E676" s="200"/>
      <c r="F676" s="200"/>
      <c r="G676" s="200"/>
      <c r="H676" s="200"/>
      <c r="I676" s="200"/>
      <c r="J676" s="200"/>
      <c r="K676" s="200"/>
      <c r="L676" s="200"/>
      <c r="M676" s="200"/>
      <c r="N676" s="200"/>
      <c r="O676" s="200"/>
    </row>
    <row r="677" spans="1:15" ht="15.75" customHeight="1" x14ac:dyDescent="0.25">
      <c r="A677" s="192"/>
      <c r="B677" s="192"/>
      <c r="C677" s="200"/>
      <c r="D677" s="200"/>
      <c r="E677" s="200"/>
      <c r="F677" s="200"/>
      <c r="G677" s="200"/>
      <c r="H677" s="200"/>
      <c r="I677" s="200"/>
      <c r="J677" s="200"/>
      <c r="K677" s="200"/>
      <c r="L677" s="200"/>
      <c r="M677" s="200"/>
      <c r="N677" s="200"/>
      <c r="O677" s="200"/>
    </row>
    <row r="678" spans="1:15" ht="15.75" customHeight="1" x14ac:dyDescent="0.25">
      <c r="A678" s="192"/>
      <c r="B678" s="192"/>
      <c r="C678" s="200"/>
      <c r="D678" s="200"/>
      <c r="E678" s="200"/>
      <c r="F678" s="200"/>
      <c r="G678" s="200"/>
      <c r="H678" s="200"/>
      <c r="I678" s="200"/>
      <c r="J678" s="200"/>
      <c r="K678" s="200"/>
      <c r="L678" s="200"/>
      <c r="M678" s="200"/>
      <c r="N678" s="200"/>
      <c r="O678" s="200"/>
    </row>
    <row r="679" spans="1:15" ht="15.75" customHeight="1" x14ac:dyDescent="0.25">
      <c r="A679" s="192"/>
      <c r="B679" s="192"/>
      <c r="C679" s="200"/>
      <c r="D679" s="200"/>
      <c r="E679" s="200"/>
      <c r="F679" s="200"/>
      <c r="G679" s="200"/>
      <c r="H679" s="200"/>
      <c r="I679" s="200"/>
      <c r="J679" s="200"/>
      <c r="K679" s="200"/>
      <c r="L679" s="200"/>
      <c r="M679" s="200"/>
      <c r="N679" s="200"/>
      <c r="O679" s="200"/>
    </row>
    <row r="680" spans="1:15" ht="15.75" customHeight="1" x14ac:dyDescent="0.25">
      <c r="A680" s="192"/>
      <c r="B680" s="192"/>
      <c r="C680" s="200"/>
      <c r="D680" s="200"/>
      <c r="E680" s="200"/>
      <c r="F680" s="200"/>
      <c r="G680" s="200"/>
      <c r="H680" s="200"/>
      <c r="I680" s="200"/>
      <c r="J680" s="200"/>
      <c r="K680" s="200"/>
      <c r="L680" s="200"/>
      <c r="M680" s="200"/>
      <c r="N680" s="200"/>
      <c r="O680" s="200"/>
    </row>
    <row r="681" spans="1:15" ht="15.75" customHeight="1" x14ac:dyDescent="0.25">
      <c r="A681" s="192"/>
      <c r="B681" s="192"/>
      <c r="C681" s="200"/>
      <c r="D681" s="200"/>
      <c r="E681" s="200"/>
      <c r="F681" s="200"/>
      <c r="G681" s="200"/>
      <c r="H681" s="200"/>
      <c r="I681" s="200"/>
      <c r="J681" s="200"/>
      <c r="K681" s="200"/>
      <c r="L681" s="200"/>
      <c r="M681" s="200"/>
      <c r="N681" s="200"/>
      <c r="O681" s="200"/>
    </row>
    <row r="682" spans="1:15" ht="15.75" customHeight="1" x14ac:dyDescent="0.25">
      <c r="A682" s="192"/>
      <c r="B682" s="192"/>
      <c r="C682" s="200"/>
      <c r="D682" s="200"/>
      <c r="E682" s="200"/>
      <c r="F682" s="200"/>
      <c r="G682" s="200"/>
      <c r="H682" s="200"/>
      <c r="I682" s="200"/>
      <c r="J682" s="200"/>
      <c r="K682" s="200"/>
      <c r="L682" s="200"/>
      <c r="M682" s="200"/>
      <c r="N682" s="200"/>
      <c r="O682" s="200"/>
    </row>
    <row r="683" spans="1:15" ht="15.75" customHeight="1" x14ac:dyDescent="0.25">
      <c r="A683" s="192"/>
      <c r="B683" s="192"/>
      <c r="C683" s="200"/>
      <c r="D683" s="200"/>
      <c r="E683" s="200"/>
      <c r="F683" s="200"/>
      <c r="G683" s="200"/>
      <c r="H683" s="200"/>
      <c r="I683" s="200"/>
      <c r="J683" s="200"/>
      <c r="K683" s="200"/>
      <c r="L683" s="200"/>
      <c r="M683" s="200"/>
      <c r="N683" s="200"/>
      <c r="O683" s="200"/>
    </row>
    <row r="684" spans="1:15" ht="15.75" customHeight="1" x14ac:dyDescent="0.25">
      <c r="A684" s="192"/>
      <c r="B684" s="192"/>
      <c r="C684" s="200"/>
      <c r="D684" s="200"/>
      <c r="E684" s="200"/>
      <c r="F684" s="200"/>
      <c r="G684" s="200"/>
      <c r="H684" s="200"/>
      <c r="I684" s="200"/>
      <c r="J684" s="200"/>
      <c r="K684" s="200"/>
      <c r="L684" s="200"/>
      <c r="M684" s="200"/>
      <c r="N684" s="200"/>
      <c r="O684" s="200"/>
    </row>
    <row r="685" spans="1:15" ht="15.75" customHeight="1" x14ac:dyDescent="0.25">
      <c r="A685" s="192"/>
      <c r="B685" s="192"/>
      <c r="C685" s="200"/>
      <c r="D685" s="200"/>
      <c r="E685" s="200"/>
      <c r="F685" s="200"/>
      <c r="G685" s="200"/>
      <c r="H685" s="200"/>
      <c r="I685" s="200"/>
      <c r="J685" s="200"/>
      <c r="K685" s="200"/>
      <c r="L685" s="200"/>
      <c r="M685" s="200"/>
      <c r="N685" s="200"/>
      <c r="O685" s="200"/>
    </row>
    <row r="686" spans="1:15" ht="15.75" customHeight="1" x14ac:dyDescent="0.25">
      <c r="A686" s="192"/>
      <c r="B686" s="192"/>
      <c r="C686" s="200"/>
      <c r="D686" s="200"/>
      <c r="E686" s="200"/>
      <c r="F686" s="200"/>
      <c r="G686" s="200"/>
      <c r="H686" s="200"/>
      <c r="I686" s="200"/>
      <c r="J686" s="200"/>
      <c r="K686" s="200"/>
      <c r="L686" s="200"/>
      <c r="M686" s="200"/>
      <c r="N686" s="200"/>
      <c r="O686" s="200"/>
    </row>
    <row r="687" spans="1:15" ht="15.75" customHeight="1" x14ac:dyDescent="0.25">
      <c r="A687" s="192"/>
      <c r="B687" s="192"/>
      <c r="C687" s="200"/>
      <c r="D687" s="200"/>
      <c r="E687" s="200"/>
      <c r="F687" s="200"/>
      <c r="G687" s="200"/>
      <c r="H687" s="200"/>
      <c r="I687" s="200"/>
      <c r="J687" s="200"/>
      <c r="K687" s="200"/>
      <c r="L687" s="200"/>
      <c r="M687" s="200"/>
      <c r="N687" s="200"/>
      <c r="O687" s="200"/>
    </row>
    <row r="688" spans="1:15" ht="15.75" customHeight="1" x14ac:dyDescent="0.25">
      <c r="A688" s="192"/>
      <c r="B688" s="192"/>
      <c r="C688" s="200"/>
      <c r="D688" s="200"/>
      <c r="E688" s="200"/>
      <c r="F688" s="200"/>
      <c r="G688" s="200"/>
      <c r="H688" s="200"/>
      <c r="I688" s="200"/>
      <c r="J688" s="200"/>
      <c r="K688" s="200"/>
      <c r="L688" s="200"/>
      <c r="M688" s="200"/>
      <c r="N688" s="200"/>
      <c r="O688" s="200"/>
    </row>
    <row r="689" spans="1:15" ht="15.75" customHeight="1" x14ac:dyDescent="0.25">
      <c r="A689" s="192"/>
      <c r="B689" s="192"/>
      <c r="C689" s="200"/>
      <c r="D689" s="200"/>
      <c r="E689" s="200"/>
      <c r="F689" s="200"/>
      <c r="G689" s="200"/>
      <c r="H689" s="200"/>
      <c r="I689" s="200"/>
      <c r="J689" s="200"/>
      <c r="K689" s="200"/>
      <c r="L689" s="200"/>
      <c r="M689" s="200"/>
      <c r="N689" s="200"/>
      <c r="O689" s="200"/>
    </row>
    <row r="690" spans="1:15" ht="15.75" customHeight="1" x14ac:dyDescent="0.25">
      <c r="A690" s="192"/>
      <c r="B690" s="192"/>
      <c r="C690" s="200"/>
      <c r="D690" s="200"/>
      <c r="E690" s="200"/>
      <c r="F690" s="200"/>
      <c r="G690" s="200"/>
      <c r="H690" s="200"/>
      <c r="I690" s="200"/>
      <c r="J690" s="200"/>
      <c r="K690" s="200"/>
      <c r="L690" s="200"/>
      <c r="M690" s="200"/>
      <c r="N690" s="200"/>
      <c r="O690" s="200"/>
    </row>
    <row r="691" spans="1:15" ht="15.75" customHeight="1" x14ac:dyDescent="0.25">
      <c r="A691" s="192"/>
      <c r="B691" s="192"/>
      <c r="C691" s="200"/>
      <c r="D691" s="200"/>
      <c r="E691" s="200"/>
      <c r="F691" s="200"/>
      <c r="G691" s="200"/>
      <c r="H691" s="200"/>
      <c r="I691" s="200"/>
      <c r="J691" s="200"/>
      <c r="K691" s="200"/>
      <c r="L691" s="200"/>
      <c r="M691" s="200"/>
      <c r="N691" s="200"/>
      <c r="O691" s="200"/>
    </row>
    <row r="692" spans="1:15" ht="15.75" customHeight="1" x14ac:dyDescent="0.25">
      <c r="A692" s="192"/>
      <c r="B692" s="192"/>
      <c r="C692" s="200"/>
      <c r="D692" s="200"/>
      <c r="E692" s="200"/>
      <c r="F692" s="200"/>
      <c r="G692" s="200"/>
      <c r="H692" s="200"/>
      <c r="I692" s="200"/>
      <c r="J692" s="200"/>
      <c r="K692" s="200"/>
      <c r="L692" s="200"/>
      <c r="M692" s="200"/>
      <c r="N692" s="200"/>
      <c r="O692" s="200"/>
    </row>
    <row r="693" spans="1:15" ht="15.75" customHeight="1" x14ac:dyDescent="0.25">
      <c r="A693" s="192"/>
      <c r="B693" s="192"/>
      <c r="C693" s="200"/>
      <c r="D693" s="200"/>
      <c r="E693" s="200"/>
      <c r="F693" s="200"/>
      <c r="G693" s="200"/>
      <c r="H693" s="200"/>
      <c r="I693" s="200"/>
      <c r="J693" s="200"/>
      <c r="K693" s="200"/>
      <c r="L693" s="200"/>
      <c r="M693" s="200"/>
      <c r="N693" s="200"/>
      <c r="O693" s="200"/>
    </row>
    <row r="694" spans="1:15" ht="15.75" customHeight="1" x14ac:dyDescent="0.25">
      <c r="A694" s="192"/>
      <c r="B694" s="192"/>
      <c r="C694" s="200"/>
      <c r="D694" s="200"/>
      <c r="E694" s="200"/>
      <c r="F694" s="200"/>
      <c r="G694" s="200"/>
      <c r="H694" s="200"/>
      <c r="I694" s="200"/>
      <c r="J694" s="200"/>
      <c r="K694" s="200"/>
      <c r="L694" s="200"/>
      <c r="M694" s="200"/>
      <c r="N694" s="200"/>
      <c r="O694" s="200"/>
    </row>
    <row r="695" spans="1:15" ht="15.75" customHeight="1" x14ac:dyDescent="0.25">
      <c r="A695" s="192"/>
      <c r="B695" s="192"/>
      <c r="C695" s="200"/>
      <c r="D695" s="200"/>
      <c r="E695" s="200"/>
      <c r="F695" s="200"/>
      <c r="G695" s="200"/>
      <c r="H695" s="200"/>
      <c r="I695" s="200"/>
      <c r="J695" s="200"/>
      <c r="K695" s="200"/>
      <c r="L695" s="200"/>
      <c r="M695" s="200"/>
      <c r="N695" s="200"/>
      <c r="O695" s="200"/>
    </row>
    <row r="696" spans="1:15" ht="15.75" customHeight="1" x14ac:dyDescent="0.25">
      <c r="A696" s="192"/>
      <c r="B696" s="192"/>
      <c r="C696" s="200"/>
      <c r="D696" s="200"/>
      <c r="E696" s="200"/>
      <c r="F696" s="200"/>
      <c r="G696" s="200"/>
      <c r="H696" s="200"/>
      <c r="I696" s="200"/>
      <c r="J696" s="200"/>
      <c r="K696" s="200"/>
      <c r="L696" s="200"/>
      <c r="M696" s="200"/>
      <c r="N696" s="200"/>
      <c r="O696" s="200"/>
    </row>
    <row r="697" spans="1:15" ht="15.75" customHeight="1" x14ac:dyDescent="0.25">
      <c r="A697" s="192"/>
      <c r="B697" s="192"/>
      <c r="C697" s="200"/>
      <c r="D697" s="200"/>
      <c r="E697" s="200"/>
      <c r="F697" s="200"/>
      <c r="G697" s="200"/>
      <c r="H697" s="200"/>
      <c r="I697" s="200"/>
      <c r="J697" s="200"/>
      <c r="K697" s="200"/>
      <c r="L697" s="200"/>
      <c r="M697" s="200"/>
      <c r="N697" s="200"/>
      <c r="O697" s="200"/>
    </row>
    <row r="698" spans="1:15" ht="15.75" customHeight="1" x14ac:dyDescent="0.25">
      <c r="A698" s="192"/>
      <c r="B698" s="192"/>
      <c r="C698" s="200"/>
      <c r="D698" s="200"/>
      <c r="E698" s="200"/>
      <c r="F698" s="200"/>
      <c r="G698" s="200"/>
      <c r="H698" s="200"/>
      <c r="I698" s="200"/>
      <c r="J698" s="200"/>
      <c r="K698" s="200"/>
      <c r="L698" s="200"/>
      <c r="M698" s="200"/>
      <c r="N698" s="200"/>
      <c r="O698" s="200"/>
    </row>
    <row r="699" spans="1:15" ht="15.75" customHeight="1" x14ac:dyDescent="0.25">
      <c r="A699" s="192"/>
      <c r="B699" s="192"/>
      <c r="C699" s="200"/>
      <c r="D699" s="200"/>
      <c r="E699" s="200"/>
      <c r="F699" s="200"/>
      <c r="G699" s="200"/>
      <c r="H699" s="200"/>
      <c r="I699" s="200"/>
      <c r="J699" s="200"/>
      <c r="K699" s="200"/>
      <c r="L699" s="200"/>
      <c r="M699" s="200"/>
      <c r="N699" s="200"/>
      <c r="O699" s="200"/>
    </row>
    <row r="700" spans="1:15" ht="15.75" customHeight="1" x14ac:dyDescent="0.25">
      <c r="A700" s="192"/>
      <c r="B700" s="192"/>
      <c r="C700" s="200"/>
      <c r="D700" s="200"/>
      <c r="E700" s="200"/>
      <c r="F700" s="200"/>
      <c r="G700" s="200"/>
      <c r="H700" s="200"/>
      <c r="I700" s="200"/>
      <c r="J700" s="200"/>
      <c r="K700" s="200"/>
      <c r="L700" s="200"/>
      <c r="M700" s="200"/>
      <c r="N700" s="200"/>
      <c r="O700" s="200"/>
    </row>
    <row r="701" spans="1:15" ht="15.75" customHeight="1" x14ac:dyDescent="0.25">
      <c r="A701" s="192"/>
      <c r="B701" s="192"/>
      <c r="C701" s="200"/>
      <c r="D701" s="200"/>
      <c r="E701" s="200"/>
      <c r="F701" s="200"/>
      <c r="G701" s="200"/>
      <c r="H701" s="200"/>
      <c r="I701" s="200"/>
      <c r="J701" s="200"/>
      <c r="K701" s="200"/>
      <c r="L701" s="200"/>
      <c r="M701" s="200"/>
      <c r="N701" s="200"/>
      <c r="O701" s="200"/>
    </row>
    <row r="702" spans="1:15" ht="15.75" customHeight="1" x14ac:dyDescent="0.25">
      <c r="A702" s="192"/>
      <c r="B702" s="192"/>
      <c r="C702" s="200"/>
      <c r="D702" s="200"/>
      <c r="E702" s="200"/>
      <c r="F702" s="200"/>
      <c r="G702" s="200"/>
      <c r="H702" s="200"/>
      <c r="I702" s="200"/>
      <c r="J702" s="200"/>
      <c r="K702" s="200"/>
      <c r="L702" s="200"/>
      <c r="M702" s="200"/>
      <c r="N702" s="200"/>
      <c r="O702" s="200"/>
    </row>
    <row r="703" spans="1:15" ht="15.75" customHeight="1" x14ac:dyDescent="0.25">
      <c r="A703" s="192"/>
      <c r="B703" s="192"/>
      <c r="C703" s="200"/>
      <c r="D703" s="200"/>
      <c r="E703" s="200"/>
      <c r="F703" s="200"/>
      <c r="G703" s="200"/>
      <c r="H703" s="200"/>
      <c r="I703" s="200"/>
      <c r="J703" s="200"/>
      <c r="K703" s="200"/>
      <c r="L703" s="200"/>
      <c r="M703" s="200"/>
      <c r="N703" s="200"/>
      <c r="O703" s="200"/>
    </row>
    <row r="704" spans="1:15" ht="15.75" customHeight="1" x14ac:dyDescent="0.25">
      <c r="A704" s="192"/>
      <c r="B704" s="192"/>
      <c r="C704" s="200"/>
      <c r="D704" s="200"/>
      <c r="E704" s="200"/>
      <c r="F704" s="200"/>
      <c r="G704" s="200"/>
      <c r="H704" s="200"/>
      <c r="I704" s="200"/>
      <c r="J704" s="200"/>
      <c r="K704" s="200"/>
      <c r="L704" s="200"/>
      <c r="M704" s="200"/>
      <c r="N704" s="200"/>
      <c r="O704" s="200"/>
    </row>
    <row r="705" spans="1:15" ht="15.75" customHeight="1" x14ac:dyDescent="0.25">
      <c r="A705" s="192"/>
      <c r="B705" s="192"/>
      <c r="C705" s="200"/>
      <c r="D705" s="200"/>
      <c r="E705" s="200"/>
      <c r="F705" s="200"/>
      <c r="G705" s="200"/>
      <c r="H705" s="200"/>
      <c r="I705" s="200"/>
      <c r="J705" s="200"/>
      <c r="K705" s="200"/>
      <c r="L705" s="200"/>
      <c r="M705" s="200"/>
      <c r="N705" s="200"/>
      <c r="O705" s="200"/>
    </row>
    <row r="706" spans="1:15" ht="15.75" customHeight="1" x14ac:dyDescent="0.25">
      <c r="A706" s="192"/>
      <c r="B706" s="192"/>
      <c r="C706" s="200"/>
      <c r="D706" s="200"/>
      <c r="E706" s="200"/>
      <c r="F706" s="200"/>
      <c r="G706" s="200"/>
      <c r="H706" s="200"/>
      <c r="I706" s="200"/>
      <c r="J706" s="200"/>
      <c r="K706" s="200"/>
      <c r="L706" s="200"/>
      <c r="M706" s="200"/>
      <c r="N706" s="200"/>
      <c r="O706" s="200"/>
    </row>
    <row r="707" spans="1:15" ht="15.75" customHeight="1" x14ac:dyDescent="0.25">
      <c r="A707" s="192"/>
      <c r="B707" s="192"/>
      <c r="C707" s="200"/>
      <c r="D707" s="200"/>
      <c r="E707" s="200"/>
      <c r="F707" s="200"/>
      <c r="G707" s="200"/>
      <c r="H707" s="200"/>
      <c r="I707" s="200"/>
      <c r="J707" s="200"/>
      <c r="K707" s="200"/>
      <c r="L707" s="200"/>
      <c r="M707" s="200"/>
      <c r="N707" s="200"/>
      <c r="O707" s="200"/>
    </row>
    <row r="708" spans="1:15" ht="15.75" customHeight="1" x14ac:dyDescent="0.25">
      <c r="A708" s="192"/>
      <c r="B708" s="192"/>
      <c r="C708" s="200"/>
      <c r="D708" s="200"/>
      <c r="E708" s="200"/>
      <c r="F708" s="200"/>
      <c r="G708" s="200"/>
      <c r="H708" s="200"/>
      <c r="I708" s="200"/>
      <c r="J708" s="200"/>
      <c r="K708" s="200"/>
      <c r="L708" s="200"/>
      <c r="M708" s="200"/>
      <c r="N708" s="200"/>
      <c r="O708" s="200"/>
    </row>
    <row r="709" spans="1:15" ht="15.75" customHeight="1" x14ac:dyDescent="0.25">
      <c r="A709" s="192"/>
      <c r="B709" s="192"/>
      <c r="C709" s="200"/>
      <c r="D709" s="200"/>
      <c r="E709" s="200"/>
      <c r="F709" s="200"/>
      <c r="G709" s="200"/>
      <c r="H709" s="200"/>
      <c r="I709" s="200"/>
      <c r="J709" s="200"/>
      <c r="K709" s="200"/>
      <c r="L709" s="200"/>
      <c r="M709" s="200"/>
      <c r="N709" s="200"/>
      <c r="O709" s="200"/>
    </row>
    <row r="710" spans="1:15" ht="15.75" customHeight="1" x14ac:dyDescent="0.25">
      <c r="A710" s="192"/>
      <c r="B710" s="192"/>
      <c r="C710" s="200"/>
      <c r="D710" s="200"/>
      <c r="E710" s="200"/>
      <c r="F710" s="200"/>
      <c r="G710" s="200"/>
      <c r="H710" s="200"/>
      <c r="I710" s="200"/>
      <c r="J710" s="200"/>
      <c r="K710" s="200"/>
      <c r="L710" s="200"/>
      <c r="M710" s="200"/>
      <c r="N710" s="200"/>
      <c r="O710" s="200"/>
    </row>
    <row r="711" spans="1:15" ht="15.75" customHeight="1" x14ac:dyDescent="0.25">
      <c r="A711" s="192"/>
      <c r="B711" s="192"/>
      <c r="C711" s="200"/>
      <c r="D711" s="200"/>
      <c r="E711" s="200"/>
      <c r="F711" s="200"/>
      <c r="G711" s="200"/>
      <c r="H711" s="200"/>
      <c r="I711" s="200"/>
      <c r="J711" s="200"/>
      <c r="K711" s="200"/>
      <c r="L711" s="200"/>
      <c r="M711" s="200"/>
      <c r="N711" s="200"/>
      <c r="O711" s="200"/>
    </row>
    <row r="712" spans="1:15" ht="15.75" customHeight="1" x14ac:dyDescent="0.25">
      <c r="A712" s="192"/>
      <c r="B712" s="192"/>
      <c r="C712" s="200"/>
      <c r="D712" s="200"/>
      <c r="E712" s="200"/>
      <c r="F712" s="200"/>
      <c r="G712" s="200"/>
      <c r="H712" s="200"/>
      <c r="I712" s="200"/>
      <c r="J712" s="200"/>
      <c r="K712" s="200"/>
      <c r="L712" s="200"/>
      <c r="M712" s="200"/>
      <c r="N712" s="200"/>
      <c r="O712" s="200"/>
    </row>
    <row r="713" spans="1:15" ht="15.75" customHeight="1" x14ac:dyDescent="0.25">
      <c r="A713" s="192"/>
      <c r="B713" s="192"/>
      <c r="C713" s="200"/>
      <c r="D713" s="200"/>
      <c r="E713" s="200"/>
      <c r="F713" s="200"/>
      <c r="G713" s="200"/>
      <c r="H713" s="200"/>
      <c r="I713" s="200"/>
      <c r="J713" s="200"/>
      <c r="K713" s="200"/>
      <c r="L713" s="200"/>
      <c r="M713" s="200"/>
      <c r="N713" s="200"/>
      <c r="O713" s="200"/>
    </row>
    <row r="714" spans="1:15" ht="15.75" customHeight="1" x14ac:dyDescent="0.25">
      <c r="A714" s="192"/>
      <c r="B714" s="192"/>
      <c r="C714" s="200"/>
      <c r="D714" s="200"/>
      <c r="E714" s="200"/>
      <c r="F714" s="200"/>
      <c r="G714" s="200"/>
      <c r="H714" s="200"/>
      <c r="I714" s="200"/>
      <c r="J714" s="200"/>
      <c r="K714" s="200"/>
      <c r="L714" s="200"/>
      <c r="M714" s="200"/>
      <c r="N714" s="200"/>
      <c r="O714" s="200"/>
    </row>
    <row r="715" spans="1:15" ht="15.75" customHeight="1" x14ac:dyDescent="0.25">
      <c r="A715" s="192"/>
      <c r="B715" s="192"/>
      <c r="C715" s="200"/>
      <c r="D715" s="200"/>
      <c r="E715" s="200"/>
      <c r="F715" s="200"/>
      <c r="G715" s="200"/>
      <c r="H715" s="200"/>
      <c r="I715" s="200"/>
      <c r="J715" s="200"/>
      <c r="K715" s="200"/>
      <c r="L715" s="200"/>
      <c r="M715" s="200"/>
      <c r="N715" s="200"/>
      <c r="O715" s="200"/>
    </row>
    <row r="716" spans="1:15" ht="15.75" customHeight="1" x14ac:dyDescent="0.25">
      <c r="A716" s="192"/>
      <c r="B716" s="192"/>
      <c r="C716" s="200"/>
      <c r="D716" s="200"/>
      <c r="E716" s="200"/>
      <c r="F716" s="200"/>
      <c r="G716" s="200"/>
      <c r="H716" s="200"/>
      <c r="I716" s="200"/>
      <c r="J716" s="200"/>
      <c r="K716" s="200"/>
      <c r="L716" s="200"/>
      <c r="M716" s="200"/>
      <c r="N716" s="200"/>
      <c r="O716" s="200"/>
    </row>
    <row r="717" spans="1:15" ht="15.75" customHeight="1" x14ac:dyDescent="0.25">
      <c r="A717" s="192"/>
      <c r="B717" s="192"/>
      <c r="C717" s="200"/>
      <c r="D717" s="200"/>
      <c r="E717" s="200"/>
      <c r="F717" s="200"/>
      <c r="G717" s="200"/>
      <c r="H717" s="200"/>
      <c r="I717" s="200"/>
      <c r="J717" s="200"/>
      <c r="K717" s="200"/>
      <c r="L717" s="200"/>
      <c r="M717" s="200"/>
      <c r="N717" s="200"/>
      <c r="O717" s="200"/>
    </row>
    <row r="718" spans="1:15" ht="15.75" customHeight="1" x14ac:dyDescent="0.25">
      <c r="A718" s="192"/>
      <c r="B718" s="192"/>
      <c r="C718" s="200"/>
      <c r="D718" s="200"/>
      <c r="E718" s="200"/>
      <c r="F718" s="200"/>
      <c r="G718" s="200"/>
      <c r="H718" s="200"/>
      <c r="I718" s="200"/>
      <c r="J718" s="200"/>
      <c r="K718" s="200"/>
      <c r="L718" s="200"/>
      <c r="M718" s="200"/>
      <c r="N718" s="200"/>
      <c r="O718" s="200"/>
    </row>
    <row r="719" spans="1:15" ht="15.75" customHeight="1" x14ac:dyDescent="0.25">
      <c r="A719" s="192"/>
      <c r="B719" s="192"/>
      <c r="C719" s="200"/>
      <c r="D719" s="200"/>
      <c r="E719" s="200"/>
      <c r="F719" s="200"/>
      <c r="G719" s="200"/>
      <c r="H719" s="200"/>
      <c r="I719" s="200"/>
      <c r="J719" s="200"/>
      <c r="K719" s="200"/>
      <c r="L719" s="200"/>
      <c r="M719" s="200"/>
      <c r="N719" s="200"/>
      <c r="O719" s="200"/>
    </row>
    <row r="720" spans="1:15" ht="15.75" customHeight="1" x14ac:dyDescent="0.25">
      <c r="A720" s="192"/>
      <c r="B720" s="192"/>
      <c r="C720" s="200"/>
      <c r="D720" s="200"/>
      <c r="E720" s="200"/>
      <c r="F720" s="200"/>
      <c r="G720" s="200"/>
      <c r="H720" s="200"/>
      <c r="I720" s="200"/>
      <c r="J720" s="200"/>
      <c r="K720" s="200"/>
      <c r="L720" s="200"/>
      <c r="M720" s="200"/>
      <c r="N720" s="200"/>
      <c r="O720" s="200"/>
    </row>
    <row r="721" spans="1:15" ht="15.75" customHeight="1" x14ac:dyDescent="0.25">
      <c r="A721" s="192"/>
      <c r="B721" s="192"/>
      <c r="C721" s="200"/>
      <c r="D721" s="200"/>
      <c r="E721" s="200"/>
      <c r="F721" s="200"/>
      <c r="G721" s="200"/>
      <c r="H721" s="200"/>
      <c r="I721" s="200"/>
      <c r="J721" s="200"/>
      <c r="K721" s="200"/>
      <c r="L721" s="200"/>
      <c r="M721" s="200"/>
      <c r="N721" s="200"/>
      <c r="O721" s="200"/>
    </row>
    <row r="722" spans="1:15" ht="15.75" customHeight="1" x14ac:dyDescent="0.25">
      <c r="A722" s="192"/>
      <c r="B722" s="192"/>
      <c r="C722" s="200"/>
      <c r="D722" s="200"/>
      <c r="E722" s="200"/>
      <c r="F722" s="200"/>
      <c r="G722" s="200"/>
      <c r="H722" s="200"/>
      <c r="I722" s="200"/>
      <c r="J722" s="200"/>
      <c r="K722" s="200"/>
      <c r="L722" s="200"/>
      <c r="M722" s="200"/>
      <c r="N722" s="200"/>
      <c r="O722" s="200"/>
    </row>
    <row r="723" spans="1:15" ht="15.75" customHeight="1" x14ac:dyDescent="0.25">
      <c r="A723" s="192"/>
      <c r="B723" s="192"/>
      <c r="C723" s="200"/>
      <c r="D723" s="200"/>
      <c r="E723" s="200"/>
      <c r="F723" s="200"/>
      <c r="G723" s="200"/>
      <c r="H723" s="200"/>
      <c r="I723" s="200"/>
      <c r="J723" s="200"/>
      <c r="K723" s="200"/>
      <c r="L723" s="200"/>
      <c r="M723" s="200"/>
      <c r="N723" s="200"/>
      <c r="O723" s="200"/>
    </row>
    <row r="724" spans="1:15" ht="15.75" customHeight="1" x14ac:dyDescent="0.25">
      <c r="A724" s="192"/>
      <c r="B724" s="192"/>
      <c r="C724" s="200"/>
      <c r="D724" s="200"/>
      <c r="E724" s="200"/>
      <c r="F724" s="200"/>
      <c r="G724" s="200"/>
      <c r="H724" s="200"/>
      <c r="I724" s="200"/>
      <c r="J724" s="200"/>
      <c r="K724" s="200"/>
      <c r="L724" s="200"/>
      <c r="M724" s="200"/>
      <c r="N724" s="200"/>
      <c r="O724" s="200"/>
    </row>
    <row r="725" spans="1:15" ht="15.75" customHeight="1" x14ac:dyDescent="0.25">
      <c r="A725" s="192"/>
      <c r="B725" s="192"/>
      <c r="C725" s="200"/>
      <c r="D725" s="200"/>
      <c r="E725" s="200"/>
      <c r="F725" s="200"/>
      <c r="G725" s="200"/>
      <c r="H725" s="200"/>
      <c r="I725" s="200"/>
      <c r="J725" s="200"/>
      <c r="K725" s="200"/>
      <c r="L725" s="200"/>
      <c r="M725" s="200"/>
      <c r="N725" s="200"/>
      <c r="O725" s="200"/>
    </row>
    <row r="726" spans="1:15" ht="15.75" customHeight="1" x14ac:dyDescent="0.25">
      <c r="A726" s="192"/>
      <c r="B726" s="192"/>
      <c r="C726" s="200"/>
      <c r="D726" s="200"/>
      <c r="E726" s="200"/>
      <c r="F726" s="200"/>
      <c r="G726" s="200"/>
      <c r="H726" s="200"/>
      <c r="I726" s="200"/>
      <c r="J726" s="200"/>
      <c r="K726" s="200"/>
      <c r="L726" s="200"/>
      <c r="M726" s="200"/>
      <c r="N726" s="200"/>
      <c r="O726" s="200"/>
    </row>
    <row r="727" spans="1:15" ht="15.75" customHeight="1" x14ac:dyDescent="0.25">
      <c r="A727" s="192"/>
      <c r="B727" s="192"/>
      <c r="C727" s="200"/>
      <c r="D727" s="200"/>
      <c r="E727" s="200"/>
      <c r="F727" s="200"/>
      <c r="G727" s="200"/>
      <c r="H727" s="200"/>
      <c r="I727" s="200"/>
      <c r="J727" s="200"/>
      <c r="K727" s="200"/>
      <c r="L727" s="200"/>
      <c r="M727" s="200"/>
      <c r="N727" s="200"/>
      <c r="O727" s="200"/>
    </row>
    <row r="728" spans="1:15" ht="15.75" customHeight="1" x14ac:dyDescent="0.25">
      <c r="A728" s="192"/>
      <c r="B728" s="192"/>
      <c r="C728" s="200"/>
      <c r="D728" s="200"/>
      <c r="E728" s="200"/>
      <c r="F728" s="200"/>
      <c r="G728" s="200"/>
      <c r="H728" s="200"/>
      <c r="I728" s="200"/>
      <c r="J728" s="200"/>
      <c r="K728" s="200"/>
      <c r="L728" s="200"/>
      <c r="M728" s="200"/>
      <c r="N728" s="200"/>
      <c r="O728" s="200"/>
    </row>
    <row r="729" spans="1:15" ht="15.75" customHeight="1" x14ac:dyDescent="0.25">
      <c r="A729" s="192"/>
      <c r="B729" s="192"/>
      <c r="C729" s="200"/>
      <c r="D729" s="200"/>
      <c r="E729" s="200"/>
      <c r="F729" s="200"/>
      <c r="G729" s="200"/>
      <c r="H729" s="200"/>
      <c r="I729" s="200"/>
      <c r="J729" s="200"/>
      <c r="K729" s="200"/>
      <c r="L729" s="200"/>
      <c r="M729" s="200"/>
      <c r="N729" s="200"/>
      <c r="O729" s="200"/>
    </row>
    <row r="730" spans="1:15" ht="15.75" customHeight="1" x14ac:dyDescent="0.25">
      <c r="A730" s="192"/>
      <c r="B730" s="192"/>
      <c r="C730" s="200"/>
      <c r="D730" s="200"/>
      <c r="E730" s="200"/>
      <c r="F730" s="200"/>
      <c r="G730" s="200"/>
      <c r="H730" s="200"/>
      <c r="I730" s="200"/>
      <c r="J730" s="200"/>
      <c r="K730" s="200"/>
      <c r="L730" s="200"/>
      <c r="M730" s="200"/>
      <c r="N730" s="200"/>
      <c r="O730" s="200"/>
    </row>
    <row r="731" spans="1:15" ht="15.75" customHeight="1" x14ac:dyDescent="0.25">
      <c r="A731" s="192"/>
      <c r="B731" s="192"/>
      <c r="C731" s="200"/>
      <c r="D731" s="200"/>
      <c r="E731" s="200"/>
      <c r="F731" s="200"/>
      <c r="G731" s="200"/>
      <c r="H731" s="200"/>
      <c r="I731" s="200"/>
      <c r="J731" s="200"/>
      <c r="K731" s="200"/>
      <c r="L731" s="200"/>
      <c r="M731" s="200"/>
      <c r="N731" s="200"/>
      <c r="O731" s="200"/>
    </row>
    <row r="732" spans="1:15" ht="15.75" customHeight="1" x14ac:dyDescent="0.25">
      <c r="A732" s="192"/>
      <c r="B732" s="192"/>
      <c r="C732" s="200"/>
      <c r="D732" s="200"/>
      <c r="E732" s="200"/>
      <c r="F732" s="200"/>
      <c r="G732" s="200"/>
      <c r="H732" s="200"/>
      <c r="I732" s="200"/>
      <c r="J732" s="200"/>
      <c r="K732" s="200"/>
      <c r="L732" s="200"/>
      <c r="M732" s="200"/>
      <c r="N732" s="200"/>
      <c r="O732" s="200"/>
    </row>
    <row r="733" spans="1:15" ht="15.75" customHeight="1" x14ac:dyDescent="0.25">
      <c r="A733" s="192"/>
      <c r="B733" s="192"/>
      <c r="C733" s="200"/>
      <c r="D733" s="200"/>
      <c r="E733" s="200"/>
      <c r="F733" s="200"/>
      <c r="G733" s="200"/>
      <c r="H733" s="200"/>
      <c r="I733" s="200"/>
      <c r="J733" s="200"/>
      <c r="K733" s="200"/>
      <c r="L733" s="200"/>
      <c r="M733" s="200"/>
      <c r="N733" s="200"/>
      <c r="O733" s="200"/>
    </row>
    <row r="734" spans="1:15" ht="15.75" customHeight="1" x14ac:dyDescent="0.25">
      <c r="A734" s="192"/>
      <c r="B734" s="192"/>
      <c r="C734" s="200"/>
      <c r="D734" s="200"/>
      <c r="E734" s="200"/>
      <c r="F734" s="200"/>
      <c r="G734" s="200"/>
      <c r="H734" s="200"/>
      <c r="I734" s="200"/>
      <c r="J734" s="200"/>
      <c r="K734" s="200"/>
      <c r="L734" s="200"/>
      <c r="M734" s="200"/>
      <c r="N734" s="200"/>
      <c r="O734" s="200"/>
    </row>
    <row r="735" spans="1:15" ht="15.75" customHeight="1" x14ac:dyDescent="0.25">
      <c r="A735" s="192"/>
      <c r="B735" s="192"/>
      <c r="C735" s="200"/>
      <c r="D735" s="200"/>
      <c r="E735" s="200"/>
      <c r="F735" s="200"/>
      <c r="G735" s="200"/>
      <c r="H735" s="200"/>
      <c r="I735" s="200"/>
      <c r="J735" s="200"/>
      <c r="K735" s="200"/>
      <c r="L735" s="200"/>
      <c r="M735" s="200"/>
      <c r="N735" s="200"/>
      <c r="O735" s="200"/>
    </row>
    <row r="736" spans="1:15" ht="15.75" customHeight="1" x14ac:dyDescent="0.25">
      <c r="A736" s="192"/>
      <c r="B736" s="192"/>
      <c r="C736" s="200"/>
      <c r="D736" s="200"/>
      <c r="E736" s="200"/>
      <c r="F736" s="200"/>
      <c r="G736" s="200"/>
      <c r="H736" s="200"/>
      <c r="I736" s="200"/>
      <c r="J736" s="200"/>
      <c r="K736" s="200"/>
      <c r="L736" s="200"/>
      <c r="M736" s="200"/>
      <c r="N736" s="200"/>
      <c r="O736" s="200"/>
    </row>
    <row r="737" spans="1:15" ht="15.75" customHeight="1" x14ac:dyDescent="0.25">
      <c r="A737" s="192"/>
      <c r="B737" s="192"/>
      <c r="C737" s="200"/>
      <c r="D737" s="200"/>
      <c r="E737" s="200"/>
      <c r="F737" s="200"/>
      <c r="G737" s="200"/>
      <c r="H737" s="200"/>
      <c r="I737" s="200"/>
      <c r="J737" s="200"/>
      <c r="K737" s="200"/>
      <c r="L737" s="200"/>
      <c r="M737" s="200"/>
      <c r="N737" s="200"/>
      <c r="O737" s="200"/>
    </row>
    <row r="738" spans="1:15" ht="15.75" customHeight="1" x14ac:dyDescent="0.25">
      <c r="A738" s="192"/>
      <c r="B738" s="192"/>
      <c r="C738" s="200"/>
      <c r="D738" s="200"/>
      <c r="E738" s="200"/>
      <c r="F738" s="200"/>
      <c r="G738" s="200"/>
      <c r="H738" s="200"/>
      <c r="I738" s="200"/>
      <c r="J738" s="200"/>
      <c r="K738" s="200"/>
      <c r="L738" s="200"/>
      <c r="M738" s="200"/>
      <c r="N738" s="200"/>
      <c r="O738" s="200"/>
    </row>
    <row r="739" spans="1:15" ht="15.75" customHeight="1" x14ac:dyDescent="0.25">
      <c r="A739" s="192"/>
      <c r="B739" s="192"/>
      <c r="C739" s="200"/>
      <c r="D739" s="200"/>
      <c r="E739" s="200"/>
      <c r="F739" s="200"/>
      <c r="G739" s="200"/>
      <c r="H739" s="200"/>
      <c r="I739" s="200"/>
      <c r="J739" s="200"/>
      <c r="K739" s="200"/>
      <c r="L739" s="200"/>
      <c r="M739" s="200"/>
      <c r="N739" s="200"/>
      <c r="O739" s="200"/>
    </row>
    <row r="740" spans="1:15" ht="15.75" customHeight="1" x14ac:dyDescent="0.25">
      <c r="A740" s="192"/>
      <c r="B740" s="192"/>
      <c r="C740" s="200"/>
      <c r="D740" s="200"/>
      <c r="E740" s="200"/>
      <c r="F740" s="200"/>
      <c r="G740" s="200"/>
      <c r="H740" s="200"/>
      <c r="I740" s="200"/>
      <c r="J740" s="200"/>
      <c r="K740" s="200"/>
      <c r="L740" s="200"/>
      <c r="M740" s="200"/>
      <c r="N740" s="200"/>
      <c r="O740" s="200"/>
    </row>
    <row r="741" spans="1:15" ht="15.75" customHeight="1" x14ac:dyDescent="0.25">
      <c r="A741" s="192"/>
      <c r="B741" s="192"/>
      <c r="C741" s="200"/>
      <c r="D741" s="200"/>
      <c r="E741" s="200"/>
      <c r="F741" s="200"/>
      <c r="G741" s="200"/>
      <c r="H741" s="200"/>
      <c r="I741" s="200"/>
      <c r="J741" s="200"/>
      <c r="K741" s="200"/>
      <c r="L741" s="200"/>
      <c r="M741" s="200"/>
      <c r="N741" s="200"/>
      <c r="O741" s="200"/>
    </row>
    <row r="742" spans="1:15" ht="15.75" customHeight="1" x14ac:dyDescent="0.25">
      <c r="A742" s="192"/>
      <c r="B742" s="192"/>
      <c r="C742" s="200"/>
      <c r="D742" s="200"/>
      <c r="E742" s="200"/>
      <c r="F742" s="200"/>
      <c r="G742" s="200"/>
      <c r="H742" s="200"/>
      <c r="I742" s="200"/>
      <c r="J742" s="200"/>
      <c r="K742" s="200"/>
      <c r="L742" s="200"/>
      <c r="M742" s="200"/>
      <c r="N742" s="200"/>
      <c r="O742" s="200"/>
    </row>
    <row r="743" spans="1:15" ht="15.75" customHeight="1" x14ac:dyDescent="0.25">
      <c r="A743" s="192"/>
      <c r="B743" s="192"/>
      <c r="C743" s="200"/>
      <c r="D743" s="200"/>
      <c r="E743" s="200"/>
      <c r="F743" s="200"/>
      <c r="G743" s="200"/>
      <c r="H743" s="200"/>
      <c r="I743" s="200"/>
      <c r="J743" s="200"/>
      <c r="K743" s="200"/>
      <c r="L743" s="200"/>
      <c r="M743" s="200"/>
      <c r="N743" s="200"/>
      <c r="O743" s="200"/>
    </row>
    <row r="744" spans="1:15" ht="15.75" customHeight="1" x14ac:dyDescent="0.25">
      <c r="A744" s="192"/>
      <c r="B744" s="192"/>
      <c r="C744" s="200"/>
      <c r="D744" s="200"/>
      <c r="E744" s="200"/>
      <c r="F744" s="200"/>
      <c r="G744" s="200"/>
      <c r="H744" s="200"/>
      <c r="I744" s="200"/>
      <c r="J744" s="200"/>
      <c r="K744" s="200"/>
      <c r="L744" s="200"/>
      <c r="M744" s="200"/>
      <c r="N744" s="200"/>
      <c r="O744" s="200"/>
    </row>
    <row r="745" spans="1:15" ht="15.75" customHeight="1" x14ac:dyDescent="0.25">
      <c r="A745" s="192"/>
      <c r="B745" s="192"/>
      <c r="C745" s="200"/>
      <c r="D745" s="200"/>
      <c r="E745" s="200"/>
      <c r="F745" s="200"/>
      <c r="G745" s="200"/>
      <c r="H745" s="200"/>
      <c r="I745" s="200"/>
      <c r="J745" s="200"/>
      <c r="K745" s="200"/>
      <c r="L745" s="200"/>
      <c r="M745" s="200"/>
      <c r="N745" s="200"/>
      <c r="O745" s="200"/>
    </row>
    <row r="746" spans="1:15" ht="15.75" customHeight="1" x14ac:dyDescent="0.25">
      <c r="A746" s="192"/>
      <c r="B746" s="192"/>
      <c r="C746" s="200"/>
      <c r="D746" s="200"/>
      <c r="E746" s="200"/>
      <c r="F746" s="200"/>
      <c r="G746" s="200"/>
      <c r="H746" s="200"/>
      <c r="I746" s="200"/>
      <c r="J746" s="200"/>
      <c r="K746" s="200"/>
      <c r="L746" s="200"/>
      <c r="M746" s="200"/>
      <c r="N746" s="200"/>
      <c r="O746" s="200"/>
    </row>
    <row r="747" spans="1:15" ht="15.75" customHeight="1" x14ac:dyDescent="0.25">
      <c r="A747" s="192"/>
      <c r="B747" s="192"/>
      <c r="C747" s="200"/>
      <c r="D747" s="200"/>
      <c r="E747" s="200"/>
      <c r="F747" s="200"/>
      <c r="G747" s="200"/>
      <c r="H747" s="200"/>
      <c r="I747" s="200"/>
      <c r="J747" s="200"/>
      <c r="K747" s="200"/>
      <c r="L747" s="200"/>
      <c r="M747" s="200"/>
      <c r="N747" s="200"/>
      <c r="O747" s="200"/>
    </row>
    <row r="748" spans="1:15" ht="15.75" customHeight="1" x14ac:dyDescent="0.25">
      <c r="A748" s="192"/>
      <c r="B748" s="192"/>
      <c r="C748" s="200"/>
      <c r="D748" s="200"/>
      <c r="E748" s="200"/>
      <c r="F748" s="200"/>
      <c r="G748" s="200"/>
      <c r="H748" s="200"/>
      <c r="I748" s="200"/>
      <c r="J748" s="200"/>
      <c r="K748" s="200"/>
      <c r="L748" s="200"/>
      <c r="M748" s="200"/>
      <c r="N748" s="200"/>
      <c r="O748" s="200"/>
    </row>
    <row r="749" spans="1:15" ht="15.75" customHeight="1" x14ac:dyDescent="0.25">
      <c r="A749" s="192"/>
      <c r="B749" s="192"/>
      <c r="C749" s="200"/>
      <c r="D749" s="200"/>
      <c r="E749" s="200"/>
      <c r="F749" s="200"/>
      <c r="G749" s="200"/>
      <c r="H749" s="200"/>
      <c r="I749" s="200"/>
      <c r="J749" s="200"/>
      <c r="K749" s="200"/>
      <c r="L749" s="200"/>
      <c r="M749" s="200"/>
      <c r="N749" s="200"/>
      <c r="O749" s="200"/>
    </row>
    <row r="750" spans="1:15" ht="15.75" customHeight="1" x14ac:dyDescent="0.25">
      <c r="A750" s="192"/>
      <c r="B750" s="192"/>
      <c r="C750" s="200"/>
      <c r="D750" s="200"/>
      <c r="E750" s="200"/>
      <c r="F750" s="200"/>
      <c r="G750" s="200"/>
      <c r="H750" s="200"/>
      <c r="I750" s="200"/>
      <c r="J750" s="200"/>
      <c r="K750" s="200"/>
      <c r="L750" s="200"/>
      <c r="M750" s="200"/>
      <c r="N750" s="200"/>
      <c r="O750" s="200"/>
    </row>
    <row r="751" spans="1:15" ht="15.75" customHeight="1" x14ac:dyDescent="0.25">
      <c r="A751" s="192"/>
      <c r="B751" s="192"/>
      <c r="C751" s="200"/>
      <c r="D751" s="200"/>
      <c r="E751" s="200"/>
      <c r="F751" s="200"/>
      <c r="G751" s="200"/>
      <c r="H751" s="200"/>
      <c r="I751" s="200"/>
      <c r="J751" s="200"/>
      <c r="K751" s="200"/>
      <c r="L751" s="200"/>
      <c r="M751" s="200"/>
      <c r="N751" s="200"/>
      <c r="O751" s="200"/>
    </row>
    <row r="752" spans="1:15" ht="15.75" customHeight="1" x14ac:dyDescent="0.25">
      <c r="A752" s="192"/>
      <c r="B752" s="192"/>
      <c r="C752" s="200"/>
      <c r="D752" s="200"/>
      <c r="E752" s="200"/>
      <c r="F752" s="200"/>
      <c r="G752" s="200"/>
      <c r="H752" s="200"/>
      <c r="I752" s="200"/>
      <c r="J752" s="200"/>
      <c r="K752" s="200"/>
      <c r="L752" s="200"/>
      <c r="M752" s="200"/>
      <c r="N752" s="200"/>
      <c r="O752" s="200"/>
    </row>
    <row r="753" spans="1:15" ht="15.75" customHeight="1" x14ac:dyDescent="0.25">
      <c r="A753" s="192"/>
      <c r="B753" s="192"/>
      <c r="C753" s="200"/>
      <c r="D753" s="200"/>
      <c r="E753" s="200"/>
      <c r="F753" s="200"/>
      <c r="G753" s="200"/>
      <c r="H753" s="200"/>
      <c r="I753" s="200"/>
      <c r="J753" s="200"/>
      <c r="K753" s="200"/>
      <c r="L753" s="200"/>
      <c r="M753" s="200"/>
      <c r="N753" s="200"/>
      <c r="O753" s="200"/>
    </row>
    <row r="754" spans="1:15" ht="15.75" customHeight="1" x14ac:dyDescent="0.25">
      <c r="A754" s="192"/>
      <c r="B754" s="192"/>
      <c r="C754" s="200"/>
      <c r="D754" s="200"/>
      <c r="E754" s="200"/>
      <c r="F754" s="200"/>
      <c r="G754" s="200"/>
      <c r="H754" s="200"/>
      <c r="I754" s="200"/>
      <c r="J754" s="200"/>
      <c r="K754" s="200"/>
      <c r="L754" s="200"/>
      <c r="M754" s="200"/>
      <c r="N754" s="200"/>
      <c r="O754" s="200"/>
    </row>
    <row r="755" spans="1:15" ht="15.75" customHeight="1" x14ac:dyDescent="0.25">
      <c r="A755" s="192"/>
      <c r="B755" s="192"/>
      <c r="C755" s="200"/>
      <c r="D755" s="200"/>
      <c r="E755" s="200"/>
      <c r="F755" s="200"/>
      <c r="G755" s="200"/>
      <c r="H755" s="200"/>
      <c r="I755" s="200"/>
      <c r="J755" s="200"/>
      <c r="K755" s="200"/>
      <c r="L755" s="200"/>
      <c r="M755" s="200"/>
      <c r="N755" s="200"/>
      <c r="O755" s="200"/>
    </row>
    <row r="756" spans="1:15" ht="15.75" customHeight="1" x14ac:dyDescent="0.25">
      <c r="A756" s="192"/>
      <c r="B756" s="192"/>
      <c r="C756" s="200"/>
      <c r="D756" s="200"/>
      <c r="E756" s="200"/>
      <c r="F756" s="200"/>
      <c r="G756" s="200"/>
      <c r="H756" s="200"/>
      <c r="I756" s="200"/>
      <c r="J756" s="200"/>
      <c r="K756" s="200"/>
      <c r="L756" s="200"/>
      <c r="M756" s="200"/>
      <c r="N756" s="200"/>
      <c r="O756" s="200"/>
    </row>
    <row r="757" spans="1:15" ht="15.75" customHeight="1" x14ac:dyDescent="0.25">
      <c r="A757" s="192"/>
      <c r="B757" s="192"/>
      <c r="C757" s="200"/>
      <c r="D757" s="200"/>
      <c r="E757" s="200"/>
      <c r="F757" s="200"/>
      <c r="G757" s="200"/>
      <c r="H757" s="200"/>
      <c r="I757" s="200"/>
      <c r="J757" s="200"/>
      <c r="K757" s="200"/>
      <c r="L757" s="200"/>
      <c r="M757" s="200"/>
      <c r="N757" s="200"/>
      <c r="O757" s="200"/>
    </row>
    <row r="758" spans="1:15" ht="15.75" customHeight="1" x14ac:dyDescent="0.25">
      <c r="A758" s="192"/>
      <c r="B758" s="192"/>
      <c r="C758" s="200"/>
      <c r="D758" s="200"/>
      <c r="E758" s="200"/>
      <c r="F758" s="200"/>
      <c r="G758" s="200"/>
      <c r="H758" s="200"/>
      <c r="I758" s="200"/>
      <c r="J758" s="200"/>
      <c r="K758" s="200"/>
      <c r="L758" s="200"/>
      <c r="M758" s="200"/>
      <c r="N758" s="200"/>
      <c r="O758" s="200"/>
    </row>
    <row r="759" spans="1:15" ht="15.75" customHeight="1" x14ac:dyDescent="0.25">
      <c r="A759" s="192"/>
      <c r="B759" s="192"/>
      <c r="C759" s="200"/>
      <c r="D759" s="200"/>
      <c r="E759" s="200"/>
      <c r="F759" s="200"/>
      <c r="G759" s="200"/>
      <c r="H759" s="200"/>
      <c r="I759" s="200"/>
      <c r="J759" s="200"/>
      <c r="K759" s="200"/>
      <c r="L759" s="200"/>
      <c r="M759" s="200"/>
      <c r="N759" s="200"/>
      <c r="O759" s="200"/>
    </row>
    <row r="760" spans="1:15" ht="15.75" customHeight="1" x14ac:dyDescent="0.25">
      <c r="A760" s="192"/>
      <c r="B760" s="192"/>
      <c r="C760" s="200"/>
      <c r="D760" s="200"/>
      <c r="E760" s="200"/>
      <c r="F760" s="200"/>
      <c r="G760" s="200"/>
      <c r="H760" s="200"/>
      <c r="I760" s="200"/>
      <c r="J760" s="200"/>
      <c r="K760" s="200"/>
      <c r="L760" s="200"/>
      <c r="M760" s="200"/>
      <c r="N760" s="200"/>
      <c r="O760" s="200"/>
    </row>
    <row r="761" spans="1:15" ht="15.75" customHeight="1" x14ac:dyDescent="0.25">
      <c r="A761" s="192"/>
      <c r="B761" s="192"/>
      <c r="C761" s="200"/>
      <c r="D761" s="200"/>
      <c r="E761" s="200"/>
      <c r="F761" s="200"/>
      <c r="G761" s="200"/>
      <c r="H761" s="200"/>
      <c r="I761" s="200"/>
      <c r="J761" s="200"/>
      <c r="K761" s="200"/>
      <c r="L761" s="200"/>
      <c r="M761" s="200"/>
      <c r="N761" s="200"/>
      <c r="O761" s="200"/>
    </row>
    <row r="762" spans="1:15" ht="15.75" customHeight="1" x14ac:dyDescent="0.25">
      <c r="A762" s="192"/>
      <c r="B762" s="192"/>
      <c r="C762" s="200"/>
      <c r="D762" s="200"/>
      <c r="E762" s="200"/>
      <c r="F762" s="200"/>
      <c r="G762" s="200"/>
      <c r="H762" s="200"/>
      <c r="I762" s="200"/>
      <c r="J762" s="200"/>
      <c r="K762" s="200"/>
      <c r="L762" s="200"/>
      <c r="M762" s="200"/>
      <c r="N762" s="200"/>
      <c r="O762" s="200"/>
    </row>
    <row r="763" spans="1:15" ht="15.75" customHeight="1" x14ac:dyDescent="0.25">
      <c r="A763" s="192"/>
      <c r="B763" s="192"/>
      <c r="C763" s="200"/>
      <c r="D763" s="200"/>
      <c r="E763" s="200"/>
      <c r="F763" s="200"/>
      <c r="G763" s="200"/>
      <c r="H763" s="200"/>
      <c r="I763" s="200"/>
      <c r="J763" s="200"/>
      <c r="K763" s="200"/>
      <c r="L763" s="200"/>
      <c r="M763" s="200"/>
      <c r="N763" s="200"/>
      <c r="O763" s="200"/>
    </row>
    <row r="764" spans="1:15" ht="15.75" customHeight="1" x14ac:dyDescent="0.25">
      <c r="A764" s="192"/>
      <c r="B764" s="192"/>
      <c r="C764" s="200"/>
      <c r="D764" s="200"/>
      <c r="E764" s="200"/>
      <c r="F764" s="200"/>
      <c r="G764" s="200"/>
      <c r="H764" s="200"/>
      <c r="I764" s="200"/>
      <c r="J764" s="200"/>
      <c r="K764" s="200"/>
      <c r="L764" s="200"/>
      <c r="M764" s="200"/>
      <c r="N764" s="200"/>
      <c r="O764" s="200"/>
    </row>
    <row r="765" spans="1:15" ht="15.75" customHeight="1" x14ac:dyDescent="0.25">
      <c r="A765" s="192"/>
      <c r="B765" s="192"/>
      <c r="C765" s="200"/>
      <c r="D765" s="200"/>
      <c r="E765" s="200"/>
      <c r="F765" s="200"/>
      <c r="G765" s="200"/>
      <c r="H765" s="200"/>
      <c r="I765" s="200"/>
      <c r="J765" s="200"/>
      <c r="K765" s="200"/>
      <c r="L765" s="200"/>
      <c r="M765" s="200"/>
      <c r="N765" s="200"/>
      <c r="O765" s="200"/>
    </row>
    <row r="766" spans="1:15" ht="15.75" customHeight="1" x14ac:dyDescent="0.25">
      <c r="A766" s="192"/>
      <c r="B766" s="192"/>
      <c r="C766" s="200"/>
      <c r="D766" s="200"/>
      <c r="E766" s="200"/>
      <c r="F766" s="200"/>
      <c r="G766" s="200"/>
      <c r="H766" s="200"/>
      <c r="I766" s="200"/>
      <c r="J766" s="200"/>
      <c r="K766" s="200"/>
      <c r="L766" s="200"/>
      <c r="M766" s="200"/>
      <c r="N766" s="200"/>
      <c r="O766" s="200"/>
    </row>
    <row r="767" spans="1:15" ht="15.75" customHeight="1" x14ac:dyDescent="0.25">
      <c r="A767" s="192"/>
      <c r="B767" s="192"/>
      <c r="C767" s="200"/>
      <c r="D767" s="200"/>
      <c r="E767" s="200"/>
      <c r="F767" s="200"/>
      <c r="G767" s="200"/>
      <c r="H767" s="200"/>
      <c r="I767" s="200"/>
      <c r="J767" s="200"/>
      <c r="K767" s="200"/>
      <c r="L767" s="200"/>
      <c r="M767" s="200"/>
      <c r="N767" s="200"/>
      <c r="O767" s="200"/>
    </row>
    <row r="768" spans="1:15" ht="15.75" customHeight="1" x14ac:dyDescent="0.25">
      <c r="A768" s="192"/>
      <c r="B768" s="192"/>
      <c r="C768" s="200"/>
      <c r="D768" s="200"/>
      <c r="E768" s="200"/>
      <c r="F768" s="200"/>
      <c r="G768" s="200"/>
      <c r="H768" s="200"/>
      <c r="I768" s="200"/>
      <c r="J768" s="200"/>
      <c r="K768" s="200"/>
      <c r="L768" s="200"/>
      <c r="M768" s="200"/>
      <c r="N768" s="200"/>
      <c r="O768" s="200"/>
    </row>
    <row r="769" spans="1:15" ht="15.75" customHeight="1" x14ac:dyDescent="0.25">
      <c r="A769" s="192"/>
      <c r="B769" s="192"/>
      <c r="C769" s="200"/>
      <c r="D769" s="200"/>
      <c r="E769" s="200"/>
      <c r="F769" s="200"/>
      <c r="G769" s="200"/>
      <c r="H769" s="200"/>
      <c r="I769" s="200"/>
      <c r="J769" s="200"/>
      <c r="K769" s="200"/>
      <c r="L769" s="200"/>
      <c r="M769" s="200"/>
      <c r="N769" s="200"/>
      <c r="O769" s="200"/>
    </row>
    <row r="770" spans="1:15" ht="15.75" customHeight="1" x14ac:dyDescent="0.25">
      <c r="A770" s="192"/>
      <c r="B770" s="192"/>
      <c r="C770" s="200"/>
      <c r="D770" s="200"/>
      <c r="E770" s="200"/>
      <c r="F770" s="200"/>
      <c r="G770" s="200"/>
      <c r="H770" s="200"/>
      <c r="I770" s="200"/>
      <c r="J770" s="200"/>
      <c r="K770" s="200"/>
      <c r="L770" s="200"/>
      <c r="M770" s="200"/>
      <c r="N770" s="200"/>
      <c r="O770" s="200"/>
    </row>
    <row r="771" spans="1:15" ht="15.75" customHeight="1" x14ac:dyDescent="0.25">
      <c r="A771" s="192"/>
      <c r="B771" s="192"/>
      <c r="C771" s="200"/>
      <c r="D771" s="200"/>
      <c r="E771" s="200"/>
      <c r="F771" s="200"/>
      <c r="G771" s="200"/>
      <c r="H771" s="200"/>
      <c r="I771" s="200"/>
      <c r="J771" s="200"/>
      <c r="K771" s="200"/>
      <c r="L771" s="200"/>
      <c r="M771" s="200"/>
      <c r="N771" s="200"/>
      <c r="O771" s="200"/>
    </row>
    <row r="772" spans="1:15" ht="15.75" customHeight="1" x14ac:dyDescent="0.25">
      <c r="A772" s="192"/>
      <c r="B772" s="192"/>
      <c r="C772" s="200"/>
      <c r="D772" s="200"/>
      <c r="E772" s="200"/>
      <c r="F772" s="200"/>
      <c r="G772" s="200"/>
      <c r="H772" s="200"/>
      <c r="I772" s="200"/>
      <c r="J772" s="200"/>
      <c r="K772" s="200"/>
      <c r="L772" s="200"/>
      <c r="M772" s="200"/>
      <c r="N772" s="200"/>
      <c r="O772" s="200"/>
    </row>
    <row r="773" spans="1:15" ht="15.75" customHeight="1" x14ac:dyDescent="0.25">
      <c r="A773" s="192"/>
      <c r="B773" s="192"/>
      <c r="C773" s="200"/>
      <c r="D773" s="200"/>
      <c r="E773" s="200"/>
      <c r="F773" s="200"/>
      <c r="G773" s="200"/>
      <c r="H773" s="200"/>
      <c r="I773" s="200"/>
      <c r="J773" s="200"/>
      <c r="K773" s="200"/>
      <c r="L773" s="200"/>
      <c r="M773" s="200"/>
      <c r="N773" s="200"/>
      <c r="O773" s="200"/>
    </row>
    <row r="774" spans="1:15" ht="15.75" customHeight="1" x14ac:dyDescent="0.25">
      <c r="A774" s="192"/>
      <c r="B774" s="192"/>
      <c r="C774" s="200"/>
      <c r="D774" s="200"/>
      <c r="E774" s="200"/>
      <c r="F774" s="200"/>
      <c r="G774" s="200"/>
      <c r="H774" s="200"/>
      <c r="I774" s="200"/>
      <c r="J774" s="200"/>
      <c r="K774" s="200"/>
      <c r="L774" s="200"/>
      <c r="M774" s="200"/>
      <c r="N774" s="200"/>
      <c r="O774" s="200"/>
    </row>
    <row r="775" spans="1:15" ht="15.75" customHeight="1" x14ac:dyDescent="0.25">
      <c r="A775" s="192"/>
      <c r="B775" s="192"/>
      <c r="C775" s="200"/>
      <c r="D775" s="200"/>
      <c r="E775" s="200"/>
      <c r="F775" s="200"/>
      <c r="G775" s="200"/>
      <c r="H775" s="200"/>
      <c r="I775" s="200"/>
      <c r="J775" s="200"/>
      <c r="K775" s="200"/>
      <c r="L775" s="200"/>
      <c r="M775" s="200"/>
      <c r="N775" s="200"/>
      <c r="O775" s="200"/>
    </row>
    <row r="776" spans="1:15" ht="15.75" customHeight="1" x14ac:dyDescent="0.25">
      <c r="A776" s="192"/>
      <c r="B776" s="192"/>
      <c r="C776" s="200"/>
      <c r="D776" s="200"/>
      <c r="E776" s="200"/>
      <c r="F776" s="200"/>
      <c r="G776" s="200"/>
      <c r="H776" s="200"/>
      <c r="I776" s="200"/>
      <c r="J776" s="200"/>
      <c r="K776" s="200"/>
      <c r="L776" s="200"/>
      <c r="M776" s="200"/>
      <c r="N776" s="200"/>
      <c r="O776" s="200"/>
    </row>
    <row r="777" spans="1:15" ht="15.75" customHeight="1" x14ac:dyDescent="0.25">
      <c r="A777" s="192"/>
      <c r="B777" s="192"/>
      <c r="C777" s="200"/>
      <c r="D777" s="200"/>
      <c r="E777" s="200"/>
      <c r="F777" s="200"/>
      <c r="G777" s="200"/>
      <c r="H777" s="200"/>
      <c r="I777" s="200"/>
      <c r="J777" s="200"/>
      <c r="K777" s="200"/>
      <c r="L777" s="200"/>
      <c r="M777" s="200"/>
      <c r="N777" s="200"/>
      <c r="O777" s="200"/>
    </row>
    <row r="778" spans="1:15" ht="15.75" customHeight="1" x14ac:dyDescent="0.25">
      <c r="A778" s="192"/>
      <c r="B778" s="192"/>
      <c r="C778" s="200"/>
      <c r="D778" s="200"/>
      <c r="E778" s="200"/>
      <c r="F778" s="200"/>
      <c r="G778" s="200"/>
      <c r="H778" s="200"/>
      <c r="I778" s="200"/>
      <c r="J778" s="200"/>
      <c r="K778" s="200"/>
      <c r="L778" s="200"/>
      <c r="M778" s="200"/>
      <c r="N778" s="200"/>
      <c r="O778" s="200"/>
    </row>
    <row r="779" spans="1:15" ht="15.75" customHeight="1" x14ac:dyDescent="0.25">
      <c r="A779" s="192"/>
      <c r="B779" s="192"/>
      <c r="C779" s="200"/>
      <c r="D779" s="200"/>
      <c r="E779" s="200"/>
      <c r="F779" s="200"/>
      <c r="G779" s="200"/>
      <c r="H779" s="200"/>
      <c r="I779" s="200"/>
      <c r="J779" s="200"/>
      <c r="K779" s="200"/>
      <c r="L779" s="200"/>
      <c r="M779" s="200"/>
      <c r="N779" s="200"/>
      <c r="O779" s="200"/>
    </row>
    <row r="780" spans="1:15" ht="15.75" customHeight="1" x14ac:dyDescent="0.25">
      <c r="A780" s="192"/>
      <c r="B780" s="192"/>
      <c r="C780" s="200"/>
      <c r="D780" s="200"/>
      <c r="E780" s="200"/>
      <c r="F780" s="200"/>
      <c r="G780" s="200"/>
      <c r="H780" s="200"/>
      <c r="I780" s="200"/>
      <c r="J780" s="200"/>
      <c r="K780" s="200"/>
      <c r="L780" s="200"/>
      <c r="M780" s="200"/>
      <c r="N780" s="200"/>
      <c r="O780" s="200"/>
    </row>
    <row r="781" spans="1:15" ht="15.75" customHeight="1" x14ac:dyDescent="0.25">
      <c r="A781" s="192"/>
      <c r="B781" s="192"/>
      <c r="C781" s="200"/>
      <c r="D781" s="200"/>
      <c r="E781" s="200"/>
      <c r="F781" s="200"/>
      <c r="G781" s="200"/>
      <c r="H781" s="200"/>
      <c r="I781" s="200"/>
      <c r="J781" s="200"/>
      <c r="K781" s="200"/>
      <c r="L781" s="200"/>
      <c r="M781" s="200"/>
      <c r="N781" s="200"/>
      <c r="O781" s="200"/>
    </row>
    <row r="782" spans="1:15" ht="15.75" customHeight="1" x14ac:dyDescent="0.25">
      <c r="A782" s="192"/>
      <c r="B782" s="192"/>
      <c r="C782" s="200"/>
      <c r="D782" s="200"/>
      <c r="E782" s="200"/>
      <c r="F782" s="200"/>
      <c r="G782" s="200"/>
      <c r="H782" s="200"/>
      <c r="I782" s="200"/>
      <c r="J782" s="200"/>
      <c r="K782" s="200"/>
      <c r="L782" s="200"/>
      <c r="M782" s="200"/>
      <c r="N782" s="200"/>
      <c r="O782" s="200"/>
    </row>
    <row r="783" spans="1:15" ht="15.75" customHeight="1" x14ac:dyDescent="0.25">
      <c r="A783" s="192"/>
      <c r="B783" s="192"/>
      <c r="C783" s="200"/>
      <c r="D783" s="200"/>
      <c r="E783" s="200"/>
      <c r="F783" s="200"/>
      <c r="G783" s="200"/>
      <c r="H783" s="200"/>
      <c r="I783" s="200"/>
      <c r="J783" s="200"/>
      <c r="K783" s="200"/>
      <c r="L783" s="200"/>
      <c r="M783" s="200"/>
      <c r="N783" s="200"/>
      <c r="O783" s="200"/>
    </row>
    <row r="784" spans="1:15" ht="15.75" customHeight="1" x14ac:dyDescent="0.25">
      <c r="A784" s="192"/>
      <c r="B784" s="192"/>
      <c r="C784" s="200"/>
      <c r="D784" s="200"/>
      <c r="E784" s="200"/>
      <c r="F784" s="200"/>
      <c r="G784" s="200"/>
      <c r="H784" s="200"/>
      <c r="I784" s="200"/>
      <c r="J784" s="200"/>
      <c r="K784" s="200"/>
      <c r="L784" s="200"/>
      <c r="M784" s="200"/>
      <c r="N784" s="200"/>
      <c r="O784" s="200"/>
    </row>
    <row r="785" spans="1:15" ht="15.75" customHeight="1" x14ac:dyDescent="0.25">
      <c r="A785" s="192"/>
      <c r="B785" s="192"/>
      <c r="C785" s="200"/>
      <c r="D785" s="200"/>
      <c r="E785" s="200"/>
      <c r="F785" s="200"/>
      <c r="G785" s="200"/>
      <c r="H785" s="200"/>
      <c r="I785" s="200"/>
      <c r="J785" s="200"/>
      <c r="K785" s="200"/>
      <c r="L785" s="200"/>
      <c r="M785" s="200"/>
      <c r="N785" s="200"/>
      <c r="O785" s="200"/>
    </row>
    <row r="786" spans="1:15" ht="15.75" customHeight="1" x14ac:dyDescent="0.25">
      <c r="A786" s="192"/>
      <c r="B786" s="192"/>
      <c r="C786" s="200"/>
      <c r="D786" s="200"/>
      <c r="E786" s="200"/>
      <c r="F786" s="200"/>
      <c r="G786" s="200"/>
      <c r="H786" s="200"/>
      <c r="I786" s="200"/>
      <c r="J786" s="200"/>
      <c r="K786" s="200"/>
      <c r="L786" s="200"/>
      <c r="M786" s="200"/>
      <c r="N786" s="200"/>
      <c r="O786" s="200"/>
    </row>
    <row r="787" spans="1:15" ht="15.75" customHeight="1" x14ac:dyDescent="0.25">
      <c r="A787" s="192"/>
      <c r="B787" s="192"/>
      <c r="C787" s="200"/>
      <c r="D787" s="200"/>
      <c r="E787" s="200"/>
      <c r="F787" s="200"/>
      <c r="G787" s="200"/>
      <c r="H787" s="200"/>
      <c r="I787" s="200"/>
      <c r="J787" s="200"/>
      <c r="K787" s="200"/>
      <c r="L787" s="200"/>
      <c r="M787" s="200"/>
      <c r="N787" s="200"/>
      <c r="O787" s="200"/>
    </row>
    <row r="788" spans="1:15" ht="15.75" customHeight="1" x14ac:dyDescent="0.25">
      <c r="A788" s="192"/>
      <c r="B788" s="192"/>
      <c r="C788" s="200"/>
      <c r="D788" s="200"/>
      <c r="E788" s="200"/>
      <c r="F788" s="200"/>
      <c r="G788" s="200"/>
      <c r="H788" s="200"/>
      <c r="I788" s="200"/>
      <c r="J788" s="200"/>
      <c r="K788" s="200"/>
      <c r="L788" s="200"/>
      <c r="M788" s="200"/>
      <c r="N788" s="200"/>
      <c r="O788" s="200"/>
    </row>
    <row r="789" spans="1:15" ht="15.75" customHeight="1" x14ac:dyDescent="0.25">
      <c r="A789" s="192"/>
      <c r="B789" s="192"/>
      <c r="C789" s="200"/>
      <c r="D789" s="200"/>
      <c r="E789" s="200"/>
      <c r="F789" s="200"/>
      <c r="G789" s="200"/>
      <c r="H789" s="200"/>
      <c r="I789" s="200"/>
      <c r="J789" s="200"/>
      <c r="K789" s="200"/>
      <c r="L789" s="200"/>
      <c r="M789" s="200"/>
      <c r="N789" s="200"/>
      <c r="O789" s="200"/>
    </row>
    <row r="790" spans="1:15" ht="15.75" customHeight="1" x14ac:dyDescent="0.25">
      <c r="A790" s="192"/>
      <c r="B790" s="192"/>
      <c r="C790" s="200"/>
      <c r="D790" s="200"/>
      <c r="E790" s="200"/>
      <c r="F790" s="200"/>
      <c r="G790" s="200"/>
      <c r="H790" s="200"/>
      <c r="I790" s="200"/>
      <c r="J790" s="200"/>
      <c r="K790" s="200"/>
      <c r="L790" s="200"/>
      <c r="M790" s="200"/>
      <c r="N790" s="200"/>
      <c r="O790" s="200"/>
    </row>
    <row r="791" spans="1:15" ht="15.75" customHeight="1" x14ac:dyDescent="0.25">
      <c r="A791" s="192"/>
      <c r="B791" s="192"/>
      <c r="C791" s="200"/>
      <c r="D791" s="200"/>
      <c r="E791" s="200"/>
      <c r="F791" s="200"/>
      <c r="G791" s="200"/>
      <c r="H791" s="200"/>
      <c r="I791" s="200"/>
      <c r="J791" s="200"/>
      <c r="K791" s="200"/>
      <c r="L791" s="200"/>
      <c r="M791" s="200"/>
      <c r="N791" s="200"/>
      <c r="O791" s="200"/>
    </row>
    <row r="792" spans="1:15" ht="15.75" customHeight="1" x14ac:dyDescent="0.25">
      <c r="A792" s="192"/>
      <c r="B792" s="192"/>
      <c r="C792" s="200"/>
      <c r="D792" s="200"/>
      <c r="E792" s="200"/>
      <c r="F792" s="200"/>
      <c r="G792" s="200"/>
      <c r="H792" s="200"/>
      <c r="I792" s="200"/>
      <c r="J792" s="200"/>
      <c r="K792" s="200"/>
      <c r="L792" s="200"/>
      <c r="M792" s="200"/>
      <c r="N792" s="200"/>
      <c r="O792" s="200"/>
    </row>
    <row r="793" spans="1:15" ht="15.75" customHeight="1" x14ac:dyDescent="0.25">
      <c r="A793" s="192"/>
      <c r="B793" s="192"/>
      <c r="C793" s="200"/>
      <c r="D793" s="200"/>
      <c r="E793" s="200"/>
      <c r="F793" s="200"/>
      <c r="G793" s="200"/>
      <c r="H793" s="200"/>
      <c r="I793" s="200"/>
      <c r="J793" s="200"/>
      <c r="K793" s="200"/>
      <c r="L793" s="200"/>
      <c r="M793" s="200"/>
      <c r="N793" s="200"/>
      <c r="O793" s="200"/>
    </row>
    <row r="794" spans="1:15" ht="15.75" customHeight="1" x14ac:dyDescent="0.25">
      <c r="A794" s="192"/>
      <c r="B794" s="192"/>
      <c r="C794" s="200"/>
      <c r="D794" s="200"/>
      <c r="E794" s="200"/>
      <c r="F794" s="200"/>
      <c r="G794" s="200"/>
      <c r="H794" s="200"/>
      <c r="I794" s="200"/>
      <c r="J794" s="200"/>
      <c r="K794" s="200"/>
      <c r="L794" s="200"/>
      <c r="M794" s="200"/>
      <c r="N794" s="200"/>
      <c r="O794" s="200"/>
    </row>
    <row r="795" spans="1:15" ht="15.75" customHeight="1" x14ac:dyDescent="0.25">
      <c r="A795" s="192"/>
      <c r="B795" s="192"/>
      <c r="C795" s="200"/>
      <c r="D795" s="200"/>
      <c r="E795" s="200"/>
      <c r="F795" s="200"/>
      <c r="G795" s="200"/>
      <c r="H795" s="200"/>
      <c r="I795" s="200"/>
      <c r="J795" s="200"/>
      <c r="K795" s="200"/>
      <c r="L795" s="200"/>
      <c r="M795" s="200"/>
      <c r="N795" s="200"/>
      <c r="O795" s="200"/>
    </row>
    <row r="796" spans="1:15" ht="15.75" customHeight="1" x14ac:dyDescent="0.25">
      <c r="A796" s="192"/>
      <c r="B796" s="192"/>
      <c r="C796" s="200"/>
      <c r="D796" s="200"/>
      <c r="E796" s="200"/>
      <c r="F796" s="200"/>
      <c r="G796" s="200"/>
      <c r="H796" s="200"/>
      <c r="I796" s="200"/>
      <c r="J796" s="200"/>
      <c r="K796" s="200"/>
      <c r="L796" s="200"/>
      <c r="M796" s="200"/>
      <c r="N796" s="200"/>
      <c r="O796" s="200"/>
    </row>
    <row r="797" spans="1:15" ht="15.75" customHeight="1" x14ac:dyDescent="0.25">
      <c r="A797" s="192"/>
      <c r="B797" s="192"/>
      <c r="C797" s="200"/>
      <c r="D797" s="200"/>
      <c r="E797" s="200"/>
      <c r="F797" s="200"/>
      <c r="G797" s="200"/>
      <c r="H797" s="200"/>
      <c r="I797" s="200"/>
      <c r="J797" s="200"/>
      <c r="K797" s="200"/>
      <c r="L797" s="200"/>
      <c r="M797" s="200"/>
      <c r="N797" s="200"/>
      <c r="O797" s="200"/>
    </row>
    <row r="798" spans="1:15" ht="15.75" customHeight="1" x14ac:dyDescent="0.25">
      <c r="A798" s="192"/>
      <c r="B798" s="192"/>
      <c r="C798" s="200"/>
      <c r="D798" s="200"/>
      <c r="E798" s="200"/>
      <c r="F798" s="200"/>
      <c r="G798" s="200"/>
      <c r="H798" s="200"/>
      <c r="I798" s="200"/>
      <c r="J798" s="200"/>
      <c r="K798" s="200"/>
      <c r="L798" s="200"/>
      <c r="M798" s="200"/>
      <c r="N798" s="200"/>
      <c r="O798" s="200"/>
    </row>
    <row r="799" spans="1:15" ht="15.75" customHeight="1" x14ac:dyDescent="0.25">
      <c r="A799" s="192"/>
      <c r="B799" s="192"/>
      <c r="C799" s="200"/>
      <c r="D799" s="200"/>
      <c r="E799" s="200"/>
      <c r="F799" s="200"/>
      <c r="G799" s="200"/>
      <c r="H799" s="200"/>
      <c r="I799" s="200"/>
      <c r="J799" s="200"/>
      <c r="K799" s="200"/>
      <c r="L799" s="200"/>
      <c r="M799" s="200"/>
      <c r="N799" s="200"/>
      <c r="O799" s="200"/>
    </row>
    <row r="800" spans="1:15" ht="15.75" customHeight="1" x14ac:dyDescent="0.25">
      <c r="A800" s="192"/>
      <c r="B800" s="192"/>
      <c r="C800" s="200"/>
      <c r="D800" s="200"/>
      <c r="E800" s="200"/>
      <c r="F800" s="200"/>
      <c r="G800" s="200"/>
      <c r="H800" s="200"/>
      <c r="I800" s="200"/>
      <c r="J800" s="200"/>
      <c r="K800" s="200"/>
      <c r="L800" s="200"/>
      <c r="M800" s="200"/>
      <c r="N800" s="200"/>
      <c r="O800" s="200"/>
    </row>
    <row r="801" spans="1:15" ht="15.75" customHeight="1" x14ac:dyDescent="0.25">
      <c r="A801" s="192"/>
      <c r="B801" s="192"/>
      <c r="C801" s="200"/>
      <c r="D801" s="200"/>
      <c r="E801" s="200"/>
      <c r="F801" s="200"/>
      <c r="G801" s="200"/>
      <c r="H801" s="200"/>
      <c r="I801" s="200"/>
      <c r="J801" s="200"/>
      <c r="K801" s="200"/>
      <c r="L801" s="200"/>
      <c r="M801" s="200"/>
      <c r="N801" s="200"/>
      <c r="O801" s="200"/>
    </row>
    <row r="802" spans="1:15" ht="15.75" customHeight="1" x14ac:dyDescent="0.25">
      <c r="A802" s="192"/>
      <c r="B802" s="192"/>
      <c r="C802" s="200"/>
      <c r="D802" s="200"/>
      <c r="E802" s="200"/>
      <c r="F802" s="200"/>
      <c r="G802" s="200"/>
      <c r="H802" s="200"/>
      <c r="I802" s="200"/>
      <c r="J802" s="200"/>
      <c r="K802" s="200"/>
      <c r="L802" s="200"/>
      <c r="M802" s="200"/>
      <c r="N802" s="200"/>
      <c r="O802" s="200"/>
    </row>
    <row r="803" spans="1:15" ht="15.75" customHeight="1" x14ac:dyDescent="0.25">
      <c r="A803" s="192"/>
      <c r="B803" s="192"/>
      <c r="C803" s="200"/>
      <c r="D803" s="200"/>
      <c r="E803" s="200"/>
      <c r="F803" s="200"/>
      <c r="G803" s="200"/>
      <c r="H803" s="200"/>
      <c r="I803" s="200"/>
      <c r="J803" s="200"/>
      <c r="K803" s="200"/>
      <c r="L803" s="200"/>
      <c r="M803" s="200"/>
      <c r="N803" s="200"/>
      <c r="O803" s="200"/>
    </row>
    <row r="804" spans="1:15" ht="15.75" customHeight="1" x14ac:dyDescent="0.25">
      <c r="A804" s="192"/>
      <c r="B804" s="192"/>
      <c r="C804" s="200"/>
      <c r="D804" s="200"/>
      <c r="E804" s="200"/>
      <c r="F804" s="200"/>
      <c r="G804" s="200"/>
      <c r="H804" s="200"/>
      <c r="I804" s="200"/>
      <c r="J804" s="200"/>
      <c r="K804" s="200"/>
      <c r="L804" s="200"/>
      <c r="M804" s="200"/>
      <c r="N804" s="200"/>
      <c r="O804" s="200"/>
    </row>
    <row r="805" spans="1:15" ht="15.75" customHeight="1" x14ac:dyDescent="0.25">
      <c r="A805" s="192"/>
      <c r="B805" s="192"/>
      <c r="C805" s="200"/>
      <c r="D805" s="200"/>
      <c r="E805" s="200"/>
      <c r="F805" s="200"/>
      <c r="G805" s="200"/>
      <c r="H805" s="200"/>
      <c r="I805" s="200"/>
      <c r="J805" s="200"/>
      <c r="K805" s="200"/>
      <c r="L805" s="200"/>
      <c r="M805" s="200"/>
      <c r="N805" s="200"/>
      <c r="O805" s="200"/>
    </row>
    <row r="806" spans="1:15" ht="15.75" customHeight="1" x14ac:dyDescent="0.25">
      <c r="A806" s="192"/>
      <c r="B806" s="192"/>
      <c r="C806" s="200"/>
      <c r="D806" s="200"/>
      <c r="E806" s="200"/>
      <c r="F806" s="200"/>
      <c r="G806" s="200"/>
      <c r="H806" s="200"/>
      <c r="I806" s="200"/>
      <c r="J806" s="200"/>
      <c r="K806" s="200"/>
      <c r="L806" s="200"/>
      <c r="M806" s="200"/>
      <c r="N806" s="200"/>
      <c r="O806" s="200"/>
    </row>
    <row r="807" spans="1:15" ht="15.75" customHeight="1" x14ac:dyDescent="0.25">
      <c r="A807" s="192"/>
      <c r="B807" s="192"/>
      <c r="C807" s="200"/>
      <c r="D807" s="200"/>
      <c r="E807" s="200"/>
      <c r="F807" s="200"/>
      <c r="G807" s="200"/>
      <c r="H807" s="200"/>
      <c r="I807" s="200"/>
      <c r="J807" s="200"/>
      <c r="K807" s="200"/>
      <c r="L807" s="200"/>
      <c r="M807" s="200"/>
      <c r="N807" s="200"/>
      <c r="O807" s="200"/>
    </row>
    <row r="808" spans="1:15" ht="15.75" customHeight="1" x14ac:dyDescent="0.25">
      <c r="A808" s="192"/>
      <c r="B808" s="192"/>
      <c r="C808" s="200"/>
      <c r="D808" s="200"/>
      <c r="E808" s="200"/>
      <c r="F808" s="200"/>
      <c r="G808" s="200"/>
      <c r="H808" s="200"/>
      <c r="I808" s="200"/>
      <c r="J808" s="200"/>
      <c r="K808" s="200"/>
      <c r="L808" s="200"/>
      <c r="M808" s="200"/>
      <c r="N808" s="200"/>
      <c r="O808" s="200"/>
    </row>
    <row r="809" spans="1:15" ht="15.75" customHeight="1" x14ac:dyDescent="0.25">
      <c r="A809" s="192"/>
      <c r="B809" s="192"/>
      <c r="C809" s="200"/>
      <c r="D809" s="200"/>
      <c r="E809" s="200"/>
      <c r="F809" s="200"/>
      <c r="G809" s="200"/>
      <c r="H809" s="200"/>
      <c r="I809" s="200"/>
      <c r="J809" s="200"/>
      <c r="K809" s="200"/>
      <c r="L809" s="200"/>
      <c r="M809" s="200"/>
      <c r="N809" s="200"/>
      <c r="O809" s="200"/>
    </row>
    <row r="810" spans="1:15" ht="15.75" customHeight="1" x14ac:dyDescent="0.25">
      <c r="A810" s="192"/>
      <c r="B810" s="192"/>
      <c r="C810" s="200"/>
      <c r="D810" s="200"/>
      <c r="E810" s="200"/>
      <c r="F810" s="200"/>
      <c r="G810" s="200"/>
      <c r="H810" s="200"/>
      <c r="I810" s="200"/>
      <c r="J810" s="200"/>
      <c r="K810" s="200"/>
      <c r="L810" s="200"/>
      <c r="M810" s="200"/>
      <c r="N810" s="200"/>
      <c r="O810" s="200"/>
    </row>
    <row r="811" spans="1:15" ht="15.75" customHeight="1" x14ac:dyDescent="0.25">
      <c r="A811" s="192"/>
      <c r="B811" s="192"/>
      <c r="C811" s="200"/>
      <c r="D811" s="200"/>
      <c r="E811" s="200"/>
      <c r="F811" s="200"/>
      <c r="G811" s="200"/>
      <c r="H811" s="200"/>
      <c r="I811" s="200"/>
      <c r="J811" s="200"/>
      <c r="K811" s="200"/>
      <c r="L811" s="200"/>
      <c r="M811" s="200"/>
      <c r="N811" s="200"/>
      <c r="O811" s="200"/>
    </row>
    <row r="812" spans="1:15" ht="15.75" customHeight="1" x14ac:dyDescent="0.25">
      <c r="A812" s="192"/>
      <c r="B812" s="192"/>
      <c r="C812" s="200"/>
      <c r="D812" s="200"/>
      <c r="E812" s="200"/>
      <c r="F812" s="200"/>
      <c r="G812" s="200"/>
      <c r="H812" s="200"/>
      <c r="I812" s="200"/>
      <c r="J812" s="200"/>
      <c r="K812" s="200"/>
      <c r="L812" s="200"/>
      <c r="M812" s="200"/>
      <c r="N812" s="200"/>
      <c r="O812" s="200"/>
    </row>
    <row r="813" spans="1:15" ht="15.75" customHeight="1" x14ac:dyDescent="0.25">
      <c r="A813" s="192"/>
      <c r="B813" s="192"/>
      <c r="C813" s="200"/>
      <c r="D813" s="200"/>
      <c r="E813" s="200"/>
      <c r="F813" s="200"/>
      <c r="G813" s="200"/>
      <c r="H813" s="200"/>
      <c r="I813" s="200"/>
      <c r="J813" s="200"/>
      <c r="K813" s="200"/>
      <c r="L813" s="200"/>
      <c r="M813" s="200"/>
      <c r="N813" s="200"/>
      <c r="O813" s="200"/>
    </row>
    <row r="814" spans="1:15" ht="15.75" customHeight="1" x14ac:dyDescent="0.25">
      <c r="A814" s="192"/>
      <c r="B814" s="192"/>
      <c r="C814" s="200"/>
      <c r="D814" s="200"/>
      <c r="E814" s="200"/>
      <c r="F814" s="200"/>
      <c r="G814" s="200"/>
      <c r="H814" s="200"/>
      <c r="I814" s="200"/>
      <c r="J814" s="200"/>
      <c r="K814" s="200"/>
      <c r="L814" s="200"/>
      <c r="M814" s="200"/>
      <c r="N814" s="200"/>
      <c r="O814" s="200"/>
    </row>
    <row r="815" spans="1:15" ht="15.75" customHeight="1" x14ac:dyDescent="0.25">
      <c r="A815" s="192"/>
      <c r="B815" s="192"/>
      <c r="C815" s="200"/>
      <c r="D815" s="200"/>
      <c r="E815" s="200"/>
      <c r="F815" s="200"/>
      <c r="G815" s="200"/>
      <c r="H815" s="200"/>
      <c r="I815" s="200"/>
      <c r="J815" s="200"/>
      <c r="K815" s="200"/>
      <c r="L815" s="200"/>
      <c r="M815" s="200"/>
      <c r="N815" s="200"/>
      <c r="O815" s="200"/>
    </row>
    <row r="816" spans="1:15" ht="15.75" customHeight="1" x14ac:dyDescent="0.25">
      <c r="A816" s="192"/>
      <c r="B816" s="192"/>
      <c r="C816" s="200"/>
      <c r="D816" s="200"/>
      <c r="E816" s="200"/>
      <c r="F816" s="200"/>
      <c r="G816" s="200"/>
      <c r="H816" s="200"/>
      <c r="I816" s="200"/>
      <c r="J816" s="200"/>
      <c r="K816" s="200"/>
      <c r="L816" s="200"/>
      <c r="M816" s="200"/>
      <c r="N816" s="200"/>
      <c r="O816" s="200"/>
    </row>
    <row r="817" spans="1:15" ht="15.75" customHeight="1" x14ac:dyDescent="0.25">
      <c r="A817" s="192"/>
      <c r="B817" s="192"/>
      <c r="C817" s="200"/>
      <c r="D817" s="200"/>
      <c r="E817" s="200"/>
      <c r="F817" s="200"/>
      <c r="G817" s="200"/>
      <c r="H817" s="200"/>
      <c r="I817" s="200"/>
      <c r="J817" s="200"/>
      <c r="K817" s="200"/>
      <c r="L817" s="200"/>
      <c r="M817" s="200"/>
      <c r="N817" s="200"/>
      <c r="O817" s="200"/>
    </row>
    <row r="818" spans="1:15" ht="15.75" customHeight="1" x14ac:dyDescent="0.25">
      <c r="A818" s="192"/>
      <c r="B818" s="192"/>
      <c r="C818" s="200"/>
      <c r="D818" s="200"/>
      <c r="E818" s="200"/>
      <c r="F818" s="200"/>
      <c r="G818" s="200"/>
      <c r="H818" s="200"/>
      <c r="I818" s="200"/>
      <c r="J818" s="200"/>
      <c r="K818" s="200"/>
      <c r="L818" s="200"/>
      <c r="M818" s="200"/>
      <c r="N818" s="200"/>
      <c r="O818" s="200"/>
    </row>
    <row r="819" spans="1:15" ht="15.75" customHeight="1" x14ac:dyDescent="0.25">
      <c r="A819" s="192"/>
      <c r="B819" s="192"/>
      <c r="C819" s="200"/>
      <c r="D819" s="200"/>
      <c r="E819" s="200"/>
      <c r="F819" s="200"/>
      <c r="G819" s="200"/>
      <c r="H819" s="200"/>
      <c r="I819" s="200"/>
      <c r="J819" s="200"/>
      <c r="K819" s="200"/>
      <c r="L819" s="200"/>
      <c r="M819" s="200"/>
      <c r="N819" s="200"/>
      <c r="O819" s="200"/>
    </row>
    <row r="820" spans="1:15" ht="15.75" customHeight="1" x14ac:dyDescent="0.25">
      <c r="A820" s="192"/>
      <c r="B820" s="192"/>
      <c r="C820" s="200"/>
      <c r="D820" s="200"/>
      <c r="E820" s="200"/>
      <c r="F820" s="200"/>
      <c r="G820" s="200"/>
      <c r="H820" s="200"/>
      <c r="I820" s="200"/>
      <c r="J820" s="200"/>
      <c r="K820" s="200"/>
      <c r="L820" s="200"/>
      <c r="M820" s="200"/>
      <c r="N820" s="200"/>
      <c r="O820" s="200"/>
    </row>
    <row r="821" spans="1:15" ht="15.75" customHeight="1" x14ac:dyDescent="0.25">
      <c r="A821" s="192"/>
      <c r="B821" s="192"/>
      <c r="C821" s="200"/>
      <c r="D821" s="200"/>
      <c r="E821" s="200"/>
      <c r="F821" s="200"/>
      <c r="G821" s="200"/>
      <c r="H821" s="200"/>
      <c r="I821" s="200"/>
      <c r="J821" s="200"/>
      <c r="K821" s="200"/>
      <c r="L821" s="200"/>
      <c r="M821" s="200"/>
      <c r="N821" s="200"/>
      <c r="O821" s="200"/>
    </row>
    <row r="822" spans="1:15" ht="15.75" customHeight="1" x14ac:dyDescent="0.25">
      <c r="A822" s="192"/>
      <c r="B822" s="192"/>
      <c r="C822" s="200"/>
      <c r="D822" s="200"/>
      <c r="E822" s="200"/>
      <c r="F822" s="200"/>
      <c r="G822" s="200"/>
      <c r="H822" s="200"/>
      <c r="I822" s="200"/>
      <c r="J822" s="200"/>
      <c r="K822" s="200"/>
      <c r="L822" s="200"/>
      <c r="M822" s="200"/>
      <c r="N822" s="200"/>
      <c r="O822" s="200"/>
    </row>
    <row r="823" spans="1:15" ht="15.75" customHeight="1" x14ac:dyDescent="0.25">
      <c r="A823" s="192"/>
      <c r="B823" s="192"/>
      <c r="C823" s="200"/>
      <c r="D823" s="200"/>
      <c r="E823" s="200"/>
      <c r="F823" s="200"/>
      <c r="G823" s="200"/>
      <c r="H823" s="200"/>
      <c r="I823" s="200"/>
      <c r="J823" s="200"/>
      <c r="K823" s="200"/>
      <c r="L823" s="200"/>
      <c r="M823" s="200"/>
      <c r="N823" s="200"/>
      <c r="O823" s="200"/>
    </row>
    <row r="824" spans="1:15" ht="15.75" customHeight="1" x14ac:dyDescent="0.25">
      <c r="A824" s="192"/>
      <c r="B824" s="192"/>
      <c r="C824" s="200"/>
      <c r="D824" s="200"/>
      <c r="E824" s="200"/>
      <c r="F824" s="200"/>
      <c r="G824" s="200"/>
      <c r="H824" s="200"/>
      <c r="I824" s="200"/>
      <c r="J824" s="200"/>
      <c r="K824" s="200"/>
      <c r="L824" s="200"/>
      <c r="M824" s="200"/>
      <c r="N824" s="200"/>
      <c r="O824" s="200"/>
    </row>
    <row r="825" spans="1:15" ht="15.75" customHeight="1" x14ac:dyDescent="0.25">
      <c r="A825" s="192"/>
      <c r="B825" s="192"/>
      <c r="C825" s="200"/>
      <c r="D825" s="200"/>
      <c r="E825" s="200"/>
      <c r="F825" s="200"/>
      <c r="G825" s="200"/>
      <c r="H825" s="200"/>
      <c r="I825" s="200"/>
      <c r="J825" s="200"/>
      <c r="K825" s="200"/>
      <c r="L825" s="200"/>
      <c r="M825" s="200"/>
      <c r="N825" s="200"/>
      <c r="O825" s="200"/>
    </row>
    <row r="826" spans="1:15" ht="15.75" customHeight="1" x14ac:dyDescent="0.25">
      <c r="A826" s="192"/>
      <c r="B826" s="192"/>
      <c r="C826" s="200"/>
      <c r="D826" s="200"/>
      <c r="E826" s="200"/>
      <c r="F826" s="200"/>
      <c r="G826" s="200"/>
      <c r="H826" s="200"/>
      <c r="I826" s="200"/>
      <c r="J826" s="200"/>
      <c r="K826" s="200"/>
      <c r="L826" s="200"/>
      <c r="M826" s="200"/>
      <c r="N826" s="200"/>
      <c r="O826" s="200"/>
    </row>
    <row r="827" spans="1:15" ht="15.75" customHeight="1" x14ac:dyDescent="0.25">
      <c r="A827" s="192"/>
      <c r="B827" s="192"/>
      <c r="C827" s="200"/>
      <c r="D827" s="200"/>
      <c r="E827" s="200"/>
      <c r="F827" s="200"/>
      <c r="G827" s="200"/>
      <c r="H827" s="200"/>
      <c r="I827" s="200"/>
      <c r="J827" s="200"/>
      <c r="K827" s="200"/>
      <c r="L827" s="200"/>
      <c r="M827" s="200"/>
      <c r="N827" s="200"/>
      <c r="O827" s="200"/>
    </row>
    <row r="828" spans="1:15" ht="15.75" customHeight="1" x14ac:dyDescent="0.25">
      <c r="A828" s="192"/>
      <c r="B828" s="192"/>
      <c r="C828" s="200"/>
      <c r="D828" s="200"/>
      <c r="E828" s="200"/>
      <c r="F828" s="200"/>
      <c r="G828" s="200"/>
      <c r="H828" s="200"/>
      <c r="I828" s="200"/>
      <c r="J828" s="200"/>
      <c r="K828" s="200"/>
      <c r="L828" s="200"/>
      <c r="M828" s="200"/>
      <c r="N828" s="200"/>
      <c r="O828" s="200"/>
    </row>
    <row r="829" spans="1:15" ht="15.75" customHeight="1" x14ac:dyDescent="0.25">
      <c r="A829" s="192"/>
      <c r="B829" s="192"/>
      <c r="C829" s="200"/>
      <c r="D829" s="200"/>
      <c r="E829" s="200"/>
      <c r="F829" s="200"/>
      <c r="G829" s="200"/>
      <c r="H829" s="200"/>
      <c r="I829" s="200"/>
      <c r="J829" s="200"/>
      <c r="K829" s="200"/>
      <c r="L829" s="200"/>
      <c r="M829" s="200"/>
      <c r="N829" s="200"/>
      <c r="O829" s="200"/>
    </row>
    <row r="830" spans="1:15" ht="15.75" customHeight="1" x14ac:dyDescent="0.25">
      <c r="A830" s="192"/>
      <c r="B830" s="192"/>
      <c r="C830" s="200"/>
      <c r="D830" s="200"/>
      <c r="E830" s="200"/>
      <c r="F830" s="200"/>
      <c r="G830" s="200"/>
      <c r="H830" s="200"/>
      <c r="I830" s="200"/>
      <c r="J830" s="200"/>
      <c r="K830" s="200"/>
      <c r="L830" s="200"/>
      <c r="M830" s="200"/>
      <c r="N830" s="200"/>
      <c r="O830" s="200"/>
    </row>
    <row r="831" spans="1:15" ht="15.75" customHeight="1" x14ac:dyDescent="0.25">
      <c r="A831" s="192"/>
      <c r="B831" s="192"/>
      <c r="C831" s="200"/>
      <c r="D831" s="200"/>
      <c r="E831" s="200"/>
      <c r="F831" s="200"/>
      <c r="G831" s="200"/>
      <c r="H831" s="200"/>
      <c r="I831" s="200"/>
      <c r="J831" s="200"/>
      <c r="K831" s="200"/>
      <c r="L831" s="200"/>
      <c r="M831" s="200"/>
      <c r="N831" s="200"/>
      <c r="O831" s="200"/>
    </row>
    <row r="832" spans="1:15" ht="15.75" customHeight="1" x14ac:dyDescent="0.25">
      <c r="A832" s="192"/>
      <c r="B832" s="192"/>
      <c r="C832" s="200"/>
      <c r="D832" s="200"/>
      <c r="E832" s="200"/>
      <c r="F832" s="200"/>
      <c r="G832" s="200"/>
      <c r="H832" s="200"/>
      <c r="I832" s="200"/>
      <c r="J832" s="200"/>
      <c r="K832" s="200"/>
      <c r="L832" s="200"/>
      <c r="M832" s="200"/>
      <c r="N832" s="200"/>
      <c r="O832" s="200"/>
    </row>
    <row r="833" spans="1:15" ht="15.75" customHeight="1" x14ac:dyDescent="0.25">
      <c r="A833" s="192"/>
      <c r="B833" s="192"/>
      <c r="C833" s="200"/>
      <c r="D833" s="200"/>
      <c r="E833" s="200"/>
      <c r="F833" s="200"/>
      <c r="G833" s="200"/>
      <c r="H833" s="200"/>
      <c r="I833" s="200"/>
      <c r="J833" s="200"/>
      <c r="K833" s="200"/>
      <c r="L833" s="200"/>
      <c r="M833" s="200"/>
      <c r="N833" s="200"/>
      <c r="O833" s="200"/>
    </row>
    <row r="834" spans="1:15" ht="15.75" customHeight="1" x14ac:dyDescent="0.25">
      <c r="A834" s="192"/>
      <c r="B834" s="192"/>
      <c r="C834" s="200"/>
      <c r="D834" s="200"/>
      <c r="E834" s="200"/>
      <c r="F834" s="200"/>
      <c r="G834" s="200"/>
      <c r="H834" s="200"/>
      <c r="I834" s="200"/>
      <c r="J834" s="200"/>
      <c r="K834" s="200"/>
      <c r="L834" s="200"/>
      <c r="M834" s="200"/>
      <c r="N834" s="200"/>
      <c r="O834" s="200"/>
    </row>
    <row r="835" spans="1:15" ht="15.75" customHeight="1" x14ac:dyDescent="0.25">
      <c r="A835" s="192"/>
      <c r="B835" s="192"/>
      <c r="C835" s="200"/>
      <c r="D835" s="200"/>
      <c r="E835" s="200"/>
      <c r="F835" s="200"/>
      <c r="G835" s="200"/>
      <c r="H835" s="200"/>
      <c r="I835" s="200"/>
      <c r="J835" s="200"/>
      <c r="K835" s="200"/>
      <c r="L835" s="200"/>
      <c r="M835" s="200"/>
      <c r="N835" s="200"/>
      <c r="O835" s="200"/>
    </row>
    <row r="836" spans="1:15" ht="15.75" customHeight="1" x14ac:dyDescent="0.25">
      <c r="A836" s="192"/>
      <c r="B836" s="192"/>
      <c r="C836" s="200"/>
      <c r="D836" s="200"/>
      <c r="E836" s="200"/>
      <c r="F836" s="200"/>
      <c r="G836" s="200"/>
      <c r="H836" s="200"/>
      <c r="I836" s="200"/>
      <c r="J836" s="200"/>
      <c r="K836" s="200"/>
      <c r="L836" s="200"/>
      <c r="M836" s="200"/>
      <c r="N836" s="200"/>
      <c r="O836" s="200"/>
    </row>
    <row r="837" spans="1:15" ht="15.75" customHeight="1" x14ac:dyDescent="0.25">
      <c r="A837" s="192"/>
      <c r="B837" s="192"/>
      <c r="C837" s="200"/>
      <c r="D837" s="200"/>
      <c r="E837" s="200"/>
      <c r="F837" s="200"/>
      <c r="G837" s="200"/>
      <c r="H837" s="200"/>
      <c r="I837" s="200"/>
      <c r="J837" s="200"/>
      <c r="K837" s="200"/>
      <c r="L837" s="200"/>
      <c r="M837" s="200"/>
      <c r="N837" s="200"/>
      <c r="O837" s="200"/>
    </row>
    <row r="838" spans="1:15" ht="15.75" customHeight="1" x14ac:dyDescent="0.25">
      <c r="A838" s="192"/>
      <c r="B838" s="192"/>
      <c r="C838" s="200"/>
      <c r="D838" s="200"/>
      <c r="E838" s="200"/>
      <c r="F838" s="200"/>
      <c r="G838" s="200"/>
      <c r="H838" s="200"/>
      <c r="I838" s="200"/>
      <c r="J838" s="200"/>
      <c r="K838" s="200"/>
      <c r="L838" s="200"/>
      <c r="M838" s="200"/>
      <c r="N838" s="200"/>
      <c r="O838" s="200"/>
    </row>
    <row r="839" spans="1:15" ht="15.75" customHeight="1" x14ac:dyDescent="0.25">
      <c r="A839" s="192"/>
      <c r="B839" s="192"/>
      <c r="C839" s="200"/>
      <c r="D839" s="200"/>
      <c r="E839" s="200"/>
      <c r="F839" s="200"/>
      <c r="G839" s="200"/>
      <c r="H839" s="200"/>
      <c r="I839" s="200"/>
      <c r="J839" s="200"/>
      <c r="K839" s="200"/>
      <c r="L839" s="200"/>
      <c r="M839" s="200"/>
      <c r="N839" s="200"/>
      <c r="O839" s="200"/>
    </row>
    <row r="840" spans="1:15" ht="15.75" customHeight="1" x14ac:dyDescent="0.25">
      <c r="A840" s="192"/>
      <c r="B840" s="192"/>
      <c r="C840" s="200"/>
      <c r="D840" s="200"/>
      <c r="E840" s="200"/>
      <c r="F840" s="200"/>
      <c r="G840" s="200"/>
      <c r="H840" s="200"/>
      <c r="I840" s="200"/>
      <c r="J840" s="200"/>
      <c r="K840" s="200"/>
      <c r="L840" s="200"/>
      <c r="M840" s="200"/>
      <c r="N840" s="200"/>
      <c r="O840" s="200"/>
    </row>
    <row r="841" spans="1:15" ht="15.75" customHeight="1" x14ac:dyDescent="0.25">
      <c r="A841" s="192"/>
      <c r="B841" s="192"/>
      <c r="C841" s="200"/>
      <c r="D841" s="200"/>
      <c r="E841" s="200"/>
      <c r="F841" s="200"/>
      <c r="G841" s="200"/>
      <c r="H841" s="200"/>
      <c r="I841" s="200"/>
      <c r="J841" s="200"/>
      <c r="K841" s="200"/>
      <c r="L841" s="200"/>
      <c r="M841" s="200"/>
      <c r="N841" s="200"/>
      <c r="O841" s="200"/>
    </row>
    <row r="842" spans="1:15" ht="15.75" customHeight="1" x14ac:dyDescent="0.25">
      <c r="A842" s="192"/>
      <c r="B842" s="192"/>
      <c r="C842" s="200"/>
      <c r="D842" s="200"/>
      <c r="E842" s="200"/>
      <c r="F842" s="200"/>
      <c r="G842" s="200"/>
      <c r="H842" s="200"/>
      <c r="I842" s="200"/>
      <c r="J842" s="200"/>
      <c r="K842" s="200"/>
      <c r="L842" s="200"/>
      <c r="M842" s="200"/>
      <c r="N842" s="200"/>
      <c r="O842" s="200"/>
    </row>
    <row r="843" spans="1:15" ht="15.75" customHeight="1" x14ac:dyDescent="0.25">
      <c r="A843" s="192"/>
      <c r="B843" s="192"/>
      <c r="C843" s="200"/>
      <c r="D843" s="200"/>
      <c r="E843" s="200"/>
      <c r="F843" s="200"/>
      <c r="G843" s="200"/>
      <c r="H843" s="200"/>
      <c r="I843" s="200"/>
      <c r="J843" s="200"/>
      <c r="K843" s="200"/>
      <c r="L843" s="200"/>
      <c r="M843" s="200"/>
      <c r="N843" s="200"/>
      <c r="O843" s="200"/>
    </row>
    <row r="844" spans="1:15" ht="15.75" customHeight="1" x14ac:dyDescent="0.25">
      <c r="A844" s="192"/>
      <c r="B844" s="192"/>
      <c r="C844" s="200"/>
      <c r="D844" s="200"/>
      <c r="E844" s="200"/>
      <c r="F844" s="200"/>
      <c r="G844" s="200"/>
      <c r="H844" s="200"/>
      <c r="I844" s="200"/>
      <c r="J844" s="200"/>
      <c r="K844" s="200"/>
      <c r="L844" s="200"/>
      <c r="M844" s="200"/>
      <c r="N844" s="200"/>
      <c r="O844" s="200"/>
    </row>
    <row r="845" spans="1:15" ht="15.75" customHeight="1" x14ac:dyDescent="0.25">
      <c r="A845" s="192"/>
      <c r="B845" s="192"/>
      <c r="C845" s="200"/>
      <c r="D845" s="200"/>
      <c r="E845" s="200"/>
      <c r="F845" s="200"/>
      <c r="G845" s="200"/>
      <c r="H845" s="200"/>
      <c r="I845" s="200"/>
      <c r="J845" s="200"/>
      <c r="K845" s="200"/>
      <c r="L845" s="200"/>
      <c r="M845" s="200"/>
      <c r="N845" s="200"/>
      <c r="O845" s="200"/>
    </row>
    <row r="846" spans="1:15" ht="15.75" customHeight="1" x14ac:dyDescent="0.25">
      <c r="A846" s="192"/>
      <c r="B846" s="192"/>
      <c r="C846" s="200"/>
      <c r="D846" s="200"/>
      <c r="E846" s="200"/>
      <c r="F846" s="200"/>
      <c r="G846" s="200"/>
      <c r="H846" s="200"/>
      <c r="I846" s="200"/>
      <c r="J846" s="200"/>
      <c r="K846" s="200"/>
      <c r="L846" s="200"/>
      <c r="M846" s="200"/>
      <c r="N846" s="200"/>
      <c r="O846" s="200"/>
    </row>
    <row r="847" spans="1:15" ht="15.75" customHeight="1" x14ac:dyDescent="0.25">
      <c r="A847" s="192"/>
      <c r="B847" s="192"/>
      <c r="C847" s="200"/>
      <c r="D847" s="200"/>
      <c r="E847" s="200"/>
      <c r="F847" s="200"/>
      <c r="G847" s="200"/>
      <c r="H847" s="200"/>
      <c r="I847" s="200"/>
      <c r="J847" s="200"/>
      <c r="K847" s="200"/>
      <c r="L847" s="200"/>
      <c r="M847" s="200"/>
      <c r="N847" s="200"/>
      <c r="O847" s="200"/>
    </row>
    <row r="848" spans="1:15" ht="15.75" customHeight="1" x14ac:dyDescent="0.25">
      <c r="A848" s="192"/>
      <c r="B848" s="192"/>
      <c r="C848" s="200"/>
      <c r="D848" s="200"/>
      <c r="E848" s="200"/>
      <c r="F848" s="200"/>
      <c r="G848" s="200"/>
      <c r="H848" s="200"/>
      <c r="I848" s="200"/>
      <c r="J848" s="200"/>
      <c r="K848" s="200"/>
      <c r="L848" s="200"/>
      <c r="M848" s="200"/>
      <c r="N848" s="200"/>
      <c r="O848" s="200"/>
    </row>
    <row r="849" spans="1:15" ht="15.75" customHeight="1" x14ac:dyDescent="0.25">
      <c r="A849" s="192"/>
      <c r="B849" s="192"/>
      <c r="C849" s="200"/>
      <c r="D849" s="200"/>
      <c r="E849" s="200"/>
      <c r="F849" s="200"/>
      <c r="G849" s="200"/>
      <c r="H849" s="200"/>
      <c r="I849" s="200"/>
      <c r="J849" s="200"/>
      <c r="K849" s="200"/>
      <c r="L849" s="200"/>
      <c r="M849" s="200"/>
      <c r="N849" s="200"/>
      <c r="O849" s="200"/>
    </row>
    <row r="850" spans="1:15" ht="15.75" customHeight="1" x14ac:dyDescent="0.25">
      <c r="A850" s="192"/>
      <c r="B850" s="192"/>
      <c r="C850" s="200"/>
      <c r="D850" s="200"/>
      <c r="E850" s="200"/>
      <c r="F850" s="200"/>
      <c r="G850" s="200"/>
      <c r="H850" s="200"/>
      <c r="I850" s="200"/>
      <c r="J850" s="200"/>
      <c r="K850" s="200"/>
      <c r="L850" s="200"/>
      <c r="M850" s="200"/>
      <c r="N850" s="200"/>
      <c r="O850" s="200"/>
    </row>
    <row r="851" spans="1:15" ht="15.75" customHeight="1" x14ac:dyDescent="0.25">
      <c r="A851" s="192"/>
      <c r="B851" s="192"/>
      <c r="C851" s="200"/>
      <c r="D851" s="200"/>
      <c r="E851" s="200"/>
      <c r="F851" s="200"/>
      <c r="G851" s="200"/>
      <c r="H851" s="200"/>
      <c r="I851" s="200"/>
      <c r="J851" s="200"/>
      <c r="K851" s="200"/>
      <c r="L851" s="200"/>
      <c r="M851" s="200"/>
      <c r="N851" s="200"/>
      <c r="O851" s="200"/>
    </row>
    <row r="852" spans="1:15" ht="15.75" customHeight="1" x14ac:dyDescent="0.25">
      <c r="A852" s="192"/>
      <c r="B852" s="192"/>
      <c r="C852" s="200"/>
      <c r="D852" s="200"/>
      <c r="E852" s="200"/>
      <c r="F852" s="200"/>
      <c r="G852" s="200"/>
      <c r="H852" s="200"/>
      <c r="I852" s="200"/>
      <c r="J852" s="200"/>
      <c r="K852" s="200"/>
      <c r="L852" s="200"/>
      <c r="M852" s="200"/>
      <c r="N852" s="200"/>
      <c r="O852" s="200"/>
    </row>
    <row r="853" spans="1:15" ht="15.75" customHeight="1" x14ac:dyDescent="0.25">
      <c r="A853" s="192"/>
      <c r="B853" s="192"/>
      <c r="C853" s="200"/>
      <c r="D853" s="200"/>
      <c r="E853" s="200"/>
      <c r="F853" s="200"/>
      <c r="G853" s="200"/>
      <c r="H853" s="200"/>
      <c r="I853" s="200"/>
      <c r="J853" s="200"/>
      <c r="K853" s="200"/>
      <c r="L853" s="200"/>
      <c r="M853" s="200"/>
      <c r="N853" s="200"/>
      <c r="O853" s="200"/>
    </row>
    <row r="854" spans="1:15" ht="15.75" customHeight="1" x14ac:dyDescent="0.25">
      <c r="A854" s="192"/>
      <c r="B854" s="192"/>
      <c r="C854" s="200"/>
      <c r="D854" s="200"/>
      <c r="E854" s="200"/>
      <c r="F854" s="200"/>
      <c r="G854" s="200"/>
      <c r="H854" s="200"/>
      <c r="I854" s="200"/>
      <c r="J854" s="200"/>
      <c r="K854" s="200"/>
      <c r="L854" s="200"/>
      <c r="M854" s="200"/>
      <c r="N854" s="200"/>
      <c r="O854" s="200"/>
    </row>
    <row r="855" spans="1:15" ht="15.75" customHeight="1" x14ac:dyDescent="0.25">
      <c r="A855" s="192"/>
      <c r="B855" s="192"/>
      <c r="C855" s="200"/>
      <c r="D855" s="200"/>
      <c r="E855" s="200"/>
      <c r="F855" s="200"/>
      <c r="G855" s="200"/>
      <c r="H855" s="200"/>
      <c r="I855" s="200"/>
      <c r="J855" s="200"/>
      <c r="K855" s="200"/>
      <c r="L855" s="200"/>
      <c r="M855" s="200"/>
      <c r="N855" s="200"/>
      <c r="O855" s="200"/>
    </row>
    <row r="856" spans="1:15" ht="15.75" customHeight="1" x14ac:dyDescent="0.25">
      <c r="A856" s="192"/>
      <c r="B856" s="192"/>
      <c r="C856" s="200"/>
      <c r="D856" s="200"/>
      <c r="E856" s="200"/>
      <c r="F856" s="200"/>
      <c r="G856" s="200"/>
      <c r="H856" s="200"/>
      <c r="I856" s="200"/>
      <c r="J856" s="200"/>
      <c r="K856" s="200"/>
      <c r="L856" s="200"/>
      <c r="M856" s="200"/>
      <c r="N856" s="200"/>
      <c r="O856" s="200"/>
    </row>
    <row r="857" spans="1:15" ht="15.75" customHeight="1" x14ac:dyDescent="0.25">
      <c r="A857" s="192"/>
      <c r="B857" s="192"/>
      <c r="C857" s="200"/>
      <c r="D857" s="200"/>
      <c r="E857" s="200"/>
      <c r="F857" s="200"/>
      <c r="G857" s="200"/>
      <c r="H857" s="200"/>
      <c r="I857" s="200"/>
      <c r="J857" s="200"/>
      <c r="K857" s="200"/>
      <c r="L857" s="200"/>
      <c r="M857" s="200"/>
      <c r="N857" s="200"/>
      <c r="O857" s="200"/>
    </row>
    <row r="858" spans="1:15" ht="15.75" customHeight="1" x14ac:dyDescent="0.25">
      <c r="A858" s="192"/>
      <c r="B858" s="192"/>
      <c r="C858" s="200"/>
      <c r="D858" s="200"/>
      <c r="E858" s="200"/>
      <c r="F858" s="200"/>
      <c r="G858" s="200"/>
      <c r="H858" s="200"/>
      <c r="I858" s="200"/>
      <c r="J858" s="200"/>
      <c r="K858" s="200"/>
      <c r="L858" s="200"/>
      <c r="M858" s="200"/>
      <c r="N858" s="200"/>
      <c r="O858" s="200"/>
    </row>
    <row r="859" spans="1:15" ht="15.75" customHeight="1" x14ac:dyDescent="0.25">
      <c r="A859" s="192"/>
      <c r="B859" s="192"/>
      <c r="C859" s="200"/>
      <c r="D859" s="200"/>
      <c r="E859" s="200"/>
      <c r="F859" s="200"/>
      <c r="G859" s="200"/>
      <c r="H859" s="200"/>
      <c r="I859" s="200"/>
      <c r="J859" s="200"/>
      <c r="K859" s="200"/>
      <c r="L859" s="200"/>
      <c r="M859" s="200"/>
      <c r="N859" s="200"/>
      <c r="O859" s="200"/>
    </row>
    <row r="860" spans="1:15" ht="15.75" customHeight="1" x14ac:dyDescent="0.25">
      <c r="A860" s="192"/>
      <c r="B860" s="192"/>
      <c r="C860" s="200"/>
      <c r="D860" s="200"/>
      <c r="E860" s="200"/>
      <c r="F860" s="200"/>
      <c r="G860" s="200"/>
      <c r="H860" s="200"/>
      <c r="I860" s="200"/>
      <c r="J860" s="200"/>
      <c r="K860" s="200"/>
      <c r="L860" s="200"/>
      <c r="M860" s="200"/>
      <c r="N860" s="200"/>
      <c r="O860" s="200"/>
    </row>
    <row r="861" spans="1:15" ht="15.75" customHeight="1" x14ac:dyDescent="0.25">
      <c r="A861" s="192"/>
      <c r="B861" s="192"/>
      <c r="C861" s="200"/>
      <c r="D861" s="200"/>
      <c r="E861" s="200"/>
      <c r="F861" s="200"/>
      <c r="G861" s="200"/>
      <c r="H861" s="200"/>
      <c r="I861" s="200"/>
      <c r="J861" s="200"/>
      <c r="K861" s="200"/>
      <c r="L861" s="200"/>
      <c r="M861" s="200"/>
      <c r="N861" s="200"/>
      <c r="O861" s="200"/>
    </row>
    <row r="862" spans="1:15" ht="15.75" customHeight="1" x14ac:dyDescent="0.25">
      <c r="A862" s="192"/>
      <c r="B862" s="192"/>
      <c r="C862" s="200"/>
      <c r="D862" s="200"/>
      <c r="E862" s="200"/>
      <c r="F862" s="200"/>
      <c r="G862" s="200"/>
      <c r="H862" s="200"/>
      <c r="I862" s="200"/>
      <c r="J862" s="200"/>
      <c r="K862" s="200"/>
      <c r="L862" s="200"/>
      <c r="M862" s="200"/>
      <c r="N862" s="200"/>
      <c r="O862" s="200"/>
    </row>
    <row r="863" spans="1:15" ht="15.75" customHeight="1" x14ac:dyDescent="0.25">
      <c r="A863" s="192"/>
      <c r="B863" s="192"/>
      <c r="C863" s="200"/>
      <c r="D863" s="200"/>
      <c r="E863" s="200"/>
      <c r="F863" s="200"/>
      <c r="G863" s="200"/>
      <c r="H863" s="200"/>
      <c r="I863" s="200"/>
      <c r="J863" s="200"/>
      <c r="K863" s="200"/>
      <c r="L863" s="200"/>
      <c r="M863" s="200"/>
      <c r="N863" s="200"/>
      <c r="O863" s="200"/>
    </row>
    <row r="864" spans="1:15" ht="15.75" customHeight="1" x14ac:dyDescent="0.25">
      <c r="A864" s="192"/>
      <c r="B864" s="192"/>
      <c r="C864" s="200"/>
      <c r="D864" s="200"/>
      <c r="E864" s="200"/>
      <c r="F864" s="200"/>
      <c r="G864" s="200"/>
      <c r="H864" s="200"/>
      <c r="I864" s="200"/>
      <c r="J864" s="200"/>
      <c r="K864" s="200"/>
      <c r="L864" s="200"/>
      <c r="M864" s="200"/>
      <c r="N864" s="200"/>
      <c r="O864" s="200"/>
    </row>
    <row r="865" spans="1:15" ht="15.75" customHeight="1" x14ac:dyDescent="0.25">
      <c r="A865" s="192"/>
      <c r="B865" s="192"/>
      <c r="C865" s="200"/>
      <c r="D865" s="200"/>
      <c r="E865" s="200"/>
      <c r="F865" s="200"/>
      <c r="G865" s="200"/>
      <c r="H865" s="200"/>
      <c r="I865" s="200"/>
      <c r="J865" s="200"/>
      <c r="K865" s="200"/>
      <c r="L865" s="200"/>
      <c r="M865" s="200"/>
      <c r="N865" s="200"/>
      <c r="O865" s="200"/>
    </row>
    <row r="866" spans="1:15" ht="15.75" customHeight="1" x14ac:dyDescent="0.25">
      <c r="A866" s="192"/>
      <c r="B866" s="192"/>
      <c r="C866" s="200"/>
      <c r="D866" s="200"/>
      <c r="E866" s="200"/>
      <c r="F866" s="200"/>
      <c r="G866" s="200"/>
      <c r="H866" s="200"/>
      <c r="I866" s="200"/>
      <c r="J866" s="200"/>
      <c r="K866" s="200"/>
      <c r="L866" s="200"/>
      <c r="M866" s="200"/>
      <c r="N866" s="200"/>
      <c r="O866" s="200"/>
    </row>
    <row r="867" spans="1:15" ht="15.75" customHeight="1" x14ac:dyDescent="0.25">
      <c r="A867" s="192"/>
      <c r="B867" s="192"/>
      <c r="C867" s="200"/>
      <c r="D867" s="200"/>
      <c r="E867" s="200"/>
      <c r="F867" s="200"/>
      <c r="G867" s="200"/>
      <c r="H867" s="200"/>
      <c r="I867" s="200"/>
      <c r="J867" s="200"/>
      <c r="K867" s="200"/>
      <c r="L867" s="200"/>
      <c r="M867" s="200"/>
      <c r="N867" s="200"/>
      <c r="O867" s="200"/>
    </row>
    <row r="868" spans="1:15" ht="15.75" customHeight="1" x14ac:dyDescent="0.25">
      <c r="A868" s="192"/>
      <c r="B868" s="192"/>
      <c r="C868" s="200"/>
      <c r="D868" s="200"/>
      <c r="E868" s="200"/>
      <c r="F868" s="200"/>
      <c r="G868" s="200"/>
      <c r="H868" s="200"/>
      <c r="I868" s="200"/>
      <c r="J868" s="200"/>
      <c r="K868" s="200"/>
      <c r="L868" s="200"/>
      <c r="M868" s="200"/>
      <c r="N868" s="200"/>
      <c r="O868" s="200"/>
    </row>
    <row r="869" spans="1:15" ht="15.75" customHeight="1" x14ac:dyDescent="0.25">
      <c r="A869" s="192"/>
      <c r="B869" s="192"/>
      <c r="C869" s="200"/>
      <c r="D869" s="200"/>
      <c r="E869" s="200"/>
      <c r="F869" s="200"/>
      <c r="G869" s="200"/>
      <c r="H869" s="200"/>
      <c r="I869" s="200"/>
      <c r="J869" s="200"/>
      <c r="K869" s="200"/>
      <c r="L869" s="200"/>
      <c r="M869" s="200"/>
      <c r="N869" s="200"/>
      <c r="O869" s="200"/>
    </row>
    <row r="870" spans="1:15" ht="15.75" customHeight="1" x14ac:dyDescent="0.25">
      <c r="A870" s="192"/>
      <c r="B870" s="192"/>
      <c r="C870" s="200"/>
      <c r="D870" s="200"/>
      <c r="E870" s="200"/>
      <c r="F870" s="200"/>
      <c r="G870" s="200"/>
      <c r="H870" s="200"/>
      <c r="I870" s="200"/>
      <c r="J870" s="200"/>
      <c r="K870" s="200"/>
      <c r="L870" s="200"/>
      <c r="M870" s="200"/>
      <c r="N870" s="200"/>
      <c r="O870" s="200"/>
    </row>
    <row r="871" spans="1:15" ht="15.75" customHeight="1" x14ac:dyDescent="0.25">
      <c r="A871" s="192"/>
      <c r="B871" s="192"/>
      <c r="C871" s="200"/>
      <c r="D871" s="200"/>
      <c r="E871" s="200"/>
      <c r="F871" s="200"/>
      <c r="G871" s="200"/>
      <c r="H871" s="200"/>
      <c r="I871" s="200"/>
      <c r="J871" s="200"/>
      <c r="K871" s="200"/>
      <c r="L871" s="200"/>
      <c r="M871" s="200"/>
      <c r="N871" s="200"/>
      <c r="O871" s="200"/>
    </row>
    <row r="872" spans="1:15" ht="15.75" customHeight="1" x14ac:dyDescent="0.25">
      <c r="A872" s="192"/>
      <c r="B872" s="192"/>
      <c r="C872" s="200"/>
      <c r="D872" s="200"/>
      <c r="E872" s="200"/>
      <c r="F872" s="200"/>
      <c r="G872" s="200"/>
      <c r="H872" s="200"/>
      <c r="I872" s="200"/>
      <c r="J872" s="200"/>
      <c r="K872" s="200"/>
      <c r="L872" s="200"/>
      <c r="M872" s="200"/>
      <c r="N872" s="200"/>
      <c r="O872" s="200"/>
    </row>
    <row r="873" spans="1:15" ht="15.75" customHeight="1" x14ac:dyDescent="0.25">
      <c r="A873" s="192"/>
      <c r="B873" s="192"/>
      <c r="C873" s="200"/>
      <c r="D873" s="200"/>
      <c r="E873" s="200"/>
      <c r="F873" s="200"/>
      <c r="G873" s="200"/>
      <c r="H873" s="200"/>
      <c r="I873" s="200"/>
      <c r="J873" s="200"/>
      <c r="K873" s="200"/>
      <c r="L873" s="200"/>
      <c r="M873" s="200"/>
      <c r="N873" s="200"/>
      <c r="O873" s="200"/>
    </row>
    <row r="874" spans="1:15" ht="15.75" customHeight="1" x14ac:dyDescent="0.25">
      <c r="A874" s="192"/>
      <c r="B874" s="192"/>
      <c r="C874" s="200"/>
      <c r="D874" s="200"/>
      <c r="E874" s="200"/>
      <c r="F874" s="200"/>
      <c r="G874" s="200"/>
      <c r="H874" s="200"/>
      <c r="I874" s="200"/>
      <c r="J874" s="200"/>
      <c r="K874" s="200"/>
      <c r="L874" s="200"/>
      <c r="M874" s="200"/>
      <c r="N874" s="200"/>
      <c r="O874" s="200"/>
    </row>
    <row r="875" spans="1:15" ht="15.75" customHeight="1" x14ac:dyDescent="0.25">
      <c r="A875" s="192"/>
      <c r="B875" s="192"/>
      <c r="C875" s="200"/>
      <c r="D875" s="200"/>
      <c r="E875" s="200"/>
      <c r="F875" s="200"/>
      <c r="G875" s="200"/>
      <c r="H875" s="200"/>
      <c r="I875" s="200"/>
      <c r="J875" s="200"/>
      <c r="K875" s="200"/>
      <c r="L875" s="200"/>
      <c r="M875" s="200"/>
      <c r="N875" s="200"/>
      <c r="O875" s="200"/>
    </row>
    <row r="876" spans="1:15" ht="15.75" customHeight="1" x14ac:dyDescent="0.25">
      <c r="A876" s="192"/>
      <c r="B876" s="192"/>
      <c r="C876" s="200"/>
      <c r="D876" s="200"/>
      <c r="E876" s="200"/>
      <c r="F876" s="200"/>
      <c r="G876" s="200"/>
      <c r="H876" s="200"/>
      <c r="I876" s="200"/>
      <c r="J876" s="200"/>
      <c r="K876" s="200"/>
      <c r="L876" s="200"/>
      <c r="M876" s="200"/>
      <c r="N876" s="200"/>
      <c r="O876" s="200"/>
    </row>
    <row r="877" spans="1:15" ht="15.75" customHeight="1" x14ac:dyDescent="0.25">
      <c r="A877" s="192"/>
      <c r="B877" s="192"/>
      <c r="C877" s="200"/>
      <c r="D877" s="200"/>
      <c r="E877" s="200"/>
      <c r="F877" s="200"/>
      <c r="G877" s="200"/>
      <c r="H877" s="200"/>
      <c r="I877" s="200"/>
      <c r="J877" s="200"/>
      <c r="K877" s="200"/>
      <c r="L877" s="200"/>
      <c r="M877" s="200"/>
      <c r="N877" s="200"/>
      <c r="O877" s="200"/>
    </row>
    <row r="878" spans="1:15" ht="15.75" customHeight="1" x14ac:dyDescent="0.25">
      <c r="A878" s="192"/>
      <c r="B878" s="192"/>
      <c r="C878" s="200"/>
      <c r="D878" s="200"/>
      <c r="E878" s="200"/>
      <c r="F878" s="200"/>
      <c r="G878" s="200"/>
      <c r="H878" s="200"/>
      <c r="I878" s="200"/>
      <c r="J878" s="200"/>
      <c r="K878" s="200"/>
      <c r="L878" s="200"/>
      <c r="M878" s="200"/>
      <c r="N878" s="200"/>
      <c r="O878" s="200"/>
    </row>
    <row r="879" spans="1:15" ht="15.75" customHeight="1" x14ac:dyDescent="0.25">
      <c r="A879" s="192"/>
      <c r="B879" s="192"/>
      <c r="C879" s="200"/>
      <c r="D879" s="200"/>
      <c r="E879" s="200"/>
      <c r="F879" s="200"/>
      <c r="G879" s="200"/>
      <c r="H879" s="200"/>
      <c r="I879" s="200"/>
      <c r="J879" s="200"/>
      <c r="K879" s="200"/>
      <c r="L879" s="200"/>
      <c r="M879" s="200"/>
      <c r="N879" s="200"/>
      <c r="O879" s="200"/>
    </row>
    <row r="880" spans="1:15" ht="15.75" customHeight="1" x14ac:dyDescent="0.25">
      <c r="A880" s="192"/>
      <c r="B880" s="192"/>
      <c r="C880" s="200"/>
      <c r="D880" s="200"/>
      <c r="E880" s="200"/>
      <c r="F880" s="200"/>
      <c r="G880" s="200"/>
      <c r="H880" s="200"/>
      <c r="I880" s="200"/>
      <c r="J880" s="200"/>
      <c r="K880" s="200"/>
      <c r="L880" s="200"/>
      <c r="M880" s="200"/>
      <c r="N880" s="200"/>
      <c r="O880" s="200"/>
    </row>
    <row r="881" spans="1:15" ht="15.75" customHeight="1" x14ac:dyDescent="0.25">
      <c r="A881" s="192"/>
      <c r="B881" s="192"/>
      <c r="C881" s="200"/>
      <c r="D881" s="200"/>
      <c r="E881" s="200"/>
      <c r="F881" s="200"/>
      <c r="G881" s="200"/>
      <c r="H881" s="200"/>
      <c r="I881" s="200"/>
      <c r="J881" s="200"/>
      <c r="K881" s="200"/>
      <c r="L881" s="200"/>
      <c r="M881" s="200"/>
      <c r="N881" s="200"/>
      <c r="O881" s="200"/>
    </row>
    <row r="882" spans="1:15" ht="15.75" customHeight="1" x14ac:dyDescent="0.25">
      <c r="A882" s="192"/>
      <c r="B882" s="192"/>
      <c r="C882" s="200"/>
      <c r="D882" s="200"/>
      <c r="E882" s="200"/>
      <c r="F882" s="200"/>
      <c r="G882" s="200"/>
      <c r="H882" s="200"/>
      <c r="I882" s="200"/>
      <c r="J882" s="200"/>
      <c r="K882" s="200"/>
      <c r="L882" s="200"/>
      <c r="M882" s="200"/>
      <c r="N882" s="200"/>
      <c r="O882" s="200"/>
    </row>
    <row r="883" spans="1:15" ht="15.75" customHeight="1" x14ac:dyDescent="0.25">
      <c r="A883" s="192"/>
      <c r="B883" s="192"/>
      <c r="C883" s="200"/>
      <c r="D883" s="200"/>
      <c r="E883" s="200"/>
      <c r="F883" s="200"/>
      <c r="G883" s="200"/>
      <c r="H883" s="200"/>
      <c r="I883" s="200"/>
      <c r="J883" s="200"/>
      <c r="K883" s="200"/>
      <c r="L883" s="200"/>
      <c r="M883" s="200"/>
      <c r="N883" s="200"/>
      <c r="O883" s="200"/>
    </row>
    <row r="884" spans="1:15" ht="15.75" customHeight="1" x14ac:dyDescent="0.25">
      <c r="A884" s="192"/>
      <c r="B884" s="192"/>
      <c r="C884" s="200"/>
      <c r="D884" s="200"/>
      <c r="E884" s="200"/>
      <c r="F884" s="200"/>
      <c r="G884" s="200"/>
      <c r="H884" s="200"/>
      <c r="I884" s="200"/>
      <c r="J884" s="200"/>
      <c r="K884" s="200"/>
      <c r="L884" s="200"/>
      <c r="M884" s="200"/>
      <c r="N884" s="200"/>
      <c r="O884" s="200"/>
    </row>
    <row r="885" spans="1:15" ht="15.75" customHeight="1" x14ac:dyDescent="0.25">
      <c r="A885" s="192"/>
      <c r="B885" s="192"/>
      <c r="C885" s="200"/>
      <c r="D885" s="200"/>
      <c r="E885" s="200"/>
      <c r="F885" s="200"/>
      <c r="G885" s="200"/>
      <c r="H885" s="200"/>
      <c r="I885" s="200"/>
      <c r="J885" s="200"/>
      <c r="K885" s="200"/>
      <c r="L885" s="200"/>
      <c r="M885" s="200"/>
      <c r="N885" s="200"/>
      <c r="O885" s="200"/>
    </row>
    <row r="886" spans="1:15" ht="15.75" customHeight="1" x14ac:dyDescent="0.25">
      <c r="A886" s="192"/>
      <c r="B886" s="192"/>
      <c r="C886" s="200"/>
      <c r="D886" s="200"/>
      <c r="E886" s="200"/>
      <c r="F886" s="200"/>
      <c r="G886" s="200"/>
      <c r="H886" s="200"/>
      <c r="I886" s="200"/>
      <c r="J886" s="200"/>
      <c r="K886" s="200"/>
      <c r="L886" s="200"/>
      <c r="M886" s="200"/>
      <c r="N886" s="200"/>
      <c r="O886" s="200"/>
    </row>
    <row r="887" spans="1:15" ht="15.75" customHeight="1" x14ac:dyDescent="0.25">
      <c r="A887" s="192"/>
      <c r="B887" s="192"/>
      <c r="C887" s="200"/>
      <c r="D887" s="200"/>
      <c r="E887" s="200"/>
      <c r="F887" s="200"/>
      <c r="G887" s="200"/>
      <c r="H887" s="200"/>
      <c r="I887" s="200"/>
      <c r="J887" s="200"/>
      <c r="K887" s="200"/>
      <c r="L887" s="200"/>
      <c r="M887" s="200"/>
      <c r="N887" s="200"/>
      <c r="O887" s="200"/>
    </row>
    <row r="888" spans="1:15" ht="15.75" customHeight="1" x14ac:dyDescent="0.25">
      <c r="A888" s="192"/>
      <c r="B888" s="192"/>
      <c r="C888" s="200"/>
      <c r="D888" s="200"/>
      <c r="E888" s="200"/>
      <c r="F888" s="200"/>
      <c r="G888" s="200"/>
      <c r="H888" s="200"/>
      <c r="I888" s="200"/>
      <c r="J888" s="200"/>
      <c r="K888" s="200"/>
      <c r="L888" s="200"/>
      <c r="M888" s="200"/>
      <c r="N888" s="200"/>
      <c r="O888" s="200"/>
    </row>
    <row r="889" spans="1:15" ht="15.75" customHeight="1" x14ac:dyDescent="0.25">
      <c r="A889" s="192"/>
      <c r="B889" s="192"/>
      <c r="C889" s="200"/>
      <c r="D889" s="200"/>
      <c r="E889" s="200"/>
      <c r="F889" s="200"/>
      <c r="G889" s="200"/>
      <c r="H889" s="200"/>
      <c r="I889" s="200"/>
      <c r="J889" s="200"/>
      <c r="K889" s="200"/>
      <c r="L889" s="200"/>
      <c r="M889" s="200"/>
      <c r="N889" s="200"/>
      <c r="O889" s="200"/>
    </row>
    <row r="890" spans="1:15" ht="15.75" customHeight="1" x14ac:dyDescent="0.25">
      <c r="A890" s="192"/>
      <c r="B890" s="192"/>
      <c r="C890" s="200"/>
      <c r="D890" s="200"/>
      <c r="E890" s="200"/>
      <c r="F890" s="200"/>
      <c r="G890" s="200"/>
      <c r="H890" s="200"/>
      <c r="I890" s="200"/>
      <c r="J890" s="200"/>
      <c r="K890" s="200"/>
      <c r="L890" s="200"/>
      <c r="M890" s="200"/>
      <c r="N890" s="200"/>
      <c r="O890" s="200"/>
    </row>
    <row r="891" spans="1:15" ht="15.75" customHeight="1" x14ac:dyDescent="0.25">
      <c r="A891" s="192"/>
      <c r="B891" s="192"/>
      <c r="C891" s="200"/>
      <c r="D891" s="200"/>
      <c r="E891" s="200"/>
      <c r="F891" s="200"/>
      <c r="G891" s="200"/>
      <c r="H891" s="200"/>
      <c r="I891" s="200"/>
      <c r="J891" s="200"/>
      <c r="K891" s="200"/>
      <c r="L891" s="200"/>
      <c r="M891" s="200"/>
      <c r="N891" s="200"/>
      <c r="O891" s="200"/>
    </row>
    <row r="892" spans="1:15" ht="15.75" customHeight="1" x14ac:dyDescent="0.25">
      <c r="A892" s="192"/>
      <c r="B892" s="192"/>
      <c r="C892" s="200"/>
      <c r="D892" s="200"/>
      <c r="E892" s="200"/>
      <c r="F892" s="200"/>
      <c r="G892" s="200"/>
      <c r="H892" s="200"/>
      <c r="I892" s="200"/>
      <c r="J892" s="200"/>
      <c r="K892" s="200"/>
      <c r="L892" s="200"/>
      <c r="M892" s="200"/>
      <c r="N892" s="200"/>
      <c r="O892" s="200"/>
    </row>
    <row r="893" spans="1:15" ht="15.75" customHeight="1" x14ac:dyDescent="0.25">
      <c r="A893" s="192"/>
      <c r="B893" s="192"/>
      <c r="C893" s="200"/>
      <c r="D893" s="200"/>
      <c r="E893" s="200"/>
      <c r="F893" s="200"/>
      <c r="G893" s="200"/>
      <c r="H893" s="200"/>
      <c r="I893" s="200"/>
      <c r="J893" s="200"/>
      <c r="K893" s="200"/>
      <c r="L893" s="200"/>
      <c r="M893" s="200"/>
      <c r="N893" s="200"/>
      <c r="O893" s="200"/>
    </row>
    <row r="894" spans="1:15" ht="15.75" customHeight="1" x14ac:dyDescent="0.25">
      <c r="A894" s="192"/>
      <c r="B894" s="192"/>
      <c r="C894" s="200"/>
      <c r="D894" s="200"/>
      <c r="E894" s="200"/>
      <c r="F894" s="200"/>
      <c r="G894" s="200"/>
      <c r="H894" s="200"/>
      <c r="I894" s="200"/>
      <c r="J894" s="200"/>
      <c r="K894" s="200"/>
      <c r="L894" s="200"/>
      <c r="M894" s="200"/>
      <c r="N894" s="200"/>
      <c r="O894" s="200"/>
    </row>
    <row r="895" spans="1:15" ht="15.75" customHeight="1" x14ac:dyDescent="0.25">
      <c r="A895" s="192"/>
      <c r="B895" s="192"/>
      <c r="C895" s="200"/>
      <c r="D895" s="200"/>
      <c r="E895" s="200"/>
      <c r="F895" s="200"/>
      <c r="G895" s="200"/>
      <c r="H895" s="200"/>
      <c r="I895" s="200"/>
      <c r="J895" s="200"/>
      <c r="K895" s="200"/>
      <c r="L895" s="200"/>
      <c r="M895" s="200"/>
      <c r="N895" s="200"/>
      <c r="O895" s="200"/>
    </row>
    <row r="896" spans="1:15" ht="15.75" customHeight="1" x14ac:dyDescent="0.25">
      <c r="A896" s="192"/>
      <c r="B896" s="192"/>
      <c r="C896" s="200"/>
      <c r="D896" s="200"/>
      <c r="E896" s="200"/>
      <c r="F896" s="200"/>
      <c r="G896" s="200"/>
      <c r="H896" s="200"/>
      <c r="I896" s="200"/>
      <c r="J896" s="200"/>
      <c r="K896" s="200"/>
      <c r="L896" s="200"/>
      <c r="M896" s="200"/>
      <c r="N896" s="200"/>
      <c r="O896" s="200"/>
    </row>
    <row r="897" spans="1:15" ht="15.75" customHeight="1" x14ac:dyDescent="0.25">
      <c r="A897" s="192"/>
      <c r="B897" s="192"/>
      <c r="C897" s="200"/>
      <c r="D897" s="200"/>
      <c r="E897" s="200"/>
      <c r="F897" s="200"/>
      <c r="G897" s="200"/>
      <c r="H897" s="200"/>
      <c r="I897" s="200"/>
      <c r="J897" s="200"/>
      <c r="K897" s="200"/>
      <c r="L897" s="200"/>
      <c r="M897" s="200"/>
      <c r="N897" s="200"/>
      <c r="O897" s="200"/>
    </row>
    <row r="898" spans="1:15" ht="15.75" customHeight="1" x14ac:dyDescent="0.25">
      <c r="A898" s="192"/>
      <c r="B898" s="192"/>
      <c r="C898" s="200"/>
      <c r="D898" s="200"/>
      <c r="E898" s="200"/>
      <c r="F898" s="200"/>
      <c r="G898" s="200"/>
      <c r="H898" s="200"/>
      <c r="I898" s="200"/>
      <c r="J898" s="200"/>
      <c r="K898" s="200"/>
      <c r="L898" s="200"/>
      <c r="M898" s="200"/>
      <c r="N898" s="200"/>
      <c r="O898" s="200"/>
    </row>
    <row r="899" spans="1:15" ht="15.75" customHeight="1" x14ac:dyDescent="0.25">
      <c r="A899" s="192"/>
      <c r="B899" s="192"/>
      <c r="C899" s="200"/>
      <c r="D899" s="200"/>
      <c r="E899" s="200"/>
      <c r="F899" s="200"/>
      <c r="G899" s="200"/>
      <c r="H899" s="200"/>
      <c r="I899" s="200"/>
      <c r="J899" s="200"/>
      <c r="K899" s="200"/>
      <c r="L899" s="200"/>
      <c r="M899" s="200"/>
      <c r="N899" s="200"/>
      <c r="O899" s="200"/>
    </row>
    <row r="900" spans="1:15" ht="15.75" customHeight="1" x14ac:dyDescent="0.25">
      <c r="A900" s="192"/>
      <c r="B900" s="192"/>
      <c r="C900" s="200"/>
      <c r="D900" s="200"/>
      <c r="E900" s="200"/>
      <c r="F900" s="200"/>
      <c r="G900" s="200"/>
      <c r="H900" s="200"/>
      <c r="I900" s="200"/>
      <c r="J900" s="200"/>
      <c r="K900" s="200"/>
      <c r="L900" s="200"/>
      <c r="M900" s="200"/>
      <c r="N900" s="200"/>
      <c r="O900" s="200"/>
    </row>
    <row r="901" spans="1:15" ht="15.75" customHeight="1" x14ac:dyDescent="0.25">
      <c r="A901" s="192"/>
      <c r="B901" s="192"/>
      <c r="C901" s="200"/>
      <c r="D901" s="200"/>
      <c r="E901" s="200"/>
      <c r="F901" s="200"/>
      <c r="G901" s="200"/>
      <c r="H901" s="200"/>
      <c r="I901" s="200"/>
      <c r="J901" s="200"/>
      <c r="K901" s="200"/>
      <c r="L901" s="200"/>
      <c r="M901" s="200"/>
      <c r="N901" s="200"/>
      <c r="O901" s="200"/>
    </row>
    <row r="902" spans="1:15" ht="15.75" customHeight="1" x14ac:dyDescent="0.25">
      <c r="A902" s="192"/>
      <c r="B902" s="192"/>
      <c r="C902" s="200"/>
      <c r="D902" s="200"/>
      <c r="E902" s="200"/>
      <c r="F902" s="200"/>
      <c r="G902" s="200"/>
      <c r="H902" s="200"/>
      <c r="I902" s="200"/>
      <c r="J902" s="200"/>
      <c r="K902" s="200"/>
      <c r="L902" s="200"/>
      <c r="M902" s="200"/>
      <c r="N902" s="200"/>
      <c r="O902" s="200"/>
    </row>
    <row r="903" spans="1:15" ht="15.75" customHeight="1" x14ac:dyDescent="0.25">
      <c r="A903" s="192"/>
      <c r="B903" s="192"/>
      <c r="C903" s="200"/>
      <c r="D903" s="200"/>
      <c r="E903" s="200"/>
      <c r="F903" s="200"/>
      <c r="G903" s="200"/>
      <c r="H903" s="200"/>
      <c r="I903" s="200"/>
      <c r="J903" s="200"/>
      <c r="K903" s="200"/>
      <c r="L903" s="200"/>
      <c r="M903" s="200"/>
      <c r="N903" s="200"/>
      <c r="O903" s="200"/>
    </row>
    <row r="904" spans="1:15" ht="15.75" customHeight="1" x14ac:dyDescent="0.25">
      <c r="A904" s="192"/>
      <c r="B904" s="192"/>
      <c r="C904" s="200"/>
      <c r="D904" s="200"/>
      <c r="E904" s="200"/>
      <c r="F904" s="200"/>
      <c r="G904" s="200"/>
      <c r="H904" s="200"/>
      <c r="I904" s="200"/>
      <c r="J904" s="200"/>
      <c r="K904" s="200"/>
      <c r="L904" s="200"/>
      <c r="M904" s="200"/>
      <c r="N904" s="200"/>
      <c r="O904" s="200"/>
    </row>
    <row r="905" spans="1:15" ht="15.75" customHeight="1" x14ac:dyDescent="0.25">
      <c r="A905" s="192"/>
      <c r="B905" s="192"/>
      <c r="C905" s="200"/>
      <c r="D905" s="200"/>
      <c r="E905" s="200"/>
      <c r="F905" s="200"/>
      <c r="G905" s="200"/>
      <c r="H905" s="200"/>
      <c r="I905" s="200"/>
      <c r="J905" s="200"/>
      <c r="K905" s="200"/>
      <c r="L905" s="200"/>
      <c r="M905" s="200"/>
      <c r="N905" s="200"/>
      <c r="O905" s="200"/>
    </row>
    <row r="906" spans="1:15" ht="15.75" customHeight="1" x14ac:dyDescent="0.25">
      <c r="A906" s="192"/>
      <c r="B906" s="192"/>
      <c r="C906" s="200"/>
      <c r="D906" s="200"/>
      <c r="E906" s="200"/>
      <c r="F906" s="200"/>
      <c r="G906" s="200"/>
      <c r="H906" s="200"/>
      <c r="I906" s="200"/>
      <c r="J906" s="200"/>
      <c r="K906" s="200"/>
      <c r="L906" s="200"/>
      <c r="M906" s="200"/>
      <c r="N906" s="200"/>
      <c r="O906" s="200"/>
    </row>
    <row r="907" spans="1:15" ht="15.75" customHeight="1" x14ac:dyDescent="0.25">
      <c r="A907" s="192"/>
      <c r="B907" s="192"/>
      <c r="C907" s="200"/>
      <c r="D907" s="200"/>
      <c r="E907" s="200"/>
      <c r="F907" s="200"/>
      <c r="G907" s="200"/>
      <c r="H907" s="200"/>
      <c r="I907" s="200"/>
      <c r="J907" s="200"/>
      <c r="K907" s="200"/>
      <c r="L907" s="200"/>
      <c r="M907" s="200"/>
      <c r="N907" s="200"/>
      <c r="O907" s="200"/>
    </row>
    <row r="908" spans="1:15" ht="15.75" customHeight="1" x14ac:dyDescent="0.25">
      <c r="A908" s="192"/>
      <c r="B908" s="192"/>
      <c r="C908" s="200"/>
      <c r="D908" s="200"/>
      <c r="E908" s="200"/>
      <c r="F908" s="200"/>
      <c r="G908" s="200"/>
      <c r="H908" s="200"/>
      <c r="I908" s="200"/>
      <c r="J908" s="200"/>
      <c r="K908" s="200"/>
      <c r="L908" s="200"/>
      <c r="M908" s="200"/>
      <c r="N908" s="200"/>
      <c r="O908" s="200"/>
    </row>
    <row r="909" spans="1:15" ht="15.75" customHeight="1" x14ac:dyDescent="0.25">
      <c r="A909" s="192"/>
      <c r="B909" s="192"/>
      <c r="C909" s="200"/>
      <c r="D909" s="200"/>
      <c r="E909" s="200"/>
      <c r="F909" s="200"/>
      <c r="G909" s="200"/>
      <c r="H909" s="200"/>
      <c r="I909" s="200"/>
      <c r="J909" s="200"/>
      <c r="K909" s="200"/>
      <c r="L909" s="200"/>
      <c r="M909" s="200"/>
      <c r="N909" s="200"/>
      <c r="O909" s="200"/>
    </row>
    <row r="910" spans="1:15" ht="15.75" customHeight="1" x14ac:dyDescent="0.25">
      <c r="A910" s="192"/>
      <c r="B910" s="192"/>
      <c r="C910" s="200"/>
      <c r="D910" s="200"/>
      <c r="E910" s="200"/>
      <c r="F910" s="200"/>
      <c r="G910" s="200"/>
      <c r="H910" s="200"/>
      <c r="I910" s="200"/>
      <c r="J910" s="200"/>
      <c r="K910" s="200"/>
      <c r="L910" s="200"/>
      <c r="M910" s="200"/>
      <c r="N910" s="200"/>
      <c r="O910" s="200"/>
    </row>
    <row r="911" spans="1:15" ht="15.75" customHeight="1" x14ac:dyDescent="0.25">
      <c r="A911" s="192"/>
      <c r="B911" s="192"/>
      <c r="C911" s="200"/>
      <c r="D911" s="200"/>
      <c r="E911" s="200"/>
      <c r="F911" s="200"/>
      <c r="G911" s="200"/>
      <c r="H911" s="200"/>
      <c r="I911" s="200"/>
      <c r="J911" s="200"/>
      <c r="K911" s="200"/>
      <c r="L911" s="200"/>
      <c r="M911" s="200"/>
      <c r="N911" s="200"/>
      <c r="O911" s="200"/>
    </row>
    <row r="912" spans="1:15" ht="15.75" customHeight="1" x14ac:dyDescent="0.25">
      <c r="A912" s="192"/>
      <c r="B912" s="192"/>
      <c r="C912" s="200"/>
      <c r="D912" s="200"/>
      <c r="E912" s="200"/>
      <c r="F912" s="200"/>
      <c r="G912" s="200"/>
      <c r="H912" s="200"/>
      <c r="I912" s="200"/>
      <c r="J912" s="200"/>
      <c r="K912" s="200"/>
      <c r="L912" s="200"/>
      <c r="M912" s="200"/>
      <c r="N912" s="200"/>
      <c r="O912" s="200"/>
    </row>
    <row r="913" spans="1:15" ht="15.75" customHeight="1" x14ac:dyDescent="0.25">
      <c r="A913" s="192"/>
      <c r="B913" s="192"/>
      <c r="C913" s="200"/>
      <c r="D913" s="200"/>
      <c r="E913" s="200"/>
      <c r="F913" s="200"/>
      <c r="G913" s="200"/>
      <c r="H913" s="200"/>
      <c r="I913" s="200"/>
      <c r="J913" s="200"/>
      <c r="K913" s="200"/>
      <c r="L913" s="200"/>
      <c r="M913" s="200"/>
      <c r="N913" s="200"/>
      <c r="O913" s="200"/>
    </row>
    <row r="914" spans="1:15" ht="15.75" customHeight="1" x14ac:dyDescent="0.25">
      <c r="A914" s="192"/>
      <c r="B914" s="192"/>
      <c r="C914" s="200"/>
      <c r="D914" s="200"/>
      <c r="E914" s="200"/>
      <c r="F914" s="200"/>
      <c r="G914" s="200"/>
      <c r="H914" s="200"/>
      <c r="I914" s="200"/>
      <c r="J914" s="200"/>
      <c r="K914" s="200"/>
      <c r="L914" s="200"/>
      <c r="M914" s="200"/>
      <c r="N914" s="200"/>
      <c r="O914" s="200"/>
    </row>
    <row r="915" spans="1:15" ht="15.75" customHeight="1" x14ac:dyDescent="0.25">
      <c r="A915" s="192"/>
      <c r="B915" s="192"/>
      <c r="C915" s="200"/>
      <c r="D915" s="200"/>
      <c r="E915" s="200"/>
      <c r="F915" s="200"/>
      <c r="G915" s="200"/>
      <c r="H915" s="200"/>
      <c r="I915" s="200"/>
      <c r="J915" s="200"/>
      <c r="K915" s="200"/>
      <c r="L915" s="200"/>
      <c r="M915" s="200"/>
      <c r="N915" s="200"/>
      <c r="O915" s="200"/>
    </row>
    <row r="916" spans="1:15" ht="15.75" customHeight="1" x14ac:dyDescent="0.25">
      <c r="A916" s="192"/>
      <c r="B916" s="192"/>
      <c r="C916" s="200"/>
      <c r="D916" s="200"/>
      <c r="E916" s="200"/>
      <c r="F916" s="200"/>
      <c r="G916" s="200"/>
      <c r="H916" s="200"/>
      <c r="I916" s="200"/>
      <c r="J916" s="200"/>
      <c r="K916" s="200"/>
      <c r="L916" s="200"/>
      <c r="M916" s="200"/>
      <c r="N916" s="200"/>
      <c r="O916" s="200"/>
    </row>
    <row r="917" spans="1:15" ht="15.75" customHeight="1" x14ac:dyDescent="0.25">
      <c r="A917" s="192"/>
      <c r="B917" s="192"/>
      <c r="C917" s="200"/>
      <c r="D917" s="200"/>
      <c r="E917" s="200"/>
      <c r="F917" s="200"/>
      <c r="G917" s="200"/>
      <c r="H917" s="200"/>
      <c r="I917" s="200"/>
      <c r="J917" s="200"/>
      <c r="K917" s="200"/>
      <c r="L917" s="200"/>
      <c r="M917" s="200"/>
      <c r="N917" s="200"/>
      <c r="O917" s="200"/>
    </row>
    <row r="918" spans="1:15" ht="15.75" customHeight="1" x14ac:dyDescent="0.25">
      <c r="A918" s="192"/>
      <c r="B918" s="192"/>
      <c r="C918" s="200"/>
      <c r="D918" s="200"/>
      <c r="E918" s="200"/>
      <c r="F918" s="200"/>
      <c r="G918" s="200"/>
      <c r="H918" s="200"/>
      <c r="I918" s="200"/>
      <c r="J918" s="200"/>
      <c r="K918" s="200"/>
      <c r="L918" s="200"/>
      <c r="M918" s="200"/>
      <c r="N918" s="200"/>
      <c r="O918" s="200"/>
    </row>
    <row r="919" spans="1:15" ht="15.75" customHeight="1" x14ac:dyDescent="0.25">
      <c r="A919" s="192"/>
      <c r="B919" s="192"/>
      <c r="C919" s="200"/>
      <c r="D919" s="200"/>
      <c r="E919" s="200"/>
      <c r="F919" s="200"/>
      <c r="G919" s="200"/>
      <c r="H919" s="200"/>
      <c r="I919" s="200"/>
      <c r="J919" s="200"/>
      <c r="K919" s="200"/>
      <c r="L919" s="200"/>
      <c r="M919" s="200"/>
      <c r="N919" s="200"/>
      <c r="O919" s="200"/>
    </row>
    <row r="920" spans="1:15" ht="15.75" customHeight="1" x14ac:dyDescent="0.25">
      <c r="A920" s="192"/>
      <c r="B920" s="192"/>
      <c r="C920" s="200"/>
      <c r="D920" s="200"/>
      <c r="E920" s="200"/>
      <c r="F920" s="200"/>
      <c r="G920" s="200"/>
      <c r="H920" s="200"/>
      <c r="I920" s="200"/>
      <c r="J920" s="200"/>
      <c r="K920" s="200"/>
      <c r="L920" s="200"/>
      <c r="M920" s="200"/>
      <c r="N920" s="200"/>
      <c r="O920" s="200"/>
    </row>
    <row r="921" spans="1:15" ht="15.75" customHeight="1" x14ac:dyDescent="0.25">
      <c r="A921" s="192"/>
      <c r="B921" s="192"/>
      <c r="C921" s="200"/>
      <c r="D921" s="200"/>
      <c r="E921" s="200"/>
      <c r="F921" s="200"/>
      <c r="G921" s="200"/>
      <c r="H921" s="200"/>
      <c r="I921" s="200"/>
      <c r="J921" s="200"/>
      <c r="K921" s="200"/>
      <c r="L921" s="200"/>
      <c r="M921" s="200"/>
      <c r="N921" s="200"/>
      <c r="O921" s="200"/>
    </row>
    <row r="922" spans="1:15" ht="15.75" customHeight="1" x14ac:dyDescent="0.25">
      <c r="A922" s="192"/>
      <c r="B922" s="192"/>
      <c r="C922" s="200"/>
      <c r="D922" s="200"/>
      <c r="E922" s="200"/>
      <c r="F922" s="200"/>
      <c r="G922" s="200"/>
      <c r="H922" s="200"/>
      <c r="I922" s="200"/>
      <c r="J922" s="200"/>
      <c r="K922" s="200"/>
      <c r="L922" s="200"/>
      <c r="M922" s="200"/>
      <c r="N922" s="200"/>
      <c r="O922" s="200"/>
    </row>
    <row r="923" spans="1:15" ht="15.75" customHeight="1" x14ac:dyDescent="0.25">
      <c r="A923" s="192"/>
      <c r="B923" s="192"/>
      <c r="C923" s="200"/>
      <c r="D923" s="200"/>
      <c r="E923" s="200"/>
      <c r="F923" s="200"/>
      <c r="G923" s="200"/>
      <c r="H923" s="200"/>
      <c r="I923" s="200"/>
      <c r="J923" s="200"/>
      <c r="K923" s="200"/>
      <c r="L923" s="200"/>
      <c r="M923" s="200"/>
      <c r="N923" s="200"/>
      <c r="O923" s="200"/>
    </row>
    <row r="924" spans="1:15" ht="15.75" customHeight="1" x14ac:dyDescent="0.25">
      <c r="A924" s="192"/>
      <c r="B924" s="192"/>
      <c r="C924" s="200"/>
      <c r="D924" s="200"/>
      <c r="E924" s="200"/>
      <c r="F924" s="200"/>
      <c r="G924" s="200"/>
      <c r="H924" s="200"/>
      <c r="I924" s="200"/>
      <c r="J924" s="200"/>
      <c r="K924" s="200"/>
      <c r="L924" s="200"/>
      <c r="M924" s="200"/>
      <c r="N924" s="200"/>
      <c r="O924" s="200"/>
    </row>
    <row r="925" spans="1:15" ht="15.75" customHeight="1" x14ac:dyDescent="0.25">
      <c r="A925" s="192"/>
      <c r="B925" s="192"/>
      <c r="C925" s="200"/>
      <c r="D925" s="200"/>
      <c r="E925" s="200"/>
      <c r="F925" s="200"/>
      <c r="G925" s="200"/>
      <c r="H925" s="200"/>
      <c r="I925" s="200"/>
      <c r="J925" s="200"/>
      <c r="K925" s="200"/>
      <c r="L925" s="200"/>
      <c r="M925" s="200"/>
      <c r="N925" s="200"/>
      <c r="O925" s="200"/>
    </row>
    <row r="926" spans="1:15" ht="15.75" customHeight="1" x14ac:dyDescent="0.25">
      <c r="A926" s="192"/>
      <c r="B926" s="192"/>
      <c r="C926" s="200"/>
      <c r="D926" s="200"/>
      <c r="E926" s="200"/>
      <c r="F926" s="200"/>
      <c r="G926" s="200"/>
      <c r="H926" s="200"/>
      <c r="I926" s="200"/>
      <c r="J926" s="200"/>
      <c r="K926" s="200"/>
      <c r="L926" s="200"/>
      <c r="M926" s="200"/>
      <c r="N926" s="200"/>
      <c r="O926" s="200"/>
    </row>
    <row r="927" spans="1:15" ht="15.75" customHeight="1" x14ac:dyDescent="0.25">
      <c r="A927" s="192"/>
      <c r="B927" s="192"/>
      <c r="C927" s="200"/>
      <c r="D927" s="200"/>
      <c r="E927" s="200"/>
      <c r="F927" s="200"/>
      <c r="G927" s="200"/>
      <c r="H927" s="200"/>
      <c r="I927" s="200"/>
      <c r="J927" s="200"/>
      <c r="K927" s="200"/>
      <c r="L927" s="200"/>
      <c r="M927" s="200"/>
      <c r="N927" s="200"/>
      <c r="O927" s="200"/>
    </row>
    <row r="928" spans="1:15" ht="15.75" customHeight="1" x14ac:dyDescent="0.25">
      <c r="A928" s="192"/>
      <c r="B928" s="192"/>
      <c r="C928" s="200"/>
      <c r="D928" s="200"/>
      <c r="E928" s="200"/>
      <c r="F928" s="200"/>
      <c r="G928" s="200"/>
      <c r="H928" s="200"/>
      <c r="I928" s="200"/>
      <c r="J928" s="200"/>
      <c r="K928" s="200"/>
      <c r="L928" s="200"/>
      <c r="M928" s="200"/>
      <c r="N928" s="200"/>
      <c r="O928" s="200"/>
    </row>
    <row r="929" spans="1:15" ht="15.75" customHeight="1" x14ac:dyDescent="0.25">
      <c r="A929" s="192"/>
      <c r="B929" s="192"/>
      <c r="C929" s="200"/>
      <c r="D929" s="200"/>
      <c r="E929" s="200"/>
      <c r="F929" s="200"/>
      <c r="G929" s="200"/>
      <c r="H929" s="200"/>
      <c r="I929" s="200"/>
      <c r="J929" s="200"/>
      <c r="K929" s="200"/>
      <c r="L929" s="200"/>
      <c r="M929" s="200"/>
      <c r="N929" s="200"/>
      <c r="O929" s="200"/>
    </row>
    <row r="930" spans="1:15" ht="15.75" customHeight="1" x14ac:dyDescent="0.25">
      <c r="A930" s="192"/>
      <c r="B930" s="192"/>
      <c r="C930" s="200"/>
      <c r="D930" s="200"/>
      <c r="E930" s="200"/>
      <c r="F930" s="200"/>
      <c r="G930" s="200"/>
      <c r="H930" s="200"/>
      <c r="I930" s="200"/>
      <c r="J930" s="200"/>
      <c r="K930" s="200"/>
      <c r="L930" s="200"/>
      <c r="M930" s="200"/>
      <c r="N930" s="200"/>
      <c r="O930" s="200"/>
    </row>
    <row r="931" spans="1:15" ht="15.75" customHeight="1" x14ac:dyDescent="0.25">
      <c r="A931" s="192"/>
      <c r="B931" s="192"/>
      <c r="C931" s="200"/>
      <c r="D931" s="200"/>
      <c r="E931" s="200"/>
      <c r="F931" s="200"/>
      <c r="G931" s="200"/>
      <c r="H931" s="200"/>
      <c r="I931" s="200"/>
      <c r="J931" s="200"/>
      <c r="K931" s="200"/>
      <c r="L931" s="200"/>
      <c r="M931" s="200"/>
      <c r="N931" s="200"/>
      <c r="O931" s="200"/>
    </row>
    <row r="932" spans="1:15" ht="15.75" customHeight="1" x14ac:dyDescent="0.25">
      <c r="A932" s="192"/>
      <c r="B932" s="192"/>
      <c r="C932" s="200"/>
      <c r="D932" s="200"/>
      <c r="E932" s="200"/>
      <c r="F932" s="200"/>
      <c r="G932" s="200"/>
      <c r="H932" s="200"/>
      <c r="I932" s="200"/>
      <c r="J932" s="200"/>
      <c r="K932" s="200"/>
      <c r="L932" s="200"/>
      <c r="M932" s="200"/>
      <c r="N932" s="200"/>
      <c r="O932" s="200"/>
    </row>
    <row r="933" spans="1:15" ht="15.75" customHeight="1" x14ac:dyDescent="0.25">
      <c r="A933" s="192"/>
      <c r="B933" s="192"/>
      <c r="C933" s="200"/>
      <c r="D933" s="200"/>
      <c r="E933" s="200"/>
      <c r="F933" s="200"/>
      <c r="G933" s="200"/>
      <c r="H933" s="200"/>
      <c r="I933" s="200"/>
      <c r="J933" s="200"/>
      <c r="K933" s="200"/>
      <c r="L933" s="200"/>
      <c r="M933" s="200"/>
      <c r="N933" s="200"/>
      <c r="O933" s="200"/>
    </row>
    <row r="934" spans="1:15" ht="15.75" customHeight="1" x14ac:dyDescent="0.25">
      <c r="A934" s="192"/>
      <c r="B934" s="192"/>
      <c r="C934" s="200"/>
      <c r="D934" s="200"/>
      <c r="E934" s="200"/>
      <c r="F934" s="200"/>
      <c r="G934" s="200"/>
      <c r="H934" s="200"/>
      <c r="I934" s="200"/>
      <c r="J934" s="200"/>
      <c r="K934" s="200"/>
      <c r="L934" s="200"/>
      <c r="M934" s="200"/>
      <c r="N934" s="200"/>
      <c r="O934" s="200"/>
    </row>
    <row r="935" spans="1:15" ht="15.75" customHeight="1" x14ac:dyDescent="0.25">
      <c r="A935" s="192"/>
      <c r="B935" s="192"/>
      <c r="C935" s="200"/>
      <c r="D935" s="200"/>
      <c r="E935" s="200"/>
      <c r="F935" s="200"/>
      <c r="G935" s="200"/>
      <c r="H935" s="200"/>
      <c r="I935" s="200"/>
      <c r="J935" s="200"/>
      <c r="K935" s="200"/>
      <c r="L935" s="200"/>
      <c r="M935" s="200"/>
      <c r="N935" s="200"/>
      <c r="O935" s="200"/>
    </row>
    <row r="936" spans="1:15" ht="15.75" customHeight="1" x14ac:dyDescent="0.25">
      <c r="A936" s="192"/>
      <c r="B936" s="192"/>
      <c r="C936" s="200"/>
      <c r="D936" s="200"/>
      <c r="E936" s="200"/>
      <c r="F936" s="200"/>
      <c r="G936" s="200"/>
      <c r="H936" s="200"/>
      <c r="I936" s="200"/>
      <c r="J936" s="200"/>
      <c r="K936" s="200"/>
      <c r="L936" s="200"/>
      <c r="M936" s="200"/>
      <c r="N936" s="200"/>
      <c r="O936" s="200"/>
    </row>
    <row r="937" spans="1:15" ht="15.75" customHeight="1" x14ac:dyDescent="0.25">
      <c r="A937" s="192"/>
      <c r="B937" s="192"/>
      <c r="C937" s="200"/>
      <c r="D937" s="200"/>
      <c r="E937" s="200"/>
      <c r="F937" s="200"/>
      <c r="G937" s="200"/>
      <c r="H937" s="200"/>
      <c r="I937" s="200"/>
      <c r="J937" s="200"/>
      <c r="K937" s="200"/>
      <c r="L937" s="200"/>
      <c r="M937" s="200"/>
      <c r="N937" s="200"/>
      <c r="O937" s="200"/>
    </row>
    <row r="938" spans="1:15" ht="15.75" customHeight="1" x14ac:dyDescent="0.25">
      <c r="A938" s="192"/>
      <c r="B938" s="192"/>
      <c r="C938" s="200"/>
      <c r="D938" s="200"/>
      <c r="E938" s="200"/>
      <c r="F938" s="200"/>
      <c r="G938" s="200"/>
      <c r="H938" s="200"/>
      <c r="I938" s="200"/>
      <c r="J938" s="200"/>
      <c r="K938" s="200"/>
      <c r="L938" s="200"/>
      <c r="M938" s="200"/>
      <c r="N938" s="200"/>
      <c r="O938" s="200"/>
    </row>
    <row r="939" spans="1:15" ht="15.75" customHeight="1" x14ac:dyDescent="0.25">
      <c r="A939" s="192"/>
      <c r="B939" s="192"/>
      <c r="C939" s="200"/>
      <c r="D939" s="200"/>
      <c r="E939" s="200"/>
      <c r="F939" s="200"/>
      <c r="G939" s="200"/>
      <c r="H939" s="200"/>
      <c r="I939" s="200"/>
      <c r="J939" s="200"/>
      <c r="K939" s="200"/>
      <c r="L939" s="200"/>
      <c r="M939" s="200"/>
      <c r="N939" s="200"/>
      <c r="O939" s="200"/>
    </row>
    <row r="940" spans="1:15" ht="15.75" customHeight="1" x14ac:dyDescent="0.25">
      <c r="A940" s="192"/>
      <c r="B940" s="192"/>
      <c r="C940" s="200"/>
      <c r="D940" s="200"/>
      <c r="E940" s="200"/>
      <c r="F940" s="200"/>
      <c r="G940" s="200"/>
      <c r="H940" s="200"/>
      <c r="I940" s="200"/>
      <c r="J940" s="200"/>
      <c r="K940" s="200"/>
      <c r="L940" s="200"/>
      <c r="M940" s="200"/>
      <c r="N940" s="200"/>
      <c r="O940" s="200"/>
    </row>
    <row r="941" spans="1:15" ht="15.75" customHeight="1" x14ac:dyDescent="0.25">
      <c r="A941" s="192"/>
      <c r="B941" s="192"/>
      <c r="C941" s="200"/>
      <c r="D941" s="200"/>
      <c r="E941" s="200"/>
      <c r="F941" s="200"/>
      <c r="G941" s="200"/>
      <c r="H941" s="200"/>
      <c r="I941" s="200"/>
      <c r="J941" s="200"/>
      <c r="K941" s="200"/>
      <c r="L941" s="200"/>
      <c r="M941" s="200"/>
      <c r="N941" s="200"/>
      <c r="O941" s="200"/>
    </row>
    <row r="942" spans="1:15" ht="15.75" customHeight="1" x14ac:dyDescent="0.25">
      <c r="A942" s="192"/>
      <c r="B942" s="192"/>
      <c r="C942" s="200"/>
      <c r="D942" s="200"/>
      <c r="E942" s="200"/>
      <c r="F942" s="200"/>
      <c r="G942" s="200"/>
      <c r="H942" s="200"/>
      <c r="I942" s="200"/>
      <c r="J942" s="200"/>
      <c r="K942" s="200"/>
      <c r="L942" s="200"/>
      <c r="M942" s="200"/>
      <c r="N942" s="200"/>
      <c r="O942" s="200"/>
    </row>
    <row r="943" spans="1:15" ht="15.75" customHeight="1" x14ac:dyDescent="0.25">
      <c r="A943" s="192"/>
      <c r="B943" s="192"/>
      <c r="C943" s="200"/>
      <c r="D943" s="200"/>
      <c r="E943" s="200"/>
      <c r="F943" s="200"/>
      <c r="G943" s="200"/>
      <c r="H943" s="200"/>
      <c r="I943" s="200"/>
      <c r="J943" s="200"/>
      <c r="K943" s="200"/>
      <c r="L943" s="200"/>
      <c r="M943" s="200"/>
      <c r="N943" s="200"/>
      <c r="O943" s="200"/>
    </row>
    <row r="944" spans="1:15" ht="15.75" customHeight="1" x14ac:dyDescent="0.25">
      <c r="A944" s="192"/>
      <c r="B944" s="192"/>
      <c r="C944" s="200"/>
      <c r="D944" s="200"/>
      <c r="E944" s="200"/>
      <c r="F944" s="200"/>
      <c r="G944" s="200"/>
      <c r="H944" s="200"/>
      <c r="I944" s="200"/>
      <c r="J944" s="200"/>
      <c r="K944" s="200"/>
      <c r="L944" s="200"/>
      <c r="M944" s="200"/>
      <c r="N944" s="200"/>
      <c r="O944" s="200"/>
    </row>
    <row r="945" spans="1:15" ht="15.75" customHeight="1" x14ac:dyDescent="0.25">
      <c r="A945" s="192"/>
      <c r="B945" s="192"/>
      <c r="C945" s="200"/>
      <c r="D945" s="200"/>
      <c r="E945" s="200"/>
      <c r="F945" s="200"/>
      <c r="G945" s="200"/>
      <c r="H945" s="200"/>
      <c r="I945" s="200"/>
      <c r="J945" s="200"/>
      <c r="K945" s="200"/>
      <c r="L945" s="200"/>
      <c r="M945" s="200"/>
      <c r="N945" s="200"/>
      <c r="O945" s="200"/>
    </row>
    <row r="946" spans="1:15" ht="15.75" customHeight="1" x14ac:dyDescent="0.25">
      <c r="A946" s="192"/>
      <c r="B946" s="192"/>
      <c r="C946" s="200"/>
      <c r="D946" s="200"/>
      <c r="E946" s="200"/>
      <c r="F946" s="200"/>
      <c r="G946" s="200"/>
      <c r="H946" s="200"/>
      <c r="I946" s="200"/>
      <c r="J946" s="200"/>
      <c r="K946" s="200"/>
      <c r="L946" s="200"/>
      <c r="M946" s="200"/>
      <c r="N946" s="200"/>
      <c r="O946" s="200"/>
    </row>
    <row r="947" spans="1:15" ht="15.75" customHeight="1" x14ac:dyDescent="0.25">
      <c r="A947" s="192"/>
      <c r="B947" s="192"/>
      <c r="C947" s="200"/>
      <c r="D947" s="200"/>
      <c r="E947" s="200"/>
      <c r="F947" s="200"/>
      <c r="G947" s="200"/>
      <c r="H947" s="200"/>
      <c r="I947" s="200"/>
      <c r="J947" s="200"/>
      <c r="K947" s="200"/>
      <c r="L947" s="200"/>
      <c r="M947" s="200"/>
      <c r="N947" s="200"/>
      <c r="O947" s="200"/>
    </row>
    <row r="948" spans="1:15" ht="15.75" customHeight="1" x14ac:dyDescent="0.25">
      <c r="A948" s="192"/>
      <c r="B948" s="192"/>
      <c r="C948" s="200"/>
      <c r="D948" s="200"/>
      <c r="E948" s="200"/>
      <c r="F948" s="200"/>
      <c r="G948" s="200"/>
      <c r="H948" s="200"/>
      <c r="I948" s="200"/>
      <c r="J948" s="200"/>
      <c r="K948" s="200"/>
      <c r="L948" s="200"/>
      <c r="M948" s="200"/>
      <c r="N948" s="200"/>
      <c r="O948" s="200"/>
    </row>
    <row r="949" spans="1:15" ht="15.75" customHeight="1" x14ac:dyDescent="0.25">
      <c r="A949" s="192"/>
      <c r="B949" s="192"/>
      <c r="C949" s="200"/>
      <c r="D949" s="200"/>
      <c r="E949" s="200"/>
      <c r="F949" s="200"/>
      <c r="G949" s="200"/>
      <c r="H949" s="200"/>
      <c r="I949" s="200"/>
      <c r="J949" s="200"/>
      <c r="K949" s="200"/>
      <c r="L949" s="200"/>
      <c r="M949" s="200"/>
      <c r="N949" s="200"/>
      <c r="O949" s="200"/>
    </row>
    <row r="950" spans="1:15" ht="15.75" customHeight="1" x14ac:dyDescent="0.25">
      <c r="A950" s="192"/>
      <c r="B950" s="192"/>
      <c r="C950" s="200"/>
      <c r="D950" s="200"/>
      <c r="E950" s="200"/>
      <c r="F950" s="200"/>
      <c r="G950" s="200"/>
      <c r="H950" s="200"/>
      <c r="I950" s="200"/>
      <c r="J950" s="200"/>
      <c r="K950" s="200"/>
      <c r="L950" s="200"/>
      <c r="M950" s="200"/>
      <c r="N950" s="200"/>
      <c r="O950" s="200"/>
    </row>
    <row r="951" spans="1:15" ht="15.75" customHeight="1" x14ac:dyDescent="0.25">
      <c r="A951" s="192"/>
      <c r="B951" s="192"/>
      <c r="C951" s="200"/>
      <c r="D951" s="200"/>
      <c r="E951" s="200"/>
      <c r="F951" s="200"/>
      <c r="G951" s="200"/>
      <c r="H951" s="200"/>
      <c r="I951" s="200"/>
      <c r="J951" s="200"/>
      <c r="K951" s="200"/>
      <c r="L951" s="200"/>
      <c r="M951" s="200"/>
      <c r="N951" s="200"/>
      <c r="O951" s="200"/>
    </row>
    <row r="952" spans="1:15" ht="15.75" customHeight="1" x14ac:dyDescent="0.25">
      <c r="A952" s="192"/>
      <c r="B952" s="192"/>
      <c r="C952" s="200"/>
      <c r="D952" s="200"/>
      <c r="E952" s="200"/>
      <c r="F952" s="200"/>
      <c r="G952" s="200"/>
      <c r="H952" s="200"/>
      <c r="I952" s="200"/>
      <c r="J952" s="200"/>
      <c r="K952" s="200"/>
      <c r="L952" s="200"/>
      <c r="M952" s="200"/>
      <c r="N952" s="200"/>
      <c r="O952" s="200"/>
    </row>
    <row r="953" spans="1:15" ht="15.75" customHeight="1" x14ac:dyDescent="0.25">
      <c r="A953" s="192"/>
      <c r="B953" s="192"/>
      <c r="C953" s="200"/>
      <c r="D953" s="200"/>
      <c r="E953" s="200"/>
      <c r="F953" s="200"/>
      <c r="G953" s="200"/>
      <c r="H953" s="200"/>
      <c r="I953" s="200"/>
      <c r="J953" s="200"/>
      <c r="K953" s="200"/>
      <c r="L953" s="200"/>
      <c r="M953" s="200"/>
      <c r="N953" s="200"/>
      <c r="O953" s="200"/>
    </row>
    <row r="954" spans="1:15" ht="15.75" customHeight="1" x14ac:dyDescent="0.25">
      <c r="A954" s="192"/>
      <c r="B954" s="192"/>
      <c r="C954" s="200"/>
      <c r="D954" s="200"/>
      <c r="E954" s="200"/>
      <c r="F954" s="200"/>
      <c r="G954" s="200"/>
      <c r="H954" s="200"/>
      <c r="I954" s="200"/>
      <c r="J954" s="200"/>
      <c r="K954" s="200"/>
      <c r="L954" s="200"/>
      <c r="M954" s="200"/>
      <c r="N954" s="200"/>
      <c r="O954" s="200"/>
    </row>
    <row r="955" spans="1:15" ht="15.75" customHeight="1" x14ac:dyDescent="0.25">
      <c r="A955" s="192"/>
      <c r="B955" s="192"/>
      <c r="C955" s="200"/>
      <c r="D955" s="200"/>
      <c r="E955" s="200"/>
      <c r="F955" s="200"/>
      <c r="G955" s="200"/>
      <c r="H955" s="200"/>
      <c r="I955" s="200"/>
      <c r="J955" s="200"/>
      <c r="K955" s="200"/>
      <c r="L955" s="200"/>
      <c r="M955" s="200"/>
      <c r="N955" s="200"/>
      <c r="O955" s="200"/>
    </row>
    <row r="956" spans="1:15" ht="15.75" customHeight="1" x14ac:dyDescent="0.25">
      <c r="A956" s="192"/>
      <c r="B956" s="192"/>
      <c r="C956" s="200"/>
      <c r="D956" s="200"/>
      <c r="E956" s="200"/>
      <c r="F956" s="200"/>
      <c r="G956" s="200"/>
      <c r="H956" s="200"/>
      <c r="I956" s="200"/>
      <c r="J956" s="200"/>
      <c r="K956" s="200"/>
      <c r="L956" s="200"/>
      <c r="M956" s="200"/>
      <c r="N956" s="200"/>
      <c r="O956" s="200"/>
    </row>
    <row r="957" spans="1:15" ht="15.75" customHeight="1" x14ac:dyDescent="0.25">
      <c r="A957" s="192"/>
      <c r="B957" s="192"/>
      <c r="C957" s="200"/>
      <c r="D957" s="200"/>
      <c r="E957" s="200"/>
      <c r="F957" s="200"/>
      <c r="G957" s="200"/>
      <c r="H957" s="200"/>
      <c r="I957" s="200"/>
      <c r="J957" s="200"/>
      <c r="K957" s="200"/>
      <c r="L957" s="200"/>
      <c r="M957" s="200"/>
      <c r="N957" s="200"/>
      <c r="O957" s="200"/>
    </row>
    <row r="958" spans="1:15" ht="15.75" customHeight="1" x14ac:dyDescent="0.25">
      <c r="A958" s="192"/>
      <c r="B958" s="192"/>
      <c r="C958" s="200"/>
      <c r="D958" s="200"/>
      <c r="E958" s="200"/>
      <c r="F958" s="200"/>
      <c r="G958" s="200"/>
      <c r="H958" s="200"/>
      <c r="I958" s="200"/>
      <c r="J958" s="200"/>
      <c r="K958" s="200"/>
      <c r="L958" s="200"/>
      <c r="M958" s="200"/>
      <c r="N958" s="200"/>
      <c r="O958" s="200"/>
    </row>
    <row r="959" spans="1:15" ht="15.75" customHeight="1" x14ac:dyDescent="0.25">
      <c r="A959" s="192"/>
      <c r="B959" s="192"/>
      <c r="C959" s="200"/>
      <c r="D959" s="200"/>
      <c r="E959" s="200"/>
      <c r="F959" s="200"/>
      <c r="G959" s="200"/>
      <c r="H959" s="200"/>
      <c r="I959" s="200"/>
      <c r="J959" s="200"/>
      <c r="K959" s="200"/>
      <c r="L959" s="200"/>
      <c r="M959" s="200"/>
      <c r="N959" s="200"/>
      <c r="O959" s="200"/>
    </row>
    <row r="960" spans="1:15" ht="15.75" customHeight="1" x14ac:dyDescent="0.25">
      <c r="A960" s="192"/>
      <c r="B960" s="192"/>
      <c r="C960" s="200"/>
      <c r="D960" s="200"/>
      <c r="E960" s="200"/>
      <c r="F960" s="200"/>
      <c r="G960" s="200"/>
      <c r="H960" s="200"/>
      <c r="I960" s="200"/>
      <c r="J960" s="200"/>
      <c r="K960" s="200"/>
      <c r="L960" s="200"/>
      <c r="M960" s="200"/>
      <c r="N960" s="200"/>
      <c r="O960" s="200"/>
    </row>
    <row r="961" spans="1:15" ht="15.75" customHeight="1" x14ac:dyDescent="0.25">
      <c r="A961" s="192"/>
      <c r="B961" s="192"/>
      <c r="C961" s="200"/>
      <c r="D961" s="200"/>
      <c r="E961" s="200"/>
      <c r="F961" s="200"/>
      <c r="G961" s="200"/>
      <c r="H961" s="200"/>
      <c r="I961" s="200"/>
      <c r="J961" s="200"/>
      <c r="K961" s="200"/>
      <c r="L961" s="200"/>
      <c r="M961" s="200"/>
      <c r="N961" s="200"/>
      <c r="O961" s="200"/>
    </row>
    <row r="962" spans="1:15" ht="15.75" customHeight="1" x14ac:dyDescent="0.25">
      <c r="A962" s="192"/>
      <c r="B962" s="192"/>
      <c r="C962" s="200"/>
      <c r="D962" s="200"/>
      <c r="E962" s="200"/>
      <c r="F962" s="200"/>
      <c r="G962" s="200"/>
      <c r="H962" s="200"/>
      <c r="I962" s="200"/>
      <c r="J962" s="200"/>
      <c r="K962" s="200"/>
      <c r="L962" s="200"/>
      <c r="M962" s="200"/>
      <c r="N962" s="200"/>
      <c r="O962" s="200"/>
    </row>
    <row r="963" spans="1:15" ht="15.75" customHeight="1" x14ac:dyDescent="0.25">
      <c r="A963" s="192"/>
      <c r="B963" s="192"/>
      <c r="C963" s="200"/>
      <c r="D963" s="200"/>
      <c r="E963" s="200"/>
      <c r="F963" s="200"/>
      <c r="G963" s="200"/>
      <c r="H963" s="200"/>
      <c r="I963" s="200"/>
      <c r="J963" s="200"/>
      <c r="K963" s="200"/>
      <c r="L963" s="200"/>
      <c r="M963" s="200"/>
      <c r="N963" s="200"/>
      <c r="O963" s="200"/>
    </row>
    <row r="964" spans="1:15" ht="15.75" customHeight="1" x14ac:dyDescent="0.25">
      <c r="A964" s="192"/>
      <c r="B964" s="192"/>
      <c r="C964" s="200"/>
      <c r="D964" s="200"/>
      <c r="E964" s="200"/>
      <c r="F964" s="200"/>
      <c r="G964" s="200"/>
      <c r="H964" s="200"/>
      <c r="I964" s="200"/>
      <c r="J964" s="200"/>
      <c r="K964" s="200"/>
      <c r="L964" s="200"/>
      <c r="M964" s="200"/>
      <c r="N964" s="200"/>
      <c r="O964" s="200"/>
    </row>
    <row r="965" spans="1:15" ht="15.75" customHeight="1" x14ac:dyDescent="0.25">
      <c r="A965" s="192"/>
      <c r="B965" s="192"/>
      <c r="C965" s="200"/>
      <c r="D965" s="200"/>
      <c r="E965" s="200"/>
      <c r="F965" s="200"/>
      <c r="G965" s="200"/>
      <c r="H965" s="200"/>
      <c r="I965" s="200"/>
      <c r="J965" s="200"/>
      <c r="K965" s="200"/>
      <c r="L965" s="200"/>
      <c r="M965" s="200"/>
      <c r="N965" s="200"/>
      <c r="O965" s="200"/>
    </row>
    <row r="966" spans="1:15" ht="15.75" customHeight="1" x14ac:dyDescent="0.25">
      <c r="A966" s="192"/>
      <c r="B966" s="192"/>
      <c r="C966" s="200"/>
      <c r="D966" s="200"/>
      <c r="E966" s="200"/>
      <c r="F966" s="200"/>
      <c r="G966" s="200"/>
      <c r="H966" s="200"/>
      <c r="I966" s="200"/>
      <c r="J966" s="200"/>
      <c r="K966" s="200"/>
      <c r="L966" s="200"/>
      <c r="M966" s="200"/>
      <c r="N966" s="200"/>
      <c r="O966" s="200"/>
    </row>
    <row r="967" spans="1:15" ht="15.75" customHeight="1" x14ac:dyDescent="0.25">
      <c r="A967" s="192"/>
      <c r="B967" s="192"/>
      <c r="C967" s="200"/>
      <c r="D967" s="200"/>
      <c r="E967" s="200"/>
      <c r="F967" s="200"/>
      <c r="G967" s="200"/>
      <c r="H967" s="200"/>
      <c r="I967" s="200"/>
      <c r="J967" s="200"/>
      <c r="K967" s="200"/>
      <c r="L967" s="200"/>
      <c r="M967" s="200"/>
      <c r="N967" s="200"/>
      <c r="O967" s="200"/>
    </row>
    <row r="968" spans="1:15" ht="15.75" customHeight="1" x14ac:dyDescent="0.25">
      <c r="A968" s="192"/>
      <c r="B968" s="192"/>
      <c r="C968" s="200"/>
      <c r="D968" s="200"/>
      <c r="E968" s="200"/>
      <c r="F968" s="200"/>
      <c r="G968" s="200"/>
      <c r="H968" s="200"/>
      <c r="I968" s="200"/>
      <c r="J968" s="200"/>
      <c r="K968" s="200"/>
      <c r="L968" s="200"/>
      <c r="M968" s="200"/>
      <c r="N968" s="200"/>
      <c r="O968" s="200"/>
    </row>
    <row r="969" spans="1:15" ht="15.75" customHeight="1" x14ac:dyDescent="0.25">
      <c r="A969" s="192"/>
      <c r="B969" s="192"/>
      <c r="C969" s="200"/>
      <c r="D969" s="200"/>
      <c r="E969" s="200"/>
      <c r="F969" s="200"/>
      <c r="G969" s="200"/>
      <c r="H969" s="200"/>
      <c r="I969" s="200"/>
      <c r="J969" s="200"/>
      <c r="K969" s="200"/>
      <c r="L969" s="200"/>
      <c r="M969" s="200"/>
      <c r="N969" s="200"/>
      <c r="O969" s="200"/>
    </row>
    <row r="970" spans="1:15" ht="15.75" customHeight="1" x14ac:dyDescent="0.25">
      <c r="A970" s="192"/>
      <c r="B970" s="192"/>
      <c r="C970" s="200"/>
      <c r="D970" s="200"/>
      <c r="E970" s="200"/>
      <c r="F970" s="200"/>
      <c r="G970" s="200"/>
      <c r="H970" s="200"/>
      <c r="I970" s="200"/>
      <c r="J970" s="200"/>
      <c r="K970" s="200"/>
      <c r="L970" s="200"/>
      <c r="M970" s="200"/>
      <c r="N970" s="200"/>
      <c r="O970" s="200"/>
    </row>
    <row r="971" spans="1:15" ht="15.75" customHeight="1" x14ac:dyDescent="0.25">
      <c r="A971" s="192"/>
      <c r="B971" s="192"/>
      <c r="C971" s="200"/>
      <c r="D971" s="200"/>
      <c r="E971" s="200"/>
      <c r="F971" s="200"/>
      <c r="G971" s="200"/>
      <c r="H971" s="200"/>
      <c r="I971" s="200"/>
      <c r="J971" s="200"/>
      <c r="K971" s="200"/>
      <c r="L971" s="200"/>
      <c r="M971" s="200"/>
      <c r="N971" s="200"/>
      <c r="O971" s="200"/>
    </row>
    <row r="972" spans="1:15" ht="15.75" customHeight="1" x14ac:dyDescent="0.25">
      <c r="A972" s="192"/>
      <c r="B972" s="192"/>
      <c r="C972" s="200"/>
      <c r="D972" s="200"/>
      <c r="E972" s="200"/>
      <c r="F972" s="200"/>
      <c r="G972" s="200"/>
      <c r="H972" s="200"/>
      <c r="I972" s="200"/>
      <c r="J972" s="200"/>
      <c r="K972" s="200"/>
      <c r="L972" s="200"/>
      <c r="M972" s="200"/>
      <c r="N972" s="200"/>
      <c r="O972" s="200"/>
    </row>
    <row r="973" spans="1:15" ht="15.75" customHeight="1" x14ac:dyDescent="0.25">
      <c r="A973" s="192"/>
      <c r="B973" s="192"/>
      <c r="C973" s="200"/>
      <c r="D973" s="200"/>
      <c r="E973" s="200"/>
      <c r="F973" s="200"/>
      <c r="G973" s="200"/>
      <c r="H973" s="200"/>
      <c r="I973" s="200"/>
      <c r="J973" s="200"/>
      <c r="K973" s="200"/>
      <c r="L973" s="200"/>
      <c r="M973" s="200"/>
      <c r="N973" s="200"/>
      <c r="O973" s="200"/>
    </row>
    <row r="974" spans="1:15" ht="15.75" customHeight="1" x14ac:dyDescent="0.25">
      <c r="A974" s="192"/>
      <c r="B974" s="192"/>
      <c r="C974" s="200"/>
      <c r="D974" s="200"/>
      <c r="E974" s="200"/>
      <c r="F974" s="200"/>
      <c r="G974" s="200"/>
      <c r="H974" s="200"/>
      <c r="I974" s="200"/>
      <c r="J974" s="200"/>
      <c r="K974" s="200"/>
      <c r="L974" s="200"/>
      <c r="M974" s="200"/>
      <c r="N974" s="200"/>
      <c r="O974" s="200"/>
    </row>
    <row r="975" spans="1:15" ht="15.75" customHeight="1" x14ac:dyDescent="0.25">
      <c r="A975" s="192"/>
      <c r="B975" s="192"/>
      <c r="C975" s="200"/>
      <c r="D975" s="200"/>
      <c r="E975" s="200"/>
      <c r="F975" s="200"/>
      <c r="G975" s="200"/>
      <c r="H975" s="200"/>
      <c r="I975" s="200"/>
      <c r="J975" s="200"/>
      <c r="K975" s="200"/>
      <c r="L975" s="200"/>
      <c r="M975" s="200"/>
      <c r="N975" s="200"/>
      <c r="O975" s="200"/>
    </row>
    <row r="976" spans="1:15" ht="15.75" customHeight="1" x14ac:dyDescent="0.25">
      <c r="A976" s="192"/>
      <c r="B976" s="192"/>
      <c r="C976" s="200"/>
      <c r="D976" s="200"/>
      <c r="E976" s="200"/>
      <c r="F976" s="200"/>
      <c r="G976" s="200"/>
      <c r="H976" s="200"/>
      <c r="I976" s="200"/>
      <c r="J976" s="200"/>
      <c r="K976" s="200"/>
      <c r="L976" s="200"/>
      <c r="M976" s="200"/>
      <c r="N976" s="200"/>
      <c r="O976" s="200"/>
    </row>
    <row r="977" spans="1:15" ht="15.75" customHeight="1" x14ac:dyDescent="0.25">
      <c r="A977" s="192"/>
      <c r="B977" s="192"/>
      <c r="C977" s="200"/>
      <c r="D977" s="200"/>
      <c r="E977" s="200"/>
      <c r="F977" s="200"/>
      <c r="G977" s="200"/>
      <c r="H977" s="200"/>
      <c r="I977" s="200"/>
      <c r="J977" s="200"/>
      <c r="K977" s="200"/>
      <c r="L977" s="200"/>
      <c r="M977" s="200"/>
      <c r="N977" s="200"/>
      <c r="O977" s="200"/>
    </row>
    <row r="978" spans="1:15" ht="15.75" customHeight="1" x14ac:dyDescent="0.25">
      <c r="A978" s="192"/>
      <c r="B978" s="192"/>
      <c r="C978" s="200"/>
      <c r="D978" s="200"/>
      <c r="E978" s="200"/>
      <c r="F978" s="200"/>
      <c r="G978" s="200"/>
      <c r="H978" s="200"/>
      <c r="I978" s="200"/>
      <c r="J978" s="200"/>
      <c r="K978" s="200"/>
      <c r="L978" s="200"/>
      <c r="M978" s="200"/>
      <c r="N978" s="200"/>
      <c r="O978" s="200"/>
    </row>
    <row r="979" spans="1:15" ht="15.75" customHeight="1" x14ac:dyDescent="0.25">
      <c r="A979" s="192"/>
      <c r="B979" s="192"/>
      <c r="C979" s="200"/>
      <c r="D979" s="200"/>
      <c r="E979" s="200"/>
      <c r="F979" s="200"/>
      <c r="G979" s="200"/>
      <c r="H979" s="200"/>
      <c r="I979" s="200"/>
      <c r="J979" s="200"/>
      <c r="K979" s="200"/>
      <c r="L979" s="200"/>
      <c r="M979" s="200"/>
      <c r="N979" s="200"/>
      <c r="O979" s="200"/>
    </row>
    <row r="980" spans="1:15" ht="15.75" customHeight="1" x14ac:dyDescent="0.25">
      <c r="A980" s="192"/>
      <c r="B980" s="192"/>
      <c r="C980" s="200"/>
      <c r="D980" s="200"/>
      <c r="E980" s="200"/>
      <c r="F980" s="200"/>
      <c r="G980" s="200"/>
      <c r="H980" s="200"/>
      <c r="I980" s="200"/>
      <c r="J980" s="200"/>
      <c r="K980" s="200"/>
      <c r="L980" s="200"/>
      <c r="M980" s="200"/>
      <c r="N980" s="200"/>
      <c r="O980" s="200"/>
    </row>
    <row r="981" spans="1:15" ht="15.75" customHeight="1" x14ac:dyDescent="0.25">
      <c r="A981" s="192"/>
      <c r="B981" s="192"/>
      <c r="C981" s="200"/>
      <c r="D981" s="200"/>
      <c r="E981" s="200"/>
      <c r="F981" s="200"/>
      <c r="G981" s="200"/>
      <c r="H981" s="200"/>
      <c r="I981" s="200"/>
      <c r="J981" s="200"/>
      <c r="K981" s="200"/>
      <c r="L981" s="200"/>
      <c r="M981" s="200"/>
      <c r="N981" s="200"/>
      <c r="O981" s="200"/>
    </row>
    <row r="982" spans="1:15" ht="15.75" customHeight="1" x14ac:dyDescent="0.25">
      <c r="A982" s="192"/>
      <c r="B982" s="192"/>
      <c r="C982" s="200"/>
      <c r="D982" s="200"/>
      <c r="E982" s="200"/>
      <c r="F982" s="200"/>
      <c r="G982" s="200"/>
      <c r="H982" s="200"/>
      <c r="I982" s="200"/>
      <c r="J982" s="200"/>
      <c r="K982" s="200"/>
      <c r="L982" s="200"/>
      <c r="M982" s="200"/>
      <c r="N982" s="200"/>
      <c r="O982" s="200"/>
    </row>
    <row r="983" spans="1:15" ht="15.75" customHeight="1" x14ac:dyDescent="0.25">
      <c r="A983" s="192"/>
      <c r="B983" s="192"/>
      <c r="C983" s="200"/>
      <c r="D983" s="200"/>
      <c r="E983" s="200"/>
      <c r="F983" s="200"/>
      <c r="G983" s="200"/>
      <c r="H983" s="200"/>
      <c r="I983" s="200"/>
      <c r="J983" s="200"/>
      <c r="K983" s="200"/>
      <c r="L983" s="200"/>
      <c r="M983" s="200"/>
      <c r="N983" s="200"/>
      <c r="O983" s="200"/>
    </row>
    <row r="984" spans="1:15" ht="15.75" customHeight="1" x14ac:dyDescent="0.25">
      <c r="A984" s="192"/>
      <c r="B984" s="192"/>
      <c r="C984" s="200"/>
      <c r="D984" s="200"/>
      <c r="E984" s="200"/>
      <c r="F984" s="200"/>
      <c r="G984" s="200"/>
      <c r="H984" s="200"/>
      <c r="I984" s="200"/>
      <c r="J984" s="200"/>
      <c r="K984" s="200"/>
      <c r="L984" s="200"/>
      <c r="M984" s="200"/>
      <c r="N984" s="200"/>
      <c r="O984" s="200"/>
    </row>
    <row r="985" spans="1:15" ht="15.75" customHeight="1" x14ac:dyDescent="0.25">
      <c r="A985" s="192"/>
      <c r="B985" s="192"/>
      <c r="C985" s="200"/>
      <c r="D985" s="200"/>
      <c r="E985" s="200"/>
      <c r="F985" s="200"/>
      <c r="G985" s="200"/>
      <c r="H985" s="200"/>
      <c r="I985" s="200"/>
      <c r="J985" s="200"/>
      <c r="K985" s="200"/>
      <c r="L985" s="200"/>
      <c r="M985" s="200"/>
      <c r="N985" s="200"/>
      <c r="O985" s="200"/>
    </row>
    <row r="986" spans="1:15" ht="15.75" customHeight="1" x14ac:dyDescent="0.25">
      <c r="A986" s="192"/>
      <c r="B986" s="192"/>
      <c r="C986" s="200"/>
      <c r="D986" s="200"/>
      <c r="E986" s="200"/>
      <c r="F986" s="200"/>
      <c r="G986" s="200"/>
      <c r="H986" s="200"/>
      <c r="I986" s="200"/>
      <c r="J986" s="200"/>
      <c r="K986" s="200"/>
      <c r="L986" s="200"/>
      <c r="M986" s="200"/>
      <c r="N986" s="200"/>
      <c r="O986" s="200"/>
    </row>
    <row r="987" spans="1:15" ht="15.75" customHeight="1" x14ac:dyDescent="0.25">
      <c r="A987" s="192"/>
      <c r="B987" s="192"/>
      <c r="C987" s="200"/>
      <c r="D987" s="200"/>
      <c r="E987" s="200"/>
      <c r="F987" s="200"/>
      <c r="G987" s="200"/>
      <c r="H987" s="200"/>
      <c r="I987" s="200"/>
      <c r="J987" s="200"/>
      <c r="K987" s="200"/>
      <c r="L987" s="200"/>
      <c r="M987" s="200"/>
      <c r="N987" s="200"/>
      <c r="O987" s="200"/>
    </row>
    <row r="988" spans="1:15" ht="15.75" customHeight="1" x14ac:dyDescent="0.25">
      <c r="A988" s="192"/>
      <c r="B988" s="192"/>
      <c r="C988" s="200"/>
      <c r="D988" s="200"/>
      <c r="E988" s="200"/>
      <c r="F988" s="200"/>
      <c r="G988" s="200"/>
      <c r="H988" s="200"/>
      <c r="I988" s="200"/>
      <c r="J988" s="200"/>
      <c r="K988" s="200"/>
      <c r="L988" s="200"/>
      <c r="M988" s="200"/>
      <c r="N988" s="200"/>
      <c r="O988" s="200"/>
    </row>
    <row r="989" spans="1:15" ht="15.75" customHeight="1" x14ac:dyDescent="0.25">
      <c r="A989" s="192"/>
      <c r="B989" s="192"/>
      <c r="C989" s="200"/>
      <c r="D989" s="200"/>
      <c r="E989" s="200"/>
      <c r="F989" s="200"/>
      <c r="G989" s="200"/>
      <c r="H989" s="200"/>
      <c r="I989" s="200"/>
      <c r="J989" s="200"/>
      <c r="K989" s="200"/>
      <c r="L989" s="200"/>
      <c r="M989" s="200"/>
      <c r="N989" s="200"/>
      <c r="O989" s="200"/>
    </row>
    <row r="990" spans="1:15" ht="15.75" customHeight="1" x14ac:dyDescent="0.25">
      <c r="A990" s="192"/>
      <c r="B990" s="192"/>
      <c r="C990" s="200"/>
      <c r="D990" s="200"/>
      <c r="E990" s="200"/>
      <c r="F990" s="200"/>
      <c r="G990" s="200"/>
      <c r="H990" s="200"/>
      <c r="I990" s="200"/>
      <c r="J990" s="200"/>
      <c r="K990" s="200"/>
      <c r="L990" s="200"/>
      <c r="M990" s="200"/>
      <c r="N990" s="200"/>
      <c r="O990" s="200"/>
    </row>
    <row r="991" spans="1:15" ht="15.75" customHeight="1" x14ac:dyDescent="0.25">
      <c r="A991" s="192"/>
      <c r="B991" s="192"/>
      <c r="C991" s="200"/>
      <c r="D991" s="200"/>
      <c r="E991" s="200"/>
      <c r="F991" s="200"/>
      <c r="G991" s="200"/>
      <c r="H991" s="200"/>
      <c r="I991" s="200"/>
      <c r="J991" s="200"/>
      <c r="K991" s="200"/>
      <c r="L991" s="200"/>
      <c r="M991" s="200"/>
      <c r="N991" s="200"/>
      <c r="O991" s="200"/>
    </row>
    <row r="992" spans="1:15" ht="15.75" customHeight="1" x14ac:dyDescent="0.25">
      <c r="A992" s="192"/>
      <c r="B992" s="192"/>
      <c r="C992" s="200"/>
      <c r="D992" s="200"/>
      <c r="E992" s="200"/>
      <c r="F992" s="200"/>
      <c r="G992" s="200"/>
      <c r="H992" s="200"/>
      <c r="I992" s="200"/>
      <c r="J992" s="200"/>
      <c r="K992" s="200"/>
      <c r="L992" s="200"/>
      <c r="M992" s="200"/>
      <c r="N992" s="200"/>
      <c r="O992" s="200"/>
    </row>
    <row r="993" spans="1:15" ht="15.75" customHeight="1" x14ac:dyDescent="0.25">
      <c r="A993" s="192"/>
      <c r="B993" s="192"/>
      <c r="C993" s="200"/>
      <c r="D993" s="200"/>
      <c r="E993" s="200"/>
      <c r="F993" s="200"/>
      <c r="G993" s="200"/>
      <c r="H993" s="200"/>
      <c r="I993" s="200"/>
      <c r="J993" s="200"/>
      <c r="K993" s="200"/>
      <c r="L993" s="200"/>
      <c r="M993" s="200"/>
      <c r="N993" s="200"/>
      <c r="O993" s="200"/>
    </row>
    <row r="994" spans="1:15" ht="15.75" customHeight="1" x14ac:dyDescent="0.25">
      <c r="A994" s="192"/>
      <c r="B994" s="192"/>
      <c r="C994" s="200"/>
      <c r="D994" s="200"/>
      <c r="E994" s="200"/>
      <c r="F994" s="200"/>
      <c r="G994" s="200"/>
      <c r="H994" s="200"/>
      <c r="I994" s="200"/>
      <c r="J994" s="200"/>
      <c r="K994" s="200"/>
      <c r="L994" s="200"/>
      <c r="M994" s="200"/>
      <c r="N994" s="200"/>
      <c r="O994" s="200"/>
    </row>
    <row r="995" spans="1:15" ht="15.75" customHeight="1" x14ac:dyDescent="0.25">
      <c r="A995" s="192"/>
      <c r="B995" s="192"/>
      <c r="C995" s="200"/>
      <c r="D995" s="200"/>
      <c r="E995" s="200"/>
      <c r="F995" s="200"/>
      <c r="G995" s="200"/>
      <c r="H995" s="200"/>
      <c r="I995" s="200"/>
      <c r="J995" s="200"/>
      <c r="K995" s="200"/>
      <c r="L995" s="200"/>
      <c r="M995" s="200"/>
      <c r="N995" s="200"/>
      <c r="O995" s="200"/>
    </row>
    <row r="996" spans="1:15" ht="15.75" customHeight="1" x14ac:dyDescent="0.25">
      <c r="A996" s="192"/>
      <c r="B996" s="192"/>
      <c r="C996" s="200"/>
      <c r="D996" s="200"/>
      <c r="E996" s="200"/>
      <c r="F996" s="200"/>
      <c r="G996" s="200"/>
      <c r="H996" s="200"/>
      <c r="I996" s="200"/>
      <c r="J996" s="200"/>
      <c r="K996" s="200"/>
      <c r="L996" s="200"/>
      <c r="M996" s="200"/>
      <c r="N996" s="200"/>
      <c r="O996" s="200"/>
    </row>
    <row r="997" spans="1:15" ht="15.75" customHeight="1" x14ac:dyDescent="0.25">
      <c r="A997" s="192"/>
      <c r="B997" s="192"/>
      <c r="C997" s="200"/>
      <c r="D997" s="200"/>
      <c r="E997" s="200"/>
      <c r="F997" s="200"/>
      <c r="G997" s="200"/>
      <c r="H997" s="200"/>
      <c r="I997" s="200"/>
      <c r="J997" s="200"/>
      <c r="K997" s="200"/>
      <c r="L997" s="200"/>
      <c r="M997" s="200"/>
      <c r="N997" s="200"/>
      <c r="O997" s="200"/>
    </row>
    <row r="998" spans="1:15" ht="15.75" customHeight="1" x14ac:dyDescent="0.25">
      <c r="A998" s="192"/>
      <c r="B998" s="192"/>
      <c r="C998" s="200"/>
      <c r="D998" s="200"/>
      <c r="E998" s="200"/>
      <c r="F998" s="200"/>
      <c r="G998" s="200"/>
      <c r="H998" s="200"/>
      <c r="I998" s="200"/>
      <c r="J998" s="200"/>
      <c r="K998" s="200"/>
      <c r="L998" s="200"/>
      <c r="M998" s="200"/>
      <c r="N998" s="200"/>
      <c r="O998" s="200"/>
    </row>
    <row r="999" spans="1:15" ht="15.75" customHeight="1" x14ac:dyDescent="0.25">
      <c r="A999" s="192"/>
      <c r="B999" s="192"/>
      <c r="C999" s="200"/>
      <c r="D999" s="200"/>
      <c r="E999" s="200"/>
      <c r="F999" s="200"/>
      <c r="G999" s="200"/>
      <c r="H999" s="200"/>
      <c r="I999" s="200"/>
      <c r="J999" s="200"/>
      <c r="K999" s="200"/>
      <c r="L999" s="200"/>
      <c r="M999" s="200"/>
      <c r="N999" s="200"/>
      <c r="O999" s="200"/>
    </row>
    <row r="1000" spans="1:15" ht="15.75" customHeight="1" x14ac:dyDescent="0.25">
      <c r="A1000" s="192"/>
      <c r="B1000" s="192"/>
      <c r="C1000" s="200"/>
      <c r="D1000" s="200"/>
      <c r="E1000" s="200"/>
      <c r="F1000" s="200"/>
      <c r="G1000" s="200"/>
      <c r="H1000" s="200"/>
      <c r="I1000" s="200"/>
      <c r="J1000" s="200"/>
      <c r="K1000" s="200"/>
      <c r="L1000" s="200"/>
      <c r="M1000" s="200"/>
      <c r="N1000" s="200"/>
      <c r="O1000" s="200"/>
    </row>
    <row r="1001" spans="1:15" ht="15.75" customHeight="1" x14ac:dyDescent="0.25">
      <c r="A1001" s="192"/>
      <c r="B1001" s="192"/>
      <c r="C1001" s="200"/>
      <c r="D1001" s="200"/>
      <c r="E1001" s="200"/>
      <c r="F1001" s="200"/>
      <c r="G1001" s="200"/>
      <c r="H1001" s="200"/>
      <c r="I1001" s="200"/>
      <c r="J1001" s="200"/>
      <c r="K1001" s="200"/>
      <c r="L1001" s="200"/>
      <c r="M1001" s="200"/>
      <c r="N1001" s="200"/>
      <c r="O1001" s="200"/>
    </row>
    <row r="1002" spans="1:15" ht="15.75" customHeight="1" x14ac:dyDescent="0.25">
      <c r="A1002" s="192"/>
      <c r="B1002" s="192"/>
      <c r="C1002" s="200"/>
      <c r="D1002" s="200"/>
      <c r="E1002" s="200"/>
      <c r="F1002" s="200"/>
      <c r="G1002" s="200"/>
      <c r="H1002" s="200"/>
      <c r="I1002" s="200"/>
      <c r="J1002" s="200"/>
      <c r="K1002" s="200"/>
      <c r="L1002" s="200"/>
      <c r="M1002" s="200"/>
      <c r="N1002" s="200"/>
      <c r="O1002" s="200"/>
    </row>
    <row r="1003" spans="1:15" ht="15.75" customHeight="1" x14ac:dyDescent="0.25">
      <c r="A1003" s="192"/>
      <c r="B1003" s="192"/>
      <c r="C1003" s="200"/>
      <c r="D1003" s="200"/>
      <c r="E1003" s="200"/>
      <c r="F1003" s="200"/>
      <c r="G1003" s="200"/>
      <c r="H1003" s="200"/>
      <c r="I1003" s="200"/>
      <c r="J1003" s="200"/>
      <c r="K1003" s="200"/>
      <c r="L1003" s="200"/>
      <c r="M1003" s="200"/>
      <c r="N1003" s="200"/>
      <c r="O1003" s="200"/>
    </row>
    <row r="1004" spans="1:15" ht="15.75" customHeight="1" x14ac:dyDescent="0.25">
      <c r="A1004" s="192"/>
      <c r="B1004" s="192"/>
      <c r="C1004" s="200"/>
      <c r="D1004" s="200"/>
      <c r="E1004" s="200"/>
      <c r="F1004" s="200"/>
      <c r="G1004" s="200"/>
      <c r="H1004" s="200"/>
      <c r="I1004" s="200"/>
      <c r="J1004" s="200"/>
      <c r="K1004" s="200"/>
      <c r="L1004" s="200"/>
      <c r="M1004" s="200"/>
      <c r="N1004" s="200"/>
      <c r="O1004" s="200"/>
    </row>
    <row r="1005" spans="1:15" ht="15.75" customHeight="1" x14ac:dyDescent="0.25">
      <c r="A1005" s="192"/>
      <c r="B1005" s="192"/>
      <c r="C1005" s="200"/>
      <c r="D1005" s="200"/>
      <c r="E1005" s="200"/>
      <c r="F1005" s="200"/>
      <c r="G1005" s="200"/>
      <c r="H1005" s="200"/>
      <c r="I1005" s="200"/>
      <c r="J1005" s="200"/>
      <c r="K1005" s="200"/>
      <c r="L1005" s="200"/>
      <c r="M1005" s="200"/>
      <c r="N1005" s="200"/>
      <c r="O1005" s="200"/>
    </row>
    <row r="1006" spans="1:15" ht="15.75" customHeight="1" x14ac:dyDescent="0.25">
      <c r="A1006" s="192"/>
      <c r="B1006" s="192"/>
      <c r="C1006" s="200"/>
      <c r="D1006" s="200"/>
      <c r="E1006" s="200"/>
      <c r="F1006" s="200"/>
      <c r="G1006" s="200"/>
      <c r="H1006" s="200"/>
      <c r="I1006" s="200"/>
      <c r="J1006" s="200"/>
      <c r="K1006" s="200"/>
      <c r="L1006" s="200"/>
      <c r="M1006" s="200"/>
      <c r="N1006" s="200"/>
      <c r="O1006" s="200"/>
    </row>
    <row r="1007" spans="1:15" ht="15.75" customHeight="1" x14ac:dyDescent="0.25">
      <c r="A1007" s="192"/>
      <c r="B1007" s="192"/>
      <c r="C1007" s="200"/>
      <c r="D1007" s="200"/>
      <c r="E1007" s="200"/>
      <c r="F1007" s="200"/>
      <c r="G1007" s="200"/>
      <c r="H1007" s="200"/>
      <c r="I1007" s="200"/>
      <c r="J1007" s="200"/>
      <c r="K1007" s="200"/>
      <c r="L1007" s="200"/>
      <c r="M1007" s="200"/>
      <c r="N1007" s="200"/>
      <c r="O1007" s="200"/>
    </row>
    <row r="1008" spans="1:15" ht="15.75" customHeight="1" x14ac:dyDescent="0.25">
      <c r="A1008" s="192"/>
      <c r="B1008" s="192"/>
      <c r="C1008" s="200"/>
      <c r="D1008" s="200"/>
      <c r="E1008" s="200"/>
      <c r="F1008" s="200"/>
      <c r="G1008" s="200"/>
      <c r="H1008" s="200"/>
      <c r="I1008" s="200"/>
      <c r="J1008" s="200"/>
      <c r="K1008" s="200"/>
      <c r="L1008" s="200"/>
      <c r="M1008" s="200"/>
      <c r="N1008" s="200"/>
      <c r="O1008" s="200"/>
    </row>
    <row r="1009" spans="1:15" ht="15.75" customHeight="1" x14ac:dyDescent="0.25">
      <c r="A1009" s="192"/>
      <c r="B1009" s="192"/>
      <c r="C1009" s="200"/>
      <c r="D1009" s="200"/>
      <c r="E1009" s="200"/>
      <c r="F1009" s="200"/>
      <c r="G1009" s="200"/>
      <c r="H1009" s="200"/>
      <c r="I1009" s="200"/>
      <c r="J1009" s="200"/>
      <c r="K1009" s="200"/>
      <c r="L1009" s="200"/>
      <c r="M1009" s="200"/>
      <c r="N1009" s="200"/>
      <c r="O1009" s="200"/>
    </row>
    <row r="1010" spans="1:15" ht="15.75" customHeight="1" x14ac:dyDescent="0.25">
      <c r="A1010" s="192"/>
      <c r="B1010" s="192"/>
      <c r="C1010" s="200"/>
      <c r="D1010" s="200"/>
      <c r="E1010" s="200"/>
      <c r="F1010" s="200"/>
      <c r="G1010" s="200"/>
      <c r="H1010" s="200"/>
      <c r="I1010" s="200"/>
      <c r="J1010" s="200"/>
      <c r="K1010" s="200"/>
      <c r="L1010" s="200"/>
      <c r="M1010" s="200"/>
      <c r="N1010" s="200"/>
      <c r="O1010" s="200"/>
    </row>
    <row r="1011" spans="1:15" ht="15.75" customHeight="1" x14ac:dyDescent="0.25">
      <c r="A1011" s="192"/>
      <c r="B1011" s="192"/>
      <c r="C1011" s="200"/>
      <c r="D1011" s="200"/>
      <c r="E1011" s="200"/>
      <c r="F1011" s="200"/>
      <c r="G1011" s="200"/>
      <c r="H1011" s="200"/>
      <c r="I1011" s="200"/>
      <c r="J1011" s="200"/>
      <c r="K1011" s="200"/>
      <c r="L1011" s="200"/>
      <c r="M1011" s="200"/>
      <c r="N1011" s="200"/>
      <c r="O1011" s="200"/>
    </row>
    <row r="1012" spans="1:15" ht="15.75" customHeight="1" x14ac:dyDescent="0.25">
      <c r="A1012" s="192"/>
      <c r="B1012" s="192"/>
      <c r="C1012" s="200"/>
      <c r="D1012" s="200"/>
      <c r="E1012" s="200"/>
      <c r="F1012" s="200"/>
      <c r="G1012" s="200"/>
      <c r="H1012" s="200"/>
      <c r="I1012" s="200"/>
      <c r="J1012" s="200"/>
      <c r="K1012" s="200"/>
      <c r="L1012" s="200"/>
      <c r="M1012" s="200"/>
      <c r="N1012" s="200"/>
      <c r="O1012" s="200"/>
    </row>
    <row r="1013" spans="1:15" ht="15.75" customHeight="1" x14ac:dyDescent="0.25">
      <c r="A1013" s="192"/>
      <c r="B1013" s="192"/>
      <c r="C1013" s="200"/>
      <c r="D1013" s="200"/>
      <c r="E1013" s="200"/>
      <c r="F1013" s="200"/>
      <c r="G1013" s="200"/>
      <c r="H1013" s="200"/>
      <c r="I1013" s="200"/>
      <c r="J1013" s="200"/>
      <c r="K1013" s="200"/>
      <c r="L1013" s="200"/>
      <c r="M1013" s="200"/>
      <c r="N1013" s="200"/>
      <c r="O1013" s="200"/>
    </row>
    <row r="1014" spans="1:15" ht="15.75" customHeight="1" x14ac:dyDescent="0.25">
      <c r="A1014" s="192"/>
      <c r="B1014" s="192"/>
      <c r="C1014" s="200"/>
      <c r="D1014" s="200"/>
      <c r="E1014" s="200"/>
      <c r="F1014" s="200"/>
      <c r="G1014" s="200"/>
      <c r="H1014" s="200"/>
      <c r="I1014" s="200"/>
      <c r="J1014" s="200"/>
      <c r="K1014" s="200"/>
      <c r="L1014" s="200"/>
      <c r="M1014" s="200"/>
      <c r="N1014" s="200"/>
      <c r="O1014" s="200"/>
    </row>
    <row r="1015" spans="1:15" ht="15.75" customHeight="1" x14ac:dyDescent="0.25">
      <c r="A1015" s="192"/>
      <c r="B1015" s="192"/>
      <c r="C1015" s="200"/>
      <c r="D1015" s="200"/>
      <c r="E1015" s="200"/>
      <c r="F1015" s="200"/>
      <c r="G1015" s="200"/>
      <c r="H1015" s="200"/>
      <c r="I1015" s="200"/>
      <c r="J1015" s="200"/>
      <c r="K1015" s="200"/>
      <c r="L1015" s="200"/>
      <c r="M1015" s="200"/>
      <c r="N1015" s="200"/>
      <c r="O1015" s="200"/>
    </row>
    <row r="1016" spans="1:15" ht="15.75" customHeight="1" x14ac:dyDescent="0.25">
      <c r="A1016" s="192"/>
      <c r="B1016" s="192"/>
      <c r="C1016" s="200"/>
      <c r="D1016" s="200"/>
      <c r="E1016" s="200"/>
      <c r="F1016" s="200"/>
      <c r="G1016" s="200"/>
      <c r="H1016" s="200"/>
      <c r="I1016" s="200"/>
      <c r="J1016" s="200"/>
      <c r="K1016" s="200"/>
      <c r="L1016" s="200"/>
      <c r="M1016" s="200"/>
      <c r="N1016" s="200"/>
      <c r="O1016" s="200"/>
    </row>
    <row r="1017" spans="1:15" ht="15.75" customHeight="1" x14ac:dyDescent="0.25">
      <c r="A1017" s="192"/>
      <c r="B1017" s="192"/>
      <c r="C1017" s="200"/>
      <c r="D1017" s="200"/>
      <c r="E1017" s="200"/>
      <c r="F1017" s="200"/>
      <c r="G1017" s="200"/>
      <c r="H1017" s="200"/>
      <c r="I1017" s="200"/>
      <c r="J1017" s="200"/>
      <c r="K1017" s="200"/>
      <c r="L1017" s="200"/>
      <c r="M1017" s="200"/>
      <c r="N1017" s="200"/>
      <c r="O1017" s="200"/>
    </row>
    <row r="1018" spans="1:15" ht="15.75" customHeight="1" x14ac:dyDescent="0.25">
      <c r="A1018" s="192"/>
      <c r="B1018" s="192"/>
      <c r="C1018" s="200"/>
      <c r="D1018" s="200"/>
      <c r="E1018" s="200"/>
      <c r="F1018" s="200"/>
      <c r="G1018" s="200"/>
      <c r="H1018" s="200"/>
      <c r="I1018" s="200"/>
      <c r="J1018" s="200"/>
      <c r="K1018" s="200"/>
      <c r="L1018" s="200"/>
      <c r="M1018" s="200"/>
      <c r="N1018" s="200"/>
      <c r="O1018" s="200"/>
    </row>
    <row r="1019" spans="1:15" ht="15.75" customHeight="1" x14ac:dyDescent="0.25">
      <c r="A1019" s="192"/>
      <c r="B1019" s="192"/>
      <c r="C1019" s="200"/>
      <c r="D1019" s="200"/>
      <c r="E1019" s="200"/>
      <c r="F1019" s="200"/>
      <c r="G1019" s="200"/>
      <c r="H1019" s="200"/>
      <c r="I1019" s="200"/>
      <c r="J1019" s="200"/>
      <c r="K1019" s="200"/>
      <c r="L1019" s="200"/>
      <c r="M1019" s="200"/>
      <c r="N1019" s="200"/>
      <c r="O1019" s="200"/>
    </row>
    <row r="1020" spans="1:15" ht="15.75" customHeight="1" x14ac:dyDescent="0.25">
      <c r="A1020" s="192"/>
      <c r="B1020" s="192"/>
      <c r="C1020" s="200"/>
      <c r="D1020" s="200"/>
      <c r="E1020" s="200"/>
      <c r="F1020" s="200"/>
      <c r="G1020" s="200"/>
      <c r="H1020" s="200"/>
      <c r="I1020" s="200"/>
      <c r="J1020" s="200"/>
      <c r="K1020" s="200"/>
      <c r="L1020" s="200"/>
      <c r="M1020" s="200"/>
      <c r="N1020" s="200"/>
      <c r="O1020" s="200"/>
    </row>
    <row r="1021" spans="1:15" ht="15.75" customHeight="1" x14ac:dyDescent="0.25">
      <c r="A1021" s="192"/>
      <c r="B1021" s="192"/>
      <c r="C1021" s="200"/>
      <c r="D1021" s="200"/>
      <c r="E1021" s="200"/>
      <c r="F1021" s="200"/>
      <c r="G1021" s="200"/>
      <c r="H1021" s="200"/>
      <c r="I1021" s="200"/>
      <c r="J1021" s="200"/>
      <c r="K1021" s="200"/>
      <c r="L1021" s="200"/>
      <c r="M1021" s="200"/>
      <c r="N1021" s="200"/>
      <c r="O1021" s="200"/>
    </row>
    <row r="1022" spans="1:15" ht="15.75" customHeight="1" x14ac:dyDescent="0.25">
      <c r="A1022" s="192"/>
      <c r="B1022" s="192"/>
      <c r="C1022" s="200"/>
      <c r="D1022" s="200"/>
      <c r="E1022" s="200"/>
      <c r="F1022" s="200"/>
      <c r="G1022" s="200"/>
      <c r="H1022" s="200"/>
      <c r="I1022" s="200"/>
      <c r="J1022" s="200"/>
      <c r="K1022" s="200"/>
      <c r="L1022" s="200"/>
      <c r="M1022" s="200"/>
      <c r="N1022" s="200"/>
      <c r="O1022" s="200"/>
    </row>
    <row r="1023" spans="1:15" ht="15.75" customHeight="1" x14ac:dyDescent="0.25">
      <c r="A1023" s="192"/>
      <c r="B1023" s="192"/>
      <c r="C1023" s="200"/>
      <c r="D1023" s="200"/>
      <c r="E1023" s="200"/>
      <c r="F1023" s="200"/>
      <c r="G1023" s="200"/>
      <c r="H1023" s="200"/>
      <c r="I1023" s="200"/>
      <c r="J1023" s="200"/>
      <c r="K1023" s="200"/>
      <c r="L1023" s="200"/>
      <c r="M1023" s="200"/>
      <c r="N1023" s="200"/>
      <c r="O1023" s="200"/>
    </row>
    <row r="1024" spans="1:15" ht="15.75" customHeight="1" x14ac:dyDescent="0.25">
      <c r="A1024" s="192"/>
      <c r="B1024" s="192"/>
      <c r="C1024" s="200"/>
      <c r="D1024" s="200"/>
      <c r="E1024" s="200"/>
      <c r="F1024" s="200"/>
      <c r="G1024" s="200"/>
      <c r="H1024" s="200"/>
      <c r="I1024" s="200"/>
      <c r="J1024" s="200"/>
      <c r="K1024" s="200"/>
      <c r="L1024" s="200"/>
      <c r="M1024" s="200"/>
      <c r="N1024" s="200"/>
      <c r="O1024" s="200"/>
    </row>
    <row r="1025" spans="1:15" ht="15.75" customHeight="1" x14ac:dyDescent="0.25">
      <c r="A1025" s="192"/>
      <c r="B1025" s="192"/>
      <c r="C1025" s="200"/>
      <c r="D1025" s="200"/>
      <c r="E1025" s="200"/>
      <c r="F1025" s="200"/>
      <c r="G1025" s="200"/>
      <c r="H1025" s="200"/>
      <c r="I1025" s="200"/>
      <c r="J1025" s="200"/>
      <c r="K1025" s="200"/>
      <c r="L1025" s="200"/>
      <c r="M1025" s="200"/>
      <c r="N1025" s="200"/>
      <c r="O1025" s="200"/>
    </row>
    <row r="1026" spans="1:15" ht="15.75" customHeight="1" x14ac:dyDescent="0.25">
      <c r="A1026" s="192"/>
      <c r="B1026" s="192"/>
      <c r="C1026" s="200"/>
      <c r="D1026" s="200"/>
      <c r="E1026" s="200"/>
      <c r="F1026" s="200"/>
      <c r="G1026" s="200"/>
      <c r="H1026" s="200"/>
      <c r="I1026" s="200"/>
      <c r="J1026" s="200"/>
      <c r="K1026" s="200"/>
      <c r="L1026" s="200"/>
      <c r="M1026" s="200"/>
      <c r="N1026" s="200"/>
      <c r="O1026" s="200"/>
    </row>
    <row r="1027" spans="1:15" ht="15.75" customHeight="1" x14ac:dyDescent="0.25">
      <c r="A1027" s="192"/>
      <c r="B1027" s="192"/>
      <c r="C1027" s="200"/>
      <c r="D1027" s="200"/>
      <c r="E1027" s="200"/>
      <c r="F1027" s="200"/>
      <c r="G1027" s="200"/>
      <c r="H1027" s="200"/>
      <c r="I1027" s="200"/>
      <c r="J1027" s="200"/>
      <c r="K1027" s="200"/>
      <c r="L1027" s="200"/>
      <c r="M1027" s="200"/>
      <c r="N1027" s="200"/>
      <c r="O1027" s="200"/>
    </row>
    <row r="1028" spans="1:15" ht="15.75" customHeight="1" x14ac:dyDescent="0.25">
      <c r="A1028" s="192"/>
      <c r="B1028" s="192"/>
      <c r="C1028" s="200"/>
      <c r="D1028" s="200"/>
      <c r="E1028" s="200"/>
      <c r="F1028" s="200"/>
      <c r="G1028" s="200"/>
      <c r="H1028" s="200"/>
      <c r="I1028" s="200"/>
      <c r="J1028" s="200"/>
      <c r="K1028" s="200"/>
      <c r="L1028" s="200"/>
      <c r="M1028" s="200"/>
      <c r="N1028" s="200"/>
      <c r="O1028" s="200"/>
    </row>
    <row r="1029" spans="1:15" ht="15.75" customHeight="1" x14ac:dyDescent="0.25">
      <c r="A1029" s="192"/>
      <c r="B1029" s="192"/>
      <c r="C1029" s="200"/>
      <c r="D1029" s="200"/>
      <c r="E1029" s="200"/>
      <c r="F1029" s="200"/>
      <c r="G1029" s="200"/>
      <c r="H1029" s="200"/>
      <c r="I1029" s="200"/>
      <c r="J1029" s="200"/>
      <c r="K1029" s="200"/>
      <c r="L1029" s="200"/>
      <c r="M1029" s="200"/>
      <c r="N1029" s="200"/>
      <c r="O1029" s="200"/>
    </row>
    <row r="1030" spans="1:15" ht="15.75" customHeight="1" x14ac:dyDescent="0.25">
      <c r="A1030" s="192"/>
      <c r="B1030" s="192"/>
      <c r="C1030" s="200"/>
      <c r="D1030" s="200"/>
      <c r="E1030" s="200"/>
      <c r="F1030" s="200"/>
      <c r="G1030" s="200"/>
      <c r="H1030" s="200"/>
      <c r="I1030" s="200"/>
      <c r="J1030" s="200"/>
      <c r="K1030" s="200"/>
      <c r="L1030" s="200"/>
      <c r="M1030" s="200"/>
      <c r="N1030" s="200"/>
      <c r="O1030" s="200"/>
    </row>
    <row r="1031" spans="1:15" ht="15.75" customHeight="1" x14ac:dyDescent="0.25">
      <c r="A1031" s="192"/>
      <c r="B1031" s="192"/>
      <c r="C1031" s="200"/>
      <c r="D1031" s="200"/>
      <c r="E1031" s="200"/>
      <c r="F1031" s="200"/>
      <c r="G1031" s="200"/>
      <c r="H1031" s="200"/>
      <c r="I1031" s="200"/>
      <c r="J1031" s="200"/>
      <c r="K1031" s="200"/>
      <c r="L1031" s="200"/>
      <c r="M1031" s="200"/>
      <c r="N1031" s="200"/>
      <c r="O1031" s="200"/>
    </row>
    <row r="1032" spans="1:15" ht="15.75" customHeight="1" x14ac:dyDescent="0.25">
      <c r="A1032" s="192"/>
      <c r="B1032" s="192"/>
      <c r="C1032" s="200"/>
      <c r="D1032" s="200"/>
      <c r="E1032" s="200"/>
      <c r="F1032" s="200"/>
      <c r="G1032" s="200"/>
      <c r="H1032" s="200"/>
      <c r="I1032" s="200"/>
      <c r="J1032" s="200"/>
      <c r="K1032" s="200"/>
      <c r="L1032" s="200"/>
      <c r="M1032" s="200"/>
      <c r="N1032" s="200"/>
      <c r="O1032" s="200"/>
    </row>
    <row r="1033" spans="1:15" ht="15.75" customHeight="1" x14ac:dyDescent="0.25">
      <c r="A1033" s="192"/>
      <c r="B1033" s="192"/>
      <c r="C1033" s="200"/>
      <c r="D1033" s="200"/>
      <c r="E1033" s="200"/>
      <c r="F1033" s="200"/>
      <c r="G1033" s="200"/>
      <c r="H1033" s="200"/>
      <c r="I1033" s="200"/>
      <c r="J1033" s="200"/>
      <c r="K1033" s="200"/>
      <c r="L1033" s="200"/>
      <c r="M1033" s="200"/>
      <c r="N1033" s="200"/>
      <c r="O1033" s="200"/>
    </row>
    <row r="1034" spans="1:15" ht="15.75" customHeight="1" x14ac:dyDescent="0.25">
      <c r="A1034" s="192"/>
      <c r="B1034" s="192"/>
      <c r="C1034" s="200"/>
      <c r="D1034" s="200"/>
      <c r="E1034" s="200"/>
      <c r="F1034" s="200"/>
      <c r="G1034" s="200"/>
      <c r="H1034" s="200"/>
      <c r="I1034" s="200"/>
      <c r="J1034" s="200"/>
      <c r="K1034" s="200"/>
      <c r="L1034" s="200"/>
      <c r="M1034" s="200"/>
      <c r="N1034" s="200"/>
      <c r="O1034" s="200"/>
    </row>
    <row r="1035" spans="1:15" ht="15.75" customHeight="1" x14ac:dyDescent="0.25">
      <c r="A1035" s="192"/>
      <c r="B1035" s="192"/>
      <c r="C1035" s="200"/>
      <c r="D1035" s="200"/>
      <c r="E1035" s="200"/>
      <c r="F1035" s="200"/>
      <c r="G1035" s="200"/>
      <c r="H1035" s="200"/>
      <c r="I1035" s="200"/>
      <c r="J1035" s="200"/>
      <c r="K1035" s="200"/>
      <c r="L1035" s="200"/>
      <c r="M1035" s="200"/>
      <c r="N1035" s="200"/>
      <c r="O1035" s="200"/>
    </row>
    <row r="1036" spans="1:15" ht="15.75" customHeight="1" x14ac:dyDescent="0.25">
      <c r="A1036" s="192"/>
      <c r="B1036" s="192"/>
      <c r="C1036" s="200"/>
      <c r="D1036" s="200"/>
      <c r="E1036" s="200"/>
      <c r="F1036" s="200"/>
      <c r="G1036" s="200"/>
      <c r="H1036" s="200"/>
      <c r="I1036" s="200"/>
      <c r="J1036" s="200"/>
      <c r="K1036" s="200"/>
      <c r="L1036" s="200"/>
      <c r="M1036" s="200"/>
      <c r="N1036" s="200"/>
      <c r="O1036" s="200"/>
    </row>
    <row r="1037" spans="1:15" ht="15.75" customHeight="1" x14ac:dyDescent="0.25">
      <c r="A1037" s="192"/>
      <c r="B1037" s="192"/>
      <c r="C1037" s="200"/>
      <c r="D1037" s="200"/>
      <c r="E1037" s="200"/>
      <c r="F1037" s="200"/>
      <c r="G1037" s="200"/>
      <c r="H1037" s="200"/>
      <c r="I1037" s="200"/>
      <c r="J1037" s="200"/>
      <c r="K1037" s="200"/>
      <c r="L1037" s="200"/>
      <c r="M1037" s="200"/>
      <c r="N1037" s="200"/>
      <c r="O1037" s="200"/>
    </row>
    <row r="1038" spans="1:15" ht="15.75" customHeight="1" x14ac:dyDescent="0.25">
      <c r="A1038" s="192"/>
      <c r="B1038" s="192"/>
      <c r="C1038" s="200"/>
      <c r="D1038" s="200"/>
      <c r="E1038" s="200"/>
      <c r="F1038" s="200"/>
      <c r="G1038" s="200"/>
      <c r="H1038" s="200"/>
      <c r="I1038" s="200"/>
      <c r="J1038" s="200"/>
      <c r="K1038" s="200"/>
      <c r="L1038" s="200"/>
      <c r="M1038" s="200"/>
      <c r="N1038" s="200"/>
      <c r="O1038" s="200"/>
    </row>
    <row r="1039" spans="1:15" ht="15.75" customHeight="1" x14ac:dyDescent="0.25">
      <c r="A1039" s="192"/>
      <c r="B1039" s="192"/>
      <c r="C1039" s="200"/>
      <c r="D1039" s="200"/>
      <c r="E1039" s="200"/>
      <c r="F1039" s="200"/>
      <c r="G1039" s="200"/>
      <c r="H1039" s="200"/>
      <c r="I1039" s="200"/>
      <c r="J1039" s="200"/>
      <c r="K1039" s="200"/>
      <c r="L1039" s="200"/>
      <c r="M1039" s="200"/>
      <c r="N1039" s="200"/>
      <c r="O1039" s="200"/>
    </row>
    <row r="1040" spans="1:15" ht="15.75" customHeight="1" x14ac:dyDescent="0.25">
      <c r="A1040" s="192"/>
      <c r="B1040" s="192"/>
      <c r="C1040" s="200"/>
      <c r="D1040" s="200"/>
      <c r="E1040" s="200"/>
      <c r="F1040" s="200"/>
      <c r="G1040" s="200"/>
      <c r="H1040" s="200"/>
      <c r="I1040" s="200"/>
      <c r="J1040" s="200"/>
      <c r="K1040" s="200"/>
      <c r="L1040" s="200"/>
      <c r="M1040" s="200"/>
      <c r="N1040" s="200"/>
      <c r="O1040" s="200"/>
    </row>
    <row r="1041" spans="1:15" ht="15.75" customHeight="1" x14ac:dyDescent="0.25">
      <c r="A1041" s="192"/>
      <c r="B1041" s="192"/>
      <c r="C1041" s="200"/>
      <c r="D1041" s="200"/>
      <c r="E1041" s="200"/>
      <c r="F1041" s="200"/>
      <c r="G1041" s="200"/>
      <c r="H1041" s="200"/>
      <c r="I1041" s="200"/>
      <c r="J1041" s="200"/>
      <c r="K1041" s="200"/>
      <c r="L1041" s="200"/>
      <c r="M1041" s="200"/>
      <c r="N1041" s="200"/>
      <c r="O1041" s="200"/>
    </row>
    <row r="1042" spans="1:15" ht="15.75" customHeight="1" x14ac:dyDescent="0.25">
      <c r="A1042" s="192"/>
      <c r="B1042" s="192"/>
      <c r="C1042" s="200"/>
      <c r="D1042" s="200"/>
      <c r="E1042" s="200"/>
      <c r="F1042" s="200"/>
      <c r="G1042" s="200"/>
      <c r="H1042" s="200"/>
      <c r="I1042" s="200"/>
      <c r="J1042" s="200"/>
      <c r="K1042" s="200"/>
      <c r="L1042" s="200"/>
      <c r="M1042" s="200"/>
      <c r="N1042" s="200"/>
      <c r="O1042" s="200"/>
    </row>
    <row r="1043" spans="1:15" ht="15.75" customHeight="1" x14ac:dyDescent="0.25">
      <c r="A1043" s="192"/>
      <c r="B1043" s="192"/>
      <c r="C1043" s="200"/>
      <c r="D1043" s="200"/>
      <c r="E1043" s="200"/>
      <c r="F1043" s="200"/>
      <c r="G1043" s="200"/>
      <c r="H1043" s="200"/>
      <c r="I1043" s="200"/>
      <c r="J1043" s="200"/>
      <c r="K1043" s="200"/>
      <c r="L1043" s="200"/>
      <c r="M1043" s="200"/>
      <c r="N1043" s="200"/>
      <c r="O1043" s="200"/>
    </row>
    <row r="1044" spans="1:15" ht="15.75" customHeight="1" x14ac:dyDescent="0.25">
      <c r="A1044" s="192"/>
      <c r="B1044" s="192"/>
      <c r="C1044" s="200"/>
      <c r="D1044" s="200"/>
      <c r="E1044" s="200"/>
      <c r="F1044" s="200"/>
      <c r="G1044" s="200"/>
      <c r="H1044" s="200"/>
      <c r="I1044" s="200"/>
      <c r="J1044" s="200"/>
      <c r="K1044" s="200"/>
      <c r="L1044" s="200"/>
      <c r="M1044" s="200"/>
      <c r="N1044" s="200"/>
      <c r="O1044" s="200"/>
    </row>
    <row r="1045" spans="1:15" ht="15.75" customHeight="1" x14ac:dyDescent="0.25">
      <c r="A1045" s="192"/>
      <c r="B1045" s="192"/>
      <c r="C1045" s="200"/>
      <c r="D1045" s="200"/>
      <c r="E1045" s="200"/>
      <c r="F1045" s="200"/>
      <c r="G1045" s="200"/>
      <c r="H1045" s="200"/>
      <c r="I1045" s="200"/>
      <c r="J1045" s="200"/>
      <c r="K1045" s="200"/>
      <c r="L1045" s="200"/>
      <c r="M1045" s="200"/>
      <c r="N1045" s="200"/>
      <c r="O1045" s="200"/>
    </row>
    <row r="1046" spans="1:15" ht="15.75" customHeight="1" x14ac:dyDescent="0.25">
      <c r="A1046" s="192"/>
      <c r="B1046" s="192"/>
      <c r="C1046" s="200"/>
      <c r="D1046" s="200"/>
      <c r="E1046" s="200"/>
      <c r="F1046" s="200"/>
      <c r="G1046" s="200"/>
      <c r="H1046" s="200"/>
      <c r="I1046" s="200"/>
      <c r="J1046" s="200"/>
      <c r="K1046" s="200"/>
      <c r="L1046" s="200"/>
      <c r="M1046" s="200"/>
      <c r="N1046" s="200"/>
      <c r="O1046" s="200"/>
    </row>
    <row r="1047" spans="1:15" ht="15.75" customHeight="1" x14ac:dyDescent="0.25">
      <c r="A1047" s="192"/>
      <c r="B1047" s="192"/>
      <c r="C1047" s="200"/>
      <c r="D1047" s="200"/>
      <c r="E1047" s="200"/>
      <c r="F1047" s="200"/>
      <c r="G1047" s="200"/>
      <c r="H1047" s="200"/>
      <c r="I1047" s="200"/>
      <c r="J1047" s="200"/>
      <c r="K1047" s="200"/>
      <c r="L1047" s="200"/>
      <c r="M1047" s="200"/>
      <c r="N1047" s="200"/>
      <c r="O1047" s="200"/>
    </row>
    <row r="1048" spans="1:15" ht="15.75" customHeight="1" x14ac:dyDescent="0.25">
      <c r="A1048" s="192"/>
      <c r="B1048" s="192"/>
      <c r="C1048" s="200"/>
      <c r="D1048" s="200"/>
      <c r="E1048" s="200"/>
      <c r="F1048" s="200"/>
      <c r="G1048" s="200"/>
      <c r="H1048" s="200"/>
      <c r="I1048" s="200"/>
      <c r="J1048" s="200"/>
      <c r="K1048" s="200"/>
      <c r="L1048" s="200"/>
      <c r="M1048" s="200"/>
      <c r="N1048" s="200"/>
      <c r="O1048" s="200"/>
    </row>
    <row r="1049" spans="1:15" ht="15.75" customHeight="1" x14ac:dyDescent="0.25">
      <c r="A1049" s="192"/>
      <c r="B1049" s="192"/>
      <c r="C1049" s="200"/>
      <c r="D1049" s="200"/>
      <c r="E1049" s="200"/>
      <c r="F1049" s="200"/>
      <c r="G1049" s="200"/>
      <c r="H1049" s="200"/>
      <c r="I1049" s="200"/>
      <c r="J1049" s="200"/>
      <c r="K1049" s="200"/>
      <c r="L1049" s="200"/>
      <c r="M1049" s="200"/>
      <c r="N1049" s="200"/>
      <c r="O1049" s="200"/>
    </row>
    <row r="1050" spans="1:15" ht="15.75" customHeight="1" x14ac:dyDescent="0.25">
      <c r="A1050" s="192"/>
      <c r="B1050" s="192"/>
      <c r="C1050" s="200"/>
      <c r="D1050" s="200"/>
      <c r="E1050" s="200"/>
      <c r="F1050" s="200"/>
      <c r="G1050" s="200"/>
      <c r="H1050" s="200"/>
      <c r="I1050" s="200"/>
      <c r="J1050" s="200"/>
      <c r="K1050" s="200"/>
      <c r="L1050" s="200"/>
      <c r="M1050" s="200"/>
      <c r="N1050" s="200"/>
      <c r="O1050" s="200"/>
    </row>
    <row r="1051" spans="1:15" ht="15.75" customHeight="1" x14ac:dyDescent="0.25">
      <c r="A1051" s="192"/>
      <c r="B1051" s="192"/>
      <c r="C1051" s="200"/>
      <c r="D1051" s="200"/>
      <c r="E1051" s="200"/>
      <c r="F1051" s="200"/>
      <c r="G1051" s="200"/>
      <c r="H1051" s="200"/>
      <c r="I1051" s="200"/>
      <c r="J1051" s="200"/>
      <c r="K1051" s="200"/>
      <c r="L1051" s="200"/>
      <c r="M1051" s="200"/>
      <c r="N1051" s="200"/>
      <c r="O1051" s="200"/>
    </row>
    <row r="1052" spans="1:15" ht="15.75" customHeight="1" x14ac:dyDescent="0.25">
      <c r="A1052" s="192"/>
      <c r="B1052" s="192"/>
      <c r="C1052" s="200"/>
      <c r="D1052" s="200"/>
      <c r="E1052" s="200"/>
      <c r="F1052" s="200"/>
      <c r="G1052" s="200"/>
      <c r="H1052" s="200"/>
      <c r="I1052" s="200"/>
      <c r="J1052" s="200"/>
      <c r="K1052" s="200"/>
      <c r="L1052" s="200"/>
      <c r="M1052" s="200"/>
      <c r="N1052" s="200"/>
      <c r="O1052" s="200"/>
    </row>
    <row r="1053" spans="1:15" ht="15.75" customHeight="1" x14ac:dyDescent="0.25">
      <c r="A1053" s="192"/>
      <c r="B1053" s="192"/>
      <c r="C1053" s="200"/>
      <c r="D1053" s="200"/>
      <c r="E1053" s="200"/>
      <c r="F1053" s="200"/>
      <c r="G1053" s="200"/>
      <c r="H1053" s="200"/>
      <c r="I1053" s="200"/>
      <c r="J1053" s="200"/>
      <c r="K1053" s="200"/>
      <c r="L1053" s="200"/>
      <c r="M1053" s="200"/>
      <c r="N1053" s="200"/>
      <c r="O1053" s="200"/>
    </row>
    <row r="1054" spans="1:15" ht="15.75" customHeight="1" x14ac:dyDescent="0.25">
      <c r="A1054" s="192"/>
      <c r="B1054" s="192"/>
      <c r="C1054" s="200"/>
      <c r="D1054" s="200"/>
      <c r="E1054" s="200"/>
      <c r="F1054" s="200"/>
      <c r="G1054" s="200"/>
      <c r="H1054" s="200"/>
      <c r="I1054" s="200"/>
      <c r="J1054" s="200"/>
      <c r="K1054" s="200"/>
      <c r="L1054" s="200"/>
      <c r="M1054" s="200"/>
      <c r="N1054" s="200"/>
      <c r="O1054" s="200"/>
    </row>
    <row r="1055" spans="1:15" ht="15.75" customHeight="1" x14ac:dyDescent="0.25">
      <c r="A1055" s="192"/>
      <c r="B1055" s="192"/>
      <c r="C1055" s="200"/>
      <c r="D1055" s="200"/>
      <c r="E1055" s="200"/>
      <c r="F1055" s="200"/>
      <c r="G1055" s="200"/>
      <c r="H1055" s="200"/>
      <c r="I1055" s="200"/>
      <c r="J1055" s="200"/>
      <c r="K1055" s="200"/>
      <c r="L1055" s="200"/>
      <c r="M1055" s="200"/>
      <c r="N1055" s="200"/>
      <c r="O1055" s="200"/>
    </row>
    <row r="1056" spans="1:15" ht="15.75" customHeight="1" x14ac:dyDescent="0.25">
      <c r="A1056" s="192"/>
      <c r="B1056" s="192"/>
      <c r="C1056" s="200"/>
      <c r="D1056" s="200"/>
      <c r="E1056" s="200"/>
      <c r="F1056" s="200"/>
      <c r="G1056" s="200"/>
      <c r="H1056" s="200"/>
      <c r="I1056" s="200"/>
      <c r="J1056" s="200"/>
      <c r="K1056" s="200"/>
      <c r="L1056" s="200"/>
      <c r="M1056" s="200"/>
      <c r="N1056" s="200"/>
      <c r="O1056" s="200"/>
    </row>
    <row r="1057" spans="1:15" ht="15.75" customHeight="1" x14ac:dyDescent="0.25">
      <c r="A1057" s="192"/>
      <c r="B1057" s="192"/>
      <c r="C1057" s="200"/>
      <c r="D1057" s="200"/>
      <c r="E1057" s="200"/>
      <c r="F1057" s="200"/>
      <c r="G1057" s="200"/>
      <c r="H1057" s="200"/>
      <c r="I1057" s="200"/>
      <c r="J1057" s="200"/>
      <c r="K1057" s="200"/>
      <c r="L1057" s="200"/>
      <c r="M1057" s="200"/>
      <c r="N1057" s="200"/>
      <c r="O1057" s="200"/>
    </row>
    <row r="1058" spans="1:15" ht="15.75" customHeight="1" x14ac:dyDescent="0.25">
      <c r="A1058" s="192"/>
      <c r="B1058" s="192"/>
      <c r="C1058" s="200"/>
      <c r="D1058" s="200"/>
      <c r="E1058" s="200"/>
      <c r="F1058" s="200"/>
      <c r="G1058" s="200"/>
      <c r="H1058" s="200"/>
      <c r="I1058" s="200"/>
      <c r="J1058" s="200"/>
      <c r="K1058" s="200"/>
      <c r="L1058" s="200"/>
      <c r="M1058" s="200"/>
      <c r="N1058" s="200"/>
      <c r="O1058" s="200"/>
    </row>
    <row r="1059" spans="1:15" ht="15.75" customHeight="1" x14ac:dyDescent="0.25">
      <c r="A1059" s="192"/>
      <c r="B1059" s="192"/>
      <c r="C1059" s="200"/>
      <c r="D1059" s="200"/>
      <c r="E1059" s="200"/>
      <c r="F1059" s="200"/>
      <c r="G1059" s="200"/>
      <c r="H1059" s="200"/>
      <c r="I1059" s="200"/>
      <c r="J1059" s="200"/>
      <c r="K1059" s="200"/>
      <c r="L1059" s="200"/>
      <c r="M1059" s="200"/>
      <c r="N1059" s="200"/>
      <c r="O1059" s="200"/>
    </row>
    <row r="1060" spans="1:15" ht="15.75" customHeight="1" x14ac:dyDescent="0.25">
      <c r="A1060" s="192"/>
      <c r="B1060" s="192"/>
      <c r="C1060" s="200"/>
      <c r="D1060" s="200"/>
      <c r="E1060" s="200"/>
      <c r="F1060" s="200"/>
      <c r="G1060" s="200"/>
      <c r="H1060" s="200"/>
      <c r="I1060" s="200"/>
      <c r="J1060" s="200"/>
      <c r="K1060" s="200"/>
      <c r="L1060" s="200"/>
      <c r="M1060" s="200"/>
      <c r="N1060" s="200"/>
      <c r="O1060" s="200"/>
    </row>
    <row r="1061" spans="1:15" ht="15.75" customHeight="1" x14ac:dyDescent="0.25">
      <c r="A1061" s="192"/>
      <c r="B1061" s="192"/>
      <c r="C1061" s="200"/>
      <c r="D1061" s="200"/>
      <c r="E1061" s="200"/>
      <c r="F1061" s="200"/>
      <c r="G1061" s="200"/>
      <c r="H1061" s="200"/>
      <c r="I1061" s="200"/>
      <c r="J1061" s="200"/>
      <c r="K1061" s="200"/>
      <c r="L1061" s="200"/>
      <c r="M1061" s="200"/>
      <c r="N1061" s="200"/>
      <c r="O1061" s="200"/>
    </row>
    <row r="1062" spans="1:15" ht="15.75" customHeight="1" x14ac:dyDescent="0.25">
      <c r="A1062" s="192"/>
      <c r="B1062" s="192"/>
      <c r="C1062" s="200"/>
      <c r="D1062" s="200"/>
      <c r="E1062" s="200"/>
      <c r="F1062" s="200"/>
      <c r="G1062" s="200"/>
      <c r="H1062" s="200"/>
      <c r="I1062" s="200"/>
      <c r="J1062" s="200"/>
      <c r="K1062" s="200"/>
      <c r="L1062" s="200"/>
      <c r="M1062" s="200"/>
      <c r="N1062" s="200"/>
      <c r="O1062" s="200"/>
    </row>
    <row r="1063" spans="1:15" ht="15.75" customHeight="1" x14ac:dyDescent="0.25">
      <c r="A1063" s="192"/>
      <c r="B1063" s="192"/>
      <c r="C1063" s="200"/>
      <c r="D1063" s="200"/>
      <c r="E1063" s="200"/>
      <c r="F1063" s="200"/>
      <c r="G1063" s="200"/>
      <c r="H1063" s="200"/>
      <c r="I1063" s="200"/>
      <c r="J1063" s="200"/>
      <c r="K1063" s="200"/>
      <c r="L1063" s="200"/>
      <c r="M1063" s="200"/>
      <c r="N1063" s="200"/>
      <c r="O1063" s="200"/>
    </row>
    <row r="1064" spans="1:15" ht="15.75" customHeight="1" x14ac:dyDescent="0.25">
      <c r="A1064" s="192"/>
      <c r="B1064" s="192"/>
      <c r="C1064" s="200"/>
      <c r="D1064" s="200"/>
      <c r="E1064" s="200"/>
      <c r="F1064" s="200"/>
      <c r="G1064" s="200"/>
      <c r="H1064" s="200"/>
      <c r="I1064" s="200"/>
      <c r="J1064" s="200"/>
      <c r="K1064" s="200"/>
      <c r="L1064" s="200"/>
      <c r="M1064" s="200"/>
      <c r="N1064" s="200"/>
      <c r="O1064" s="200"/>
    </row>
    <row r="1065" spans="1:15" ht="15.75" customHeight="1" x14ac:dyDescent="0.25">
      <c r="A1065" s="192"/>
      <c r="B1065" s="192"/>
      <c r="C1065" s="200"/>
      <c r="D1065" s="200"/>
      <c r="E1065" s="200"/>
      <c r="F1065" s="200"/>
      <c r="G1065" s="200"/>
      <c r="H1065" s="200"/>
      <c r="I1065" s="200"/>
      <c r="J1065" s="200"/>
      <c r="K1065" s="200"/>
      <c r="L1065" s="200"/>
      <c r="M1065" s="200"/>
      <c r="N1065" s="200"/>
      <c r="O1065" s="200"/>
    </row>
    <row r="1066" spans="1:15" ht="15.75" customHeight="1" x14ac:dyDescent="0.25">
      <c r="A1066" s="192"/>
      <c r="B1066" s="192"/>
      <c r="C1066" s="200"/>
      <c r="D1066" s="200"/>
      <c r="E1066" s="200"/>
      <c r="F1066" s="200"/>
      <c r="G1066" s="200"/>
      <c r="H1066" s="200"/>
      <c r="I1066" s="200"/>
      <c r="J1066" s="200"/>
      <c r="K1066" s="200"/>
      <c r="L1066" s="200"/>
      <c r="M1066" s="200"/>
      <c r="N1066" s="200"/>
      <c r="O1066" s="200"/>
    </row>
    <row r="1067" spans="1:15" ht="15.75" customHeight="1" x14ac:dyDescent="0.25">
      <c r="A1067" s="192"/>
      <c r="B1067" s="192"/>
      <c r="C1067" s="200"/>
      <c r="D1067" s="200"/>
      <c r="E1067" s="200"/>
      <c r="F1067" s="200"/>
      <c r="G1067" s="200"/>
      <c r="H1067" s="200"/>
      <c r="I1067" s="200"/>
      <c r="J1067" s="200"/>
      <c r="K1067" s="200"/>
      <c r="L1067" s="200"/>
      <c r="M1067" s="200"/>
      <c r="N1067" s="200"/>
      <c r="O1067" s="200"/>
    </row>
    <row r="1068" spans="1:15" ht="15.75" customHeight="1" x14ac:dyDescent="0.25">
      <c r="A1068" s="192"/>
      <c r="B1068" s="192"/>
      <c r="C1068" s="200"/>
      <c r="D1068" s="200"/>
      <c r="E1068" s="200"/>
      <c r="F1068" s="200"/>
      <c r="G1068" s="200"/>
      <c r="H1068" s="200"/>
      <c r="I1068" s="200"/>
      <c r="J1068" s="200"/>
      <c r="K1068" s="200"/>
      <c r="L1068" s="200"/>
      <c r="M1068" s="200"/>
      <c r="N1068" s="200"/>
      <c r="O1068" s="200"/>
    </row>
    <row r="1069" spans="1:15" ht="15.75" customHeight="1" x14ac:dyDescent="0.25">
      <c r="A1069" s="192"/>
      <c r="B1069" s="192"/>
      <c r="C1069" s="200"/>
      <c r="D1069" s="200"/>
      <c r="E1069" s="200"/>
      <c r="F1069" s="200"/>
      <c r="G1069" s="200"/>
      <c r="H1069" s="200"/>
      <c r="I1069" s="200"/>
      <c r="J1069" s="200"/>
      <c r="K1069" s="200"/>
      <c r="L1069" s="200"/>
      <c r="M1069" s="200"/>
      <c r="N1069" s="200"/>
      <c r="O1069" s="200"/>
    </row>
    <row r="1070" spans="1:15" ht="15.75" customHeight="1" x14ac:dyDescent="0.25">
      <c r="A1070" s="192"/>
      <c r="B1070" s="192"/>
      <c r="C1070" s="200"/>
      <c r="D1070" s="200"/>
      <c r="E1070" s="200"/>
      <c r="F1070" s="200"/>
      <c r="G1070" s="200"/>
      <c r="H1070" s="200"/>
      <c r="I1070" s="200"/>
      <c r="J1070" s="200"/>
      <c r="K1070" s="200"/>
      <c r="L1070" s="200"/>
      <c r="M1070" s="200"/>
      <c r="N1070" s="200"/>
      <c r="O1070" s="200"/>
    </row>
    <row r="1071" spans="1:15" ht="15.75" customHeight="1" x14ac:dyDescent="0.25">
      <c r="A1071" s="192"/>
      <c r="B1071" s="192"/>
      <c r="C1071" s="200"/>
      <c r="D1071" s="200"/>
      <c r="E1071" s="200"/>
      <c r="F1071" s="200"/>
      <c r="G1071" s="200"/>
      <c r="H1071" s="200"/>
      <c r="I1071" s="200"/>
      <c r="J1071" s="200"/>
      <c r="K1071" s="200"/>
      <c r="L1071" s="200"/>
      <c r="M1071" s="200"/>
      <c r="N1071" s="200"/>
      <c r="O1071" s="200"/>
    </row>
    <row r="1072" spans="1:15" ht="15.75" customHeight="1" x14ac:dyDescent="0.25">
      <c r="A1072" s="192"/>
      <c r="B1072" s="192"/>
      <c r="C1072" s="200"/>
      <c r="D1072" s="200"/>
      <c r="E1072" s="200"/>
      <c r="F1072" s="200"/>
      <c r="G1072" s="200"/>
      <c r="H1072" s="200"/>
      <c r="I1072" s="200"/>
      <c r="J1072" s="200"/>
      <c r="K1072" s="200"/>
      <c r="L1072" s="200"/>
      <c r="M1072" s="200"/>
      <c r="N1072" s="200"/>
      <c r="O1072" s="200"/>
    </row>
    <row r="1073" spans="1:15" ht="15.75" customHeight="1" x14ac:dyDescent="0.25">
      <c r="A1073" s="192"/>
      <c r="B1073" s="192"/>
      <c r="C1073" s="200"/>
      <c r="D1073" s="200"/>
      <c r="E1073" s="200"/>
      <c r="F1073" s="200"/>
      <c r="G1073" s="200"/>
      <c r="H1073" s="200"/>
      <c r="I1073" s="200"/>
      <c r="J1073" s="200"/>
      <c r="K1073" s="200"/>
      <c r="L1073" s="200"/>
      <c r="M1073" s="200"/>
      <c r="N1073" s="200"/>
      <c r="O1073" s="200"/>
    </row>
    <row r="1074" spans="1:15" ht="15.75" customHeight="1" x14ac:dyDescent="0.25">
      <c r="A1074" s="192"/>
      <c r="B1074" s="192"/>
      <c r="C1074" s="200"/>
      <c r="D1074" s="200"/>
      <c r="E1074" s="200"/>
      <c r="F1074" s="200"/>
      <c r="G1074" s="200"/>
      <c r="H1074" s="200"/>
      <c r="I1074" s="200"/>
      <c r="J1074" s="200"/>
      <c r="K1074" s="200"/>
      <c r="L1074" s="200"/>
      <c r="M1074" s="200"/>
      <c r="N1074" s="200"/>
      <c r="O1074" s="200"/>
    </row>
    <row r="1075" spans="1:15" ht="15.75" customHeight="1" x14ac:dyDescent="0.25">
      <c r="A1075" s="192"/>
      <c r="B1075" s="192"/>
      <c r="C1075" s="200"/>
      <c r="D1075" s="200"/>
      <c r="E1075" s="200"/>
      <c r="F1075" s="200"/>
      <c r="G1075" s="200"/>
      <c r="H1075" s="200"/>
      <c r="I1075" s="200"/>
      <c r="J1075" s="200"/>
      <c r="K1075" s="200"/>
      <c r="L1075" s="200"/>
      <c r="M1075" s="200"/>
      <c r="N1075" s="200"/>
      <c r="O1075" s="200"/>
    </row>
    <row r="1076" spans="1:15" ht="15.75" customHeight="1" x14ac:dyDescent="0.25">
      <c r="A1076" s="192"/>
      <c r="B1076" s="192"/>
      <c r="C1076" s="200"/>
      <c r="D1076" s="200"/>
      <c r="E1076" s="200"/>
      <c r="F1076" s="200"/>
      <c r="G1076" s="200"/>
      <c r="H1076" s="200"/>
      <c r="I1076" s="200"/>
      <c r="J1076" s="200"/>
      <c r="K1076" s="200"/>
      <c r="L1076" s="200"/>
      <c r="M1076" s="200"/>
      <c r="N1076" s="200"/>
      <c r="O1076" s="200"/>
    </row>
    <row r="1077" spans="1:15" ht="15.75" customHeight="1" x14ac:dyDescent="0.25">
      <c r="A1077" s="192"/>
      <c r="B1077" s="192"/>
      <c r="C1077" s="200"/>
      <c r="D1077" s="200"/>
      <c r="E1077" s="200"/>
      <c r="F1077" s="200"/>
      <c r="G1077" s="200"/>
      <c r="H1077" s="200"/>
      <c r="I1077" s="200"/>
      <c r="J1077" s="200"/>
      <c r="K1077" s="200"/>
      <c r="L1077" s="200"/>
      <c r="M1077" s="200"/>
      <c r="N1077" s="200"/>
      <c r="O1077" s="200"/>
    </row>
    <row r="1078" spans="1:15" ht="15.75" customHeight="1" x14ac:dyDescent="0.25">
      <c r="A1078" s="192"/>
      <c r="B1078" s="192"/>
      <c r="C1078" s="200"/>
      <c r="D1078" s="200"/>
      <c r="E1078" s="200"/>
      <c r="F1078" s="200"/>
      <c r="G1078" s="200"/>
      <c r="H1078" s="200"/>
      <c r="I1078" s="200"/>
      <c r="J1078" s="200"/>
      <c r="K1078" s="200"/>
      <c r="L1078" s="200"/>
      <c r="M1078" s="200"/>
      <c r="N1078" s="200"/>
      <c r="O1078" s="200"/>
    </row>
    <row r="1079" spans="1:15" ht="15.75" customHeight="1" x14ac:dyDescent="0.25">
      <c r="A1079" s="192"/>
      <c r="B1079" s="192"/>
      <c r="C1079" s="200"/>
      <c r="D1079" s="200"/>
      <c r="E1079" s="200"/>
      <c r="F1079" s="200"/>
      <c r="G1079" s="200"/>
      <c r="H1079" s="200"/>
      <c r="I1079" s="200"/>
      <c r="J1079" s="200"/>
      <c r="K1079" s="200"/>
      <c r="L1079" s="200"/>
      <c r="M1079" s="200"/>
      <c r="N1079" s="200"/>
      <c r="O1079" s="200"/>
    </row>
    <row r="1080" spans="1:15" ht="15.75" customHeight="1" x14ac:dyDescent="0.25">
      <c r="A1080" s="192"/>
      <c r="B1080" s="192"/>
      <c r="C1080" s="200"/>
      <c r="D1080" s="200"/>
      <c r="E1080" s="200"/>
      <c r="F1080" s="200"/>
      <c r="G1080" s="200"/>
      <c r="H1080" s="200"/>
      <c r="I1080" s="200"/>
      <c r="J1080" s="200"/>
      <c r="K1080" s="200"/>
      <c r="L1080" s="200"/>
      <c r="M1080" s="200"/>
      <c r="N1080" s="200"/>
      <c r="O1080" s="200"/>
    </row>
    <row r="1081" spans="1:15" ht="15.75" customHeight="1" x14ac:dyDescent="0.25">
      <c r="A1081" s="192"/>
      <c r="B1081" s="192"/>
      <c r="C1081" s="200"/>
      <c r="D1081" s="200"/>
      <c r="E1081" s="200"/>
      <c r="F1081" s="200"/>
      <c r="G1081" s="200"/>
      <c r="H1081" s="200"/>
      <c r="I1081" s="200"/>
      <c r="J1081" s="200"/>
      <c r="K1081" s="200"/>
      <c r="L1081" s="200"/>
      <c r="M1081" s="200"/>
      <c r="N1081" s="200"/>
      <c r="O1081" s="200"/>
    </row>
    <row r="1082" spans="1:15" ht="15.75" customHeight="1" x14ac:dyDescent="0.25">
      <c r="A1082" s="192"/>
      <c r="B1082" s="192"/>
      <c r="C1082" s="200"/>
      <c r="D1082" s="200"/>
      <c r="E1082" s="200"/>
      <c r="F1082" s="200"/>
      <c r="G1082" s="200"/>
      <c r="H1082" s="200"/>
      <c r="I1082" s="200"/>
      <c r="J1082" s="200"/>
      <c r="K1082" s="200"/>
      <c r="L1082" s="200"/>
      <c r="M1082" s="200"/>
      <c r="N1082" s="200"/>
      <c r="O1082" s="200"/>
    </row>
    <row r="1083" spans="1:15" ht="15.75" customHeight="1" x14ac:dyDescent="0.25">
      <c r="A1083" s="192"/>
      <c r="B1083" s="192"/>
      <c r="C1083" s="200"/>
      <c r="D1083" s="200"/>
      <c r="E1083" s="200"/>
      <c r="F1083" s="200"/>
      <c r="G1083" s="200"/>
      <c r="H1083" s="200"/>
      <c r="I1083" s="200"/>
      <c r="J1083" s="200"/>
      <c r="K1083" s="200"/>
      <c r="L1083" s="200"/>
      <c r="M1083" s="200"/>
      <c r="N1083" s="200"/>
      <c r="O1083" s="200"/>
    </row>
    <row r="1084" spans="1:15" ht="15.75" customHeight="1" x14ac:dyDescent="0.25">
      <c r="A1084" s="192"/>
      <c r="B1084" s="192"/>
      <c r="C1084" s="200"/>
      <c r="D1084" s="200"/>
      <c r="E1084" s="200"/>
      <c r="F1084" s="200"/>
      <c r="G1084" s="200"/>
      <c r="H1084" s="200"/>
      <c r="I1084" s="200"/>
      <c r="J1084" s="200"/>
      <c r="K1084" s="200"/>
      <c r="L1084" s="200"/>
      <c r="M1084" s="200"/>
      <c r="N1084" s="200"/>
      <c r="O1084" s="200"/>
    </row>
    <row r="1085" spans="1:15" ht="15.75" customHeight="1" x14ac:dyDescent="0.25">
      <c r="A1085" s="192"/>
      <c r="B1085" s="192"/>
      <c r="C1085" s="200"/>
      <c r="D1085" s="200"/>
      <c r="E1085" s="200"/>
      <c r="F1085" s="200"/>
      <c r="G1085" s="200"/>
      <c r="H1085" s="200"/>
      <c r="I1085" s="200"/>
      <c r="J1085" s="200"/>
      <c r="K1085" s="200"/>
      <c r="L1085" s="200"/>
      <c r="M1085" s="200"/>
      <c r="N1085" s="200"/>
      <c r="O1085" s="200"/>
    </row>
    <row r="1086" spans="1:15" ht="15.75" customHeight="1" x14ac:dyDescent="0.25">
      <c r="A1086" s="192"/>
      <c r="B1086" s="192"/>
      <c r="C1086" s="200"/>
      <c r="D1086" s="200"/>
      <c r="E1086" s="200"/>
      <c r="F1086" s="200"/>
      <c r="G1086" s="200"/>
      <c r="H1086" s="200"/>
      <c r="I1086" s="200"/>
      <c r="J1086" s="200"/>
      <c r="K1086" s="200"/>
      <c r="L1086" s="200"/>
      <c r="M1086" s="200"/>
      <c r="N1086" s="200"/>
      <c r="O1086" s="200"/>
    </row>
    <row r="1087" spans="1:15" ht="15.75" customHeight="1" x14ac:dyDescent="0.25">
      <c r="A1087" s="192"/>
      <c r="B1087" s="192"/>
      <c r="C1087" s="200"/>
      <c r="D1087" s="200"/>
      <c r="E1087" s="200"/>
      <c r="F1087" s="200"/>
      <c r="G1087" s="200"/>
      <c r="H1087" s="200"/>
      <c r="I1087" s="200"/>
      <c r="J1087" s="200"/>
      <c r="K1087" s="200"/>
      <c r="L1087" s="200"/>
      <c r="M1087" s="200"/>
      <c r="N1087" s="200"/>
      <c r="O1087" s="200"/>
    </row>
    <row r="1088" spans="1:15" ht="15.75" customHeight="1" x14ac:dyDescent="0.25">
      <c r="A1088" s="192"/>
      <c r="B1088" s="192"/>
      <c r="C1088" s="200"/>
      <c r="D1088" s="200"/>
      <c r="E1088" s="200"/>
      <c r="F1088" s="200"/>
      <c r="G1088" s="200"/>
      <c r="H1088" s="200"/>
      <c r="I1088" s="200"/>
      <c r="J1088" s="200"/>
      <c r="K1088" s="200"/>
      <c r="L1088" s="200"/>
      <c r="M1088" s="200"/>
      <c r="N1088" s="200"/>
      <c r="O1088" s="200"/>
    </row>
    <row r="1089" spans="1:15" ht="15.75" customHeight="1" x14ac:dyDescent="0.25">
      <c r="A1089" s="192"/>
      <c r="B1089" s="192"/>
      <c r="C1089" s="200"/>
      <c r="D1089" s="200"/>
      <c r="E1089" s="200"/>
      <c r="F1089" s="200"/>
      <c r="G1089" s="200"/>
      <c r="H1089" s="200"/>
      <c r="I1089" s="200"/>
      <c r="J1089" s="200"/>
      <c r="K1089" s="200"/>
      <c r="L1089" s="200"/>
      <c r="M1089" s="200"/>
      <c r="N1089" s="200"/>
      <c r="O1089" s="200"/>
    </row>
    <row r="1090" spans="1:15" ht="15.75" customHeight="1" x14ac:dyDescent="0.25">
      <c r="A1090" s="192"/>
      <c r="B1090" s="192"/>
      <c r="C1090" s="200"/>
      <c r="D1090" s="200"/>
      <c r="E1090" s="200"/>
      <c r="F1090" s="200"/>
      <c r="G1090" s="200"/>
      <c r="H1090" s="200"/>
      <c r="I1090" s="200"/>
      <c r="J1090" s="200"/>
      <c r="K1090" s="200"/>
      <c r="L1090" s="200"/>
      <c r="M1090" s="200"/>
      <c r="N1090" s="200"/>
      <c r="O1090" s="200"/>
    </row>
    <row r="1091" spans="1:15" ht="15.75" customHeight="1" x14ac:dyDescent="0.25">
      <c r="A1091" s="192"/>
      <c r="B1091" s="192"/>
      <c r="C1091" s="200"/>
      <c r="D1091" s="200"/>
      <c r="E1091" s="200"/>
      <c r="F1091" s="200"/>
      <c r="G1091" s="200"/>
      <c r="H1091" s="200"/>
      <c r="I1091" s="200"/>
      <c r="J1091" s="200"/>
      <c r="K1091" s="200"/>
      <c r="L1091" s="200"/>
      <c r="M1091" s="200"/>
      <c r="N1091" s="200"/>
      <c r="O1091" s="200"/>
    </row>
    <row r="1092" spans="1:15" ht="15.75" customHeight="1" x14ac:dyDescent="0.25">
      <c r="A1092" s="192"/>
      <c r="B1092" s="192"/>
      <c r="C1092" s="200"/>
      <c r="D1092" s="200"/>
      <c r="E1092" s="200"/>
      <c r="F1092" s="200"/>
      <c r="G1092" s="200"/>
      <c r="H1092" s="200"/>
      <c r="I1092" s="200"/>
      <c r="J1092" s="200"/>
      <c r="K1092" s="200"/>
      <c r="L1092" s="200"/>
      <c r="M1092" s="200"/>
      <c r="N1092" s="200"/>
      <c r="O1092" s="200"/>
    </row>
    <row r="1093" spans="1:15" ht="15.75" customHeight="1" x14ac:dyDescent="0.25">
      <c r="A1093" s="192"/>
      <c r="B1093" s="192"/>
      <c r="C1093" s="200"/>
      <c r="D1093" s="200"/>
      <c r="E1093" s="200"/>
      <c r="F1093" s="200"/>
      <c r="G1093" s="200"/>
      <c r="H1093" s="200"/>
      <c r="I1093" s="200"/>
      <c r="J1093" s="200"/>
      <c r="K1093" s="200"/>
      <c r="L1093" s="200"/>
      <c r="M1093" s="200"/>
      <c r="N1093" s="200"/>
      <c r="O1093" s="200"/>
    </row>
    <row r="1094" spans="1:15" ht="15.75" customHeight="1" x14ac:dyDescent="0.25">
      <c r="A1094" s="192"/>
      <c r="B1094" s="192"/>
      <c r="C1094" s="200"/>
      <c r="D1094" s="200"/>
      <c r="E1094" s="200"/>
      <c r="F1094" s="200"/>
      <c r="G1094" s="200"/>
      <c r="H1094" s="200"/>
      <c r="I1094" s="200"/>
      <c r="J1094" s="200"/>
      <c r="K1094" s="200"/>
      <c r="L1094" s="200"/>
      <c r="M1094" s="200"/>
      <c r="N1094" s="200"/>
      <c r="O1094" s="200"/>
    </row>
    <row r="1095" spans="1:15" ht="15.75" customHeight="1" x14ac:dyDescent="0.25">
      <c r="A1095" s="192"/>
      <c r="B1095" s="192"/>
      <c r="C1095" s="200"/>
      <c r="D1095" s="200"/>
      <c r="E1095" s="200"/>
      <c r="F1095" s="200"/>
      <c r="G1095" s="200"/>
      <c r="H1095" s="200"/>
      <c r="I1095" s="200"/>
      <c r="J1095" s="200"/>
      <c r="K1095" s="200"/>
      <c r="L1095" s="200"/>
      <c r="M1095" s="200"/>
      <c r="N1095" s="200"/>
      <c r="O1095" s="200"/>
    </row>
    <row r="1096" spans="1:15" ht="15.75" customHeight="1" x14ac:dyDescent="0.25">
      <c r="A1096" s="192"/>
      <c r="B1096" s="192"/>
      <c r="C1096" s="200"/>
      <c r="D1096" s="200"/>
      <c r="E1096" s="200"/>
      <c r="F1096" s="200"/>
      <c r="G1096" s="200"/>
      <c r="H1096" s="200"/>
      <c r="I1096" s="200"/>
      <c r="J1096" s="200"/>
      <c r="K1096" s="200"/>
      <c r="L1096" s="200"/>
      <c r="M1096" s="200"/>
      <c r="N1096" s="200"/>
      <c r="O1096" s="200"/>
    </row>
    <row r="1097" spans="1:15" ht="15.75" customHeight="1" x14ac:dyDescent="0.25">
      <c r="A1097" s="192"/>
      <c r="B1097" s="192"/>
      <c r="C1097" s="200"/>
      <c r="D1097" s="200"/>
      <c r="E1097" s="200"/>
      <c r="F1097" s="200"/>
      <c r="G1097" s="200"/>
      <c r="H1097" s="200"/>
      <c r="I1097" s="200"/>
      <c r="J1097" s="200"/>
      <c r="K1097" s="200"/>
      <c r="L1097" s="200"/>
      <c r="M1097" s="200"/>
      <c r="N1097" s="200"/>
      <c r="O1097" s="200"/>
    </row>
    <row r="1098" spans="1:15" ht="15.75" customHeight="1" x14ac:dyDescent="0.25">
      <c r="A1098" s="192"/>
      <c r="B1098" s="192"/>
      <c r="C1098" s="200"/>
      <c r="D1098" s="200"/>
      <c r="E1098" s="200"/>
      <c r="F1098" s="200"/>
      <c r="G1098" s="200"/>
      <c r="H1098" s="200"/>
      <c r="I1098" s="200"/>
      <c r="J1098" s="200"/>
      <c r="K1098" s="200"/>
      <c r="L1098" s="200"/>
      <c r="M1098" s="200"/>
      <c r="N1098" s="200"/>
      <c r="O1098" s="200"/>
    </row>
    <row r="1099" spans="1:15" ht="15.75" customHeight="1" x14ac:dyDescent="0.25">
      <c r="A1099" s="192"/>
      <c r="B1099" s="192"/>
      <c r="C1099" s="200"/>
      <c r="D1099" s="200"/>
      <c r="E1099" s="200"/>
      <c r="F1099" s="200"/>
      <c r="G1099" s="200"/>
      <c r="H1099" s="200"/>
      <c r="I1099" s="200"/>
      <c r="J1099" s="200"/>
      <c r="K1099" s="200"/>
      <c r="L1099" s="200"/>
      <c r="M1099" s="200"/>
      <c r="N1099" s="200"/>
      <c r="O1099" s="200"/>
    </row>
    <row r="1100" spans="1:15" ht="15.75" customHeight="1" x14ac:dyDescent="0.25">
      <c r="A1100" s="192"/>
      <c r="B1100" s="192"/>
      <c r="C1100" s="200"/>
      <c r="D1100" s="200"/>
      <c r="E1100" s="200"/>
      <c r="F1100" s="200"/>
      <c r="G1100" s="200"/>
      <c r="H1100" s="200"/>
      <c r="I1100" s="200"/>
      <c r="J1100" s="200"/>
      <c r="K1100" s="200"/>
      <c r="L1100" s="200"/>
      <c r="M1100" s="200"/>
      <c r="N1100" s="200"/>
      <c r="O1100" s="200"/>
    </row>
    <row r="1101" spans="1:15" ht="15.75" customHeight="1" x14ac:dyDescent="0.25">
      <c r="A1101" s="192"/>
      <c r="B1101" s="192"/>
      <c r="C1101" s="200"/>
      <c r="D1101" s="200"/>
      <c r="E1101" s="200"/>
      <c r="F1101" s="200"/>
      <c r="G1101" s="200"/>
      <c r="H1101" s="200"/>
      <c r="I1101" s="200"/>
      <c r="J1101" s="200"/>
      <c r="K1101" s="200"/>
      <c r="L1101" s="200"/>
      <c r="M1101" s="200"/>
      <c r="N1101" s="200"/>
      <c r="O1101" s="200"/>
    </row>
    <row r="1102" spans="1:15" ht="15.75" customHeight="1" x14ac:dyDescent="0.25">
      <c r="A1102" s="192"/>
      <c r="B1102" s="192"/>
      <c r="C1102" s="200"/>
      <c r="D1102" s="200"/>
      <c r="E1102" s="200"/>
      <c r="F1102" s="200"/>
      <c r="G1102" s="200"/>
      <c r="H1102" s="200"/>
      <c r="I1102" s="200"/>
      <c r="J1102" s="200"/>
      <c r="K1102" s="200"/>
      <c r="L1102" s="200"/>
      <c r="M1102" s="200"/>
      <c r="N1102" s="200"/>
      <c r="O1102" s="200"/>
    </row>
    <row r="1103" spans="1:15" ht="15.75" customHeight="1" x14ac:dyDescent="0.25">
      <c r="A1103" s="192"/>
      <c r="B1103" s="192"/>
      <c r="C1103" s="200"/>
      <c r="D1103" s="200"/>
      <c r="E1103" s="200"/>
      <c r="F1103" s="200"/>
      <c r="G1103" s="200"/>
      <c r="H1103" s="200"/>
      <c r="I1103" s="200"/>
      <c r="J1103" s="200"/>
      <c r="K1103" s="200"/>
      <c r="L1103" s="200"/>
      <c r="M1103" s="200"/>
      <c r="N1103" s="200"/>
      <c r="O1103" s="200"/>
    </row>
    <row r="1104" spans="1:15" ht="15.75" customHeight="1" x14ac:dyDescent="0.25">
      <c r="A1104" s="192"/>
      <c r="B1104" s="192"/>
      <c r="C1104" s="200"/>
      <c r="D1104" s="200"/>
      <c r="E1104" s="200"/>
      <c r="F1104" s="200"/>
      <c r="G1104" s="200"/>
      <c r="H1104" s="200"/>
      <c r="I1104" s="200"/>
      <c r="J1104" s="200"/>
      <c r="K1104" s="200"/>
      <c r="L1104" s="200"/>
      <c r="M1104" s="200"/>
      <c r="N1104" s="200"/>
      <c r="O1104" s="200"/>
    </row>
    <row r="1105" spans="1:15" ht="15.75" customHeight="1" x14ac:dyDescent="0.25">
      <c r="A1105" s="192"/>
      <c r="B1105" s="192"/>
      <c r="C1105" s="200"/>
      <c r="D1105" s="200"/>
      <c r="E1105" s="200"/>
      <c r="F1105" s="200"/>
      <c r="G1105" s="200"/>
      <c r="H1105" s="200"/>
      <c r="I1105" s="200"/>
      <c r="J1105" s="200"/>
      <c r="K1105" s="200"/>
      <c r="L1105" s="200"/>
      <c r="M1105" s="200"/>
      <c r="N1105" s="200"/>
      <c r="O1105" s="200"/>
    </row>
    <row r="1106" spans="1:15" ht="15.75" customHeight="1" x14ac:dyDescent="0.25">
      <c r="A1106" s="192"/>
      <c r="B1106" s="192"/>
      <c r="C1106" s="200"/>
      <c r="D1106" s="200"/>
      <c r="E1106" s="200"/>
      <c r="F1106" s="200"/>
      <c r="G1106" s="200"/>
      <c r="H1106" s="200"/>
      <c r="I1106" s="200"/>
      <c r="J1106" s="200"/>
      <c r="K1106" s="200"/>
      <c r="L1106" s="200"/>
      <c r="M1106" s="200"/>
      <c r="N1106" s="200"/>
      <c r="O1106" s="200"/>
    </row>
    <row r="1107" spans="1:15" ht="15.75" customHeight="1" x14ac:dyDescent="0.25">
      <c r="A1107" s="192"/>
      <c r="B1107" s="192"/>
      <c r="C1107" s="200"/>
      <c r="D1107" s="200"/>
      <c r="E1107" s="200"/>
      <c r="F1107" s="200"/>
      <c r="G1107" s="200"/>
      <c r="H1107" s="200"/>
      <c r="I1107" s="200"/>
      <c r="J1107" s="200"/>
      <c r="K1107" s="200"/>
      <c r="L1107" s="200"/>
      <c r="M1107" s="200"/>
      <c r="N1107" s="200"/>
      <c r="O1107" s="200"/>
    </row>
    <row r="1108" spans="1:15" ht="15.75" customHeight="1" x14ac:dyDescent="0.25">
      <c r="A1108" s="192"/>
      <c r="B1108" s="192"/>
      <c r="C1108" s="200"/>
      <c r="D1108" s="200"/>
      <c r="E1108" s="200"/>
      <c r="F1108" s="200"/>
      <c r="G1108" s="200"/>
      <c r="H1108" s="200"/>
      <c r="I1108" s="200"/>
      <c r="J1108" s="200"/>
      <c r="K1108" s="200"/>
      <c r="L1108" s="200"/>
      <c r="M1108" s="200"/>
      <c r="N1108" s="200"/>
      <c r="O1108" s="200"/>
    </row>
    <row r="1109" spans="1:15" ht="15.75" customHeight="1" x14ac:dyDescent="0.25">
      <c r="A1109" s="192"/>
      <c r="B1109" s="192"/>
      <c r="C1109" s="200"/>
      <c r="D1109" s="200"/>
      <c r="E1109" s="200"/>
      <c r="F1109" s="200"/>
      <c r="G1109" s="200"/>
      <c r="H1109" s="200"/>
      <c r="I1109" s="200"/>
      <c r="J1109" s="200"/>
      <c r="K1109" s="200"/>
      <c r="L1109" s="200"/>
      <c r="M1109" s="200"/>
      <c r="N1109" s="200"/>
      <c r="O1109" s="200"/>
    </row>
    <row r="1110" spans="1:15" ht="15.75" customHeight="1" x14ac:dyDescent="0.25">
      <c r="A1110" s="192"/>
      <c r="B1110" s="192"/>
      <c r="C1110" s="200"/>
      <c r="D1110" s="200"/>
      <c r="E1110" s="200"/>
      <c r="F1110" s="200"/>
      <c r="G1110" s="200"/>
      <c r="H1110" s="200"/>
      <c r="I1110" s="200"/>
      <c r="J1110" s="200"/>
      <c r="K1110" s="200"/>
      <c r="L1110" s="200"/>
      <c r="M1110" s="200"/>
      <c r="N1110" s="200"/>
      <c r="O1110" s="200"/>
    </row>
    <row r="1111" spans="1:15" ht="15.75" customHeight="1" x14ac:dyDescent="0.25">
      <c r="A1111" s="192"/>
      <c r="B1111" s="192"/>
      <c r="C1111" s="200"/>
      <c r="D1111" s="200"/>
      <c r="E1111" s="200"/>
      <c r="F1111" s="200"/>
      <c r="G1111" s="200"/>
      <c r="H1111" s="200"/>
      <c r="I1111" s="200"/>
      <c r="J1111" s="200"/>
      <c r="K1111" s="200"/>
      <c r="L1111" s="200"/>
      <c r="M1111" s="200"/>
      <c r="N1111" s="200"/>
      <c r="O1111" s="200"/>
    </row>
    <row r="1112" spans="1:15" ht="15.75" customHeight="1" x14ac:dyDescent="0.25">
      <c r="A1112" s="192"/>
      <c r="B1112" s="192"/>
      <c r="C1112" s="200"/>
      <c r="D1112" s="200"/>
      <c r="E1112" s="200"/>
      <c r="F1112" s="200"/>
      <c r="G1112" s="200"/>
      <c r="H1112" s="200"/>
      <c r="I1112" s="200"/>
      <c r="J1112" s="200"/>
      <c r="K1112" s="200"/>
      <c r="L1112" s="200"/>
      <c r="M1112" s="200"/>
      <c r="N1112" s="200"/>
      <c r="O1112" s="200"/>
    </row>
    <row r="1113" spans="1:15" ht="15.75" customHeight="1" x14ac:dyDescent="0.25">
      <c r="A1113" s="192"/>
      <c r="B1113" s="192"/>
      <c r="C1113" s="200"/>
      <c r="D1113" s="200"/>
      <c r="E1113" s="200"/>
      <c r="F1113" s="200"/>
      <c r="G1113" s="200"/>
      <c r="H1113" s="200"/>
      <c r="I1113" s="200"/>
      <c r="J1113" s="200"/>
      <c r="K1113" s="200"/>
      <c r="L1113" s="200"/>
      <c r="M1113" s="200"/>
      <c r="N1113" s="200"/>
      <c r="O1113" s="200"/>
    </row>
    <row r="1114" spans="1:15" ht="15.75" customHeight="1" x14ac:dyDescent="0.25">
      <c r="A1114" s="192"/>
      <c r="B1114" s="192"/>
      <c r="C1114" s="200"/>
      <c r="D1114" s="200"/>
      <c r="E1114" s="200"/>
      <c r="F1114" s="200"/>
      <c r="G1114" s="200"/>
      <c r="H1114" s="200"/>
      <c r="I1114" s="200"/>
      <c r="J1114" s="200"/>
      <c r="K1114" s="200"/>
      <c r="L1114" s="200"/>
      <c r="M1114" s="200"/>
      <c r="N1114" s="200"/>
      <c r="O1114" s="200"/>
    </row>
    <row r="1115" spans="1:15" ht="15.75" customHeight="1" x14ac:dyDescent="0.25">
      <c r="A1115" s="192"/>
      <c r="B1115" s="192"/>
      <c r="C1115" s="200"/>
      <c r="D1115" s="200"/>
      <c r="E1115" s="200"/>
      <c r="F1115" s="200"/>
      <c r="G1115" s="200"/>
      <c r="H1115" s="200"/>
      <c r="I1115" s="200"/>
      <c r="J1115" s="200"/>
      <c r="K1115" s="200"/>
      <c r="L1115" s="200"/>
      <c r="M1115" s="200"/>
      <c r="N1115" s="200"/>
      <c r="O1115" s="200"/>
    </row>
    <row r="1116" spans="1:15" ht="15.75" customHeight="1" x14ac:dyDescent="0.25">
      <c r="A1116" s="192"/>
      <c r="B1116" s="192"/>
      <c r="C1116" s="200"/>
      <c r="D1116" s="200"/>
      <c r="E1116" s="200"/>
      <c r="F1116" s="200"/>
      <c r="G1116" s="200"/>
      <c r="H1116" s="200"/>
      <c r="I1116" s="200"/>
      <c r="J1116" s="200"/>
      <c r="K1116" s="200"/>
      <c r="L1116" s="200"/>
      <c r="M1116" s="200"/>
      <c r="N1116" s="200"/>
      <c r="O1116" s="200"/>
    </row>
    <row r="1117" spans="1:15" ht="15.75" customHeight="1" x14ac:dyDescent="0.25">
      <c r="A1117" s="192"/>
      <c r="B1117" s="192"/>
      <c r="C1117" s="200"/>
      <c r="D1117" s="200"/>
      <c r="E1117" s="200"/>
      <c r="F1117" s="200"/>
      <c r="G1117" s="200"/>
      <c r="H1117" s="200"/>
      <c r="I1117" s="200"/>
      <c r="J1117" s="200"/>
      <c r="K1117" s="200"/>
      <c r="L1117" s="200"/>
      <c r="M1117" s="200"/>
      <c r="N1117" s="200"/>
      <c r="O1117" s="200"/>
    </row>
    <row r="1118" spans="1:15" ht="15.75" customHeight="1" x14ac:dyDescent="0.25">
      <c r="A1118" s="192"/>
      <c r="B1118" s="192"/>
      <c r="C1118" s="200"/>
      <c r="D1118" s="200"/>
      <c r="E1118" s="200"/>
      <c r="F1118" s="200"/>
      <c r="G1118" s="200"/>
      <c r="H1118" s="200"/>
      <c r="I1118" s="200"/>
      <c r="J1118" s="200"/>
      <c r="K1118" s="200"/>
      <c r="L1118" s="200"/>
      <c r="M1118" s="200"/>
      <c r="N1118" s="200"/>
      <c r="O1118" s="200"/>
    </row>
    <row r="1119" spans="1:15" ht="15.75" customHeight="1" x14ac:dyDescent="0.25">
      <c r="A1119" s="192"/>
      <c r="B1119" s="192"/>
      <c r="C1119" s="200"/>
      <c r="D1119" s="200"/>
      <c r="E1119" s="200"/>
      <c r="F1119" s="200"/>
      <c r="G1119" s="200"/>
      <c r="H1119" s="200"/>
      <c r="I1119" s="200"/>
      <c r="J1119" s="200"/>
      <c r="K1119" s="200"/>
      <c r="L1119" s="200"/>
      <c r="M1119" s="200"/>
      <c r="N1119" s="200"/>
      <c r="O1119" s="200"/>
    </row>
    <row r="1120" spans="1:15" ht="15.75" customHeight="1" x14ac:dyDescent="0.25">
      <c r="A1120" s="192"/>
      <c r="B1120" s="192"/>
      <c r="C1120" s="200"/>
      <c r="D1120" s="200"/>
      <c r="E1120" s="200"/>
      <c r="F1120" s="200"/>
      <c r="G1120" s="200"/>
      <c r="H1120" s="200"/>
      <c r="I1120" s="200"/>
      <c r="J1120" s="200"/>
      <c r="K1120" s="200"/>
      <c r="L1120" s="200"/>
      <c r="M1120" s="200"/>
      <c r="N1120" s="200"/>
      <c r="O1120" s="200"/>
    </row>
    <row r="1121" spans="1:15" ht="15.75" customHeight="1" x14ac:dyDescent="0.25">
      <c r="A1121" s="192"/>
      <c r="B1121" s="192"/>
      <c r="C1121" s="200"/>
      <c r="D1121" s="200"/>
      <c r="E1121" s="200"/>
      <c r="F1121" s="200"/>
      <c r="G1121" s="200"/>
      <c r="H1121" s="200"/>
      <c r="I1121" s="200"/>
      <c r="J1121" s="200"/>
      <c r="K1121" s="200"/>
      <c r="L1121" s="200"/>
      <c r="M1121" s="200"/>
      <c r="N1121" s="200"/>
      <c r="O1121" s="200"/>
    </row>
    <row r="1122" spans="1:15" ht="15.75" customHeight="1" x14ac:dyDescent="0.25">
      <c r="A1122" s="192"/>
      <c r="B1122" s="192"/>
      <c r="C1122" s="200"/>
      <c r="D1122" s="200"/>
      <c r="E1122" s="200"/>
      <c r="F1122" s="200"/>
      <c r="G1122" s="200"/>
      <c r="H1122" s="200"/>
      <c r="I1122" s="200"/>
      <c r="J1122" s="200"/>
      <c r="K1122" s="200"/>
      <c r="L1122" s="200"/>
      <c r="M1122" s="200"/>
      <c r="N1122" s="200"/>
      <c r="O1122" s="200"/>
    </row>
    <row r="1123" spans="1:15" ht="15.75" customHeight="1" x14ac:dyDescent="0.25">
      <c r="A1123" s="192"/>
      <c r="B1123" s="192"/>
      <c r="C1123" s="200"/>
      <c r="D1123" s="200"/>
      <c r="E1123" s="200"/>
      <c r="F1123" s="200"/>
      <c r="G1123" s="200"/>
      <c r="H1123" s="200"/>
      <c r="I1123" s="200"/>
      <c r="J1123" s="200"/>
      <c r="K1123" s="200"/>
      <c r="L1123" s="200"/>
      <c r="M1123" s="200"/>
      <c r="N1123" s="200"/>
      <c r="O1123" s="200"/>
    </row>
    <row r="1124" spans="1:15" ht="15.75" customHeight="1" x14ac:dyDescent="0.25">
      <c r="A1124" s="192"/>
      <c r="B1124" s="192"/>
      <c r="C1124" s="200"/>
      <c r="D1124" s="200"/>
      <c r="E1124" s="200"/>
      <c r="F1124" s="200"/>
      <c r="G1124" s="200"/>
      <c r="H1124" s="200"/>
      <c r="I1124" s="200"/>
      <c r="J1124" s="200"/>
      <c r="K1124" s="200"/>
      <c r="L1124" s="200"/>
      <c r="M1124" s="200"/>
      <c r="N1124" s="200"/>
      <c r="O1124" s="200"/>
    </row>
    <row r="1125" spans="1:15" ht="15.75" customHeight="1" x14ac:dyDescent="0.25">
      <c r="A1125" s="192"/>
      <c r="B1125" s="192"/>
      <c r="C1125" s="200"/>
      <c r="D1125" s="200"/>
      <c r="E1125" s="200"/>
      <c r="F1125" s="200"/>
      <c r="G1125" s="200"/>
      <c r="H1125" s="200"/>
      <c r="I1125" s="200"/>
      <c r="J1125" s="200"/>
      <c r="K1125" s="200"/>
      <c r="L1125" s="200"/>
      <c r="M1125" s="200"/>
      <c r="N1125" s="200"/>
      <c r="O1125" s="200"/>
    </row>
    <row r="1126" spans="1:15" ht="15.75" customHeight="1" x14ac:dyDescent="0.25">
      <c r="A1126" s="192"/>
      <c r="B1126" s="192"/>
      <c r="C1126" s="200"/>
      <c r="D1126" s="200"/>
      <c r="E1126" s="200"/>
      <c r="F1126" s="200"/>
      <c r="G1126" s="200"/>
      <c r="H1126" s="200"/>
      <c r="I1126" s="200"/>
      <c r="J1126" s="200"/>
      <c r="K1126" s="200"/>
      <c r="L1126" s="200"/>
      <c r="M1126" s="200"/>
      <c r="N1126" s="200"/>
      <c r="O1126" s="200"/>
    </row>
    <row r="1127" spans="1:15" ht="15.75" customHeight="1" x14ac:dyDescent="0.25">
      <c r="A1127" s="192"/>
      <c r="B1127" s="192"/>
      <c r="C1127" s="200"/>
      <c r="D1127" s="200"/>
      <c r="E1127" s="200"/>
      <c r="F1127" s="200"/>
      <c r="G1127" s="200"/>
      <c r="H1127" s="200"/>
      <c r="I1127" s="200"/>
      <c r="J1127" s="200"/>
      <c r="K1127" s="200"/>
      <c r="L1127" s="200"/>
      <c r="M1127" s="200"/>
      <c r="N1127" s="200"/>
      <c r="O1127" s="200"/>
    </row>
    <row r="1128" spans="1:15" ht="15.75" customHeight="1" x14ac:dyDescent="0.25">
      <c r="A1128" s="192"/>
      <c r="B1128" s="192"/>
      <c r="C1128" s="200"/>
      <c r="D1128" s="200"/>
      <c r="E1128" s="200"/>
      <c r="F1128" s="200"/>
      <c r="G1128" s="200"/>
      <c r="H1128" s="200"/>
      <c r="I1128" s="200"/>
      <c r="J1128" s="200"/>
      <c r="K1128" s="200"/>
      <c r="L1128" s="200"/>
      <c r="M1128" s="200"/>
      <c r="N1128" s="200"/>
      <c r="O1128" s="200"/>
    </row>
    <row r="1129" spans="1:15" ht="15.75" customHeight="1" x14ac:dyDescent="0.25">
      <c r="A1129" s="192"/>
      <c r="B1129" s="192"/>
      <c r="C1129" s="200"/>
      <c r="D1129" s="200"/>
      <c r="E1129" s="200"/>
      <c r="F1129" s="200"/>
      <c r="G1129" s="200"/>
      <c r="H1129" s="200"/>
      <c r="I1129" s="200"/>
      <c r="J1129" s="200"/>
      <c r="K1129" s="200"/>
      <c r="L1129" s="200"/>
      <c r="M1129" s="200"/>
      <c r="N1129" s="200"/>
      <c r="O1129" s="200"/>
    </row>
    <row r="1130" spans="1:15" ht="15.75" customHeight="1" x14ac:dyDescent="0.25">
      <c r="A1130" s="192"/>
      <c r="B1130" s="192"/>
      <c r="C1130" s="200"/>
      <c r="D1130" s="200"/>
      <c r="E1130" s="200"/>
      <c r="F1130" s="200"/>
      <c r="G1130" s="200"/>
      <c r="H1130" s="200"/>
      <c r="I1130" s="200"/>
      <c r="J1130" s="200"/>
      <c r="K1130" s="200"/>
      <c r="L1130" s="200"/>
      <c r="M1130" s="200"/>
      <c r="N1130" s="200"/>
      <c r="O1130" s="200"/>
    </row>
    <row r="1131" spans="1:15" ht="15.75" customHeight="1" x14ac:dyDescent="0.25">
      <c r="A1131" s="192"/>
      <c r="B1131" s="192"/>
      <c r="C1131" s="200"/>
      <c r="D1131" s="200"/>
      <c r="E1131" s="200"/>
      <c r="F1131" s="200"/>
      <c r="G1131" s="200"/>
      <c r="H1131" s="200"/>
      <c r="I1131" s="200"/>
      <c r="J1131" s="200"/>
      <c r="K1131" s="200"/>
      <c r="L1131" s="200"/>
      <c r="M1131" s="200"/>
      <c r="N1131" s="200"/>
      <c r="O1131" s="200"/>
    </row>
    <row r="1132" spans="1:15" ht="15.75" customHeight="1" x14ac:dyDescent="0.25">
      <c r="A1132" s="192"/>
      <c r="B1132" s="192"/>
      <c r="C1132" s="200"/>
      <c r="D1132" s="200"/>
      <c r="E1132" s="200"/>
      <c r="F1132" s="200"/>
      <c r="G1132" s="200"/>
      <c r="H1132" s="200"/>
      <c r="I1132" s="200"/>
      <c r="J1132" s="200"/>
      <c r="K1132" s="200"/>
      <c r="L1132" s="200"/>
      <c r="M1132" s="200"/>
      <c r="N1132" s="200"/>
      <c r="O1132" s="200"/>
    </row>
    <row r="1133" spans="1:15" ht="15.75" customHeight="1" x14ac:dyDescent="0.25">
      <c r="A1133" s="192"/>
      <c r="B1133" s="192"/>
      <c r="C1133" s="200"/>
      <c r="D1133" s="200"/>
      <c r="E1133" s="200"/>
      <c r="F1133" s="200"/>
      <c r="G1133" s="200"/>
      <c r="H1133" s="200"/>
      <c r="I1133" s="200"/>
      <c r="J1133" s="200"/>
      <c r="K1133" s="200"/>
      <c r="L1133" s="200"/>
      <c r="M1133" s="200"/>
      <c r="N1133" s="200"/>
      <c r="O1133" s="200"/>
    </row>
    <row r="1134" spans="1:15" ht="15.75" customHeight="1" x14ac:dyDescent="0.25">
      <c r="A1134" s="192"/>
      <c r="B1134" s="192"/>
      <c r="C1134" s="200"/>
      <c r="D1134" s="200"/>
      <c r="E1134" s="200"/>
      <c r="F1134" s="200"/>
      <c r="G1134" s="200"/>
      <c r="H1134" s="200"/>
      <c r="I1134" s="200"/>
      <c r="J1134" s="200"/>
      <c r="K1134" s="200"/>
      <c r="L1134" s="200"/>
      <c r="M1134" s="200"/>
      <c r="N1134" s="200"/>
      <c r="O1134" s="200"/>
    </row>
    <row r="1135" spans="1:15" ht="15.75" customHeight="1" x14ac:dyDescent="0.25">
      <c r="A1135" s="192"/>
      <c r="B1135" s="192"/>
      <c r="C1135" s="200"/>
      <c r="D1135" s="200"/>
      <c r="E1135" s="200"/>
      <c r="F1135" s="200"/>
      <c r="G1135" s="200"/>
      <c r="H1135" s="200"/>
      <c r="I1135" s="200"/>
      <c r="J1135" s="200"/>
      <c r="K1135" s="200"/>
      <c r="L1135" s="200"/>
      <c r="M1135" s="200"/>
      <c r="N1135" s="200"/>
      <c r="O1135" s="200"/>
    </row>
    <row r="1136" spans="1:15" ht="15.75" customHeight="1" x14ac:dyDescent="0.25">
      <c r="A1136" s="192"/>
      <c r="B1136" s="192"/>
      <c r="C1136" s="200"/>
      <c r="D1136" s="200"/>
      <c r="E1136" s="200"/>
      <c r="F1136" s="200"/>
      <c r="G1136" s="200"/>
      <c r="H1136" s="200"/>
      <c r="I1136" s="200"/>
      <c r="J1136" s="200"/>
      <c r="K1136" s="200"/>
      <c r="L1136" s="200"/>
      <c r="M1136" s="200"/>
      <c r="N1136" s="200"/>
      <c r="O1136" s="200"/>
    </row>
    <row r="1137" spans="1:15" ht="15.75" customHeight="1" x14ac:dyDescent="0.25">
      <c r="A1137" s="192"/>
      <c r="B1137" s="192"/>
      <c r="C1137" s="200"/>
      <c r="D1137" s="200"/>
      <c r="E1137" s="200"/>
      <c r="F1137" s="200"/>
      <c r="G1137" s="200"/>
      <c r="H1137" s="200"/>
      <c r="I1137" s="200"/>
      <c r="J1137" s="200"/>
      <c r="K1137" s="200"/>
      <c r="L1137" s="200"/>
      <c r="M1137" s="200"/>
      <c r="N1137" s="200"/>
      <c r="O1137" s="200"/>
    </row>
    <row r="1138" spans="1:15" ht="15.75" customHeight="1" x14ac:dyDescent="0.25">
      <c r="A1138" s="192"/>
      <c r="B1138" s="192"/>
      <c r="C1138" s="200"/>
      <c r="D1138" s="200"/>
      <c r="E1138" s="200"/>
      <c r="F1138" s="200"/>
      <c r="G1138" s="200"/>
      <c r="H1138" s="200"/>
      <c r="I1138" s="200"/>
      <c r="J1138" s="200"/>
      <c r="K1138" s="200"/>
      <c r="L1138" s="200"/>
      <c r="M1138" s="200"/>
      <c r="N1138" s="200"/>
      <c r="O1138" s="200"/>
    </row>
    <row r="1139" spans="1:15" ht="15.75" customHeight="1" x14ac:dyDescent="0.25">
      <c r="A1139" s="192"/>
      <c r="B1139" s="192"/>
      <c r="C1139" s="200"/>
      <c r="D1139" s="200"/>
      <c r="E1139" s="200"/>
      <c r="F1139" s="200"/>
      <c r="G1139" s="200"/>
      <c r="H1139" s="200"/>
      <c r="I1139" s="200"/>
      <c r="J1139" s="200"/>
      <c r="K1139" s="200"/>
      <c r="L1139" s="200"/>
      <c r="M1139" s="200"/>
      <c r="N1139" s="200"/>
      <c r="O1139" s="200"/>
    </row>
    <row r="1140" spans="1:15" ht="15.75" customHeight="1" x14ac:dyDescent="0.25">
      <c r="A1140" s="192"/>
      <c r="B1140" s="192"/>
      <c r="C1140" s="200"/>
      <c r="D1140" s="200"/>
      <c r="E1140" s="200"/>
      <c r="F1140" s="200"/>
      <c r="G1140" s="200"/>
      <c r="H1140" s="200"/>
      <c r="I1140" s="200"/>
      <c r="J1140" s="200"/>
      <c r="K1140" s="200"/>
      <c r="L1140" s="200"/>
      <c r="M1140" s="200"/>
      <c r="N1140" s="200"/>
      <c r="O1140" s="200"/>
    </row>
    <row r="1141" spans="1:15" ht="15.75" customHeight="1" x14ac:dyDescent="0.25">
      <c r="A1141" s="192"/>
      <c r="B1141" s="192"/>
      <c r="C1141" s="200"/>
      <c r="D1141" s="200"/>
      <c r="E1141" s="200"/>
      <c r="F1141" s="200"/>
      <c r="G1141" s="200"/>
      <c r="H1141" s="200"/>
      <c r="I1141" s="200"/>
      <c r="J1141" s="200"/>
      <c r="K1141" s="200"/>
      <c r="L1141" s="200"/>
      <c r="M1141" s="200"/>
      <c r="N1141" s="200"/>
      <c r="O1141" s="200"/>
    </row>
    <row r="1142" spans="1:15" ht="15.75" customHeight="1" x14ac:dyDescent="0.25">
      <c r="A1142" s="192"/>
      <c r="B1142" s="192"/>
      <c r="C1142" s="200"/>
      <c r="D1142" s="200"/>
      <c r="E1142" s="200"/>
      <c r="F1142" s="200"/>
      <c r="G1142" s="200"/>
      <c r="H1142" s="200"/>
      <c r="I1142" s="200"/>
      <c r="J1142" s="200"/>
      <c r="K1142" s="200"/>
      <c r="L1142" s="200"/>
      <c r="M1142" s="200"/>
      <c r="N1142" s="200"/>
      <c r="O1142" s="200"/>
    </row>
    <row r="1143" spans="1:15" ht="15.75" customHeight="1" x14ac:dyDescent="0.25">
      <c r="A1143" s="192"/>
      <c r="B1143" s="192"/>
      <c r="C1143" s="200"/>
      <c r="D1143" s="200"/>
      <c r="E1143" s="200"/>
      <c r="F1143" s="200"/>
      <c r="G1143" s="200"/>
      <c r="H1143" s="200"/>
      <c r="I1143" s="200"/>
      <c r="J1143" s="200"/>
      <c r="K1143" s="200"/>
      <c r="L1143" s="200"/>
      <c r="M1143" s="200"/>
      <c r="N1143" s="200"/>
      <c r="O1143" s="200"/>
    </row>
    <row r="1144" spans="1:15" ht="15.75" customHeight="1" x14ac:dyDescent="0.25">
      <c r="A1144" s="192"/>
      <c r="B1144" s="192"/>
      <c r="C1144" s="200"/>
      <c r="D1144" s="200"/>
      <c r="E1144" s="200"/>
      <c r="F1144" s="200"/>
      <c r="G1144" s="200"/>
      <c r="H1144" s="200"/>
      <c r="I1144" s="200"/>
      <c r="J1144" s="200"/>
      <c r="K1144" s="200"/>
      <c r="L1144" s="200"/>
      <c r="M1144" s="200"/>
      <c r="N1144" s="200"/>
      <c r="O1144" s="200"/>
    </row>
    <row r="1145" spans="1:15" ht="15.75" customHeight="1" x14ac:dyDescent="0.25">
      <c r="A1145" s="192"/>
      <c r="B1145" s="192"/>
      <c r="C1145" s="200"/>
      <c r="D1145" s="200"/>
      <c r="E1145" s="200"/>
      <c r="F1145" s="200"/>
      <c r="G1145" s="200"/>
      <c r="H1145" s="200"/>
      <c r="I1145" s="200"/>
      <c r="J1145" s="200"/>
      <c r="K1145" s="200"/>
      <c r="L1145" s="200"/>
      <c r="M1145" s="200"/>
      <c r="N1145" s="200"/>
      <c r="O1145" s="200"/>
    </row>
    <row r="1146" spans="1:15" ht="15.75" customHeight="1" x14ac:dyDescent="0.25">
      <c r="A1146" s="192"/>
      <c r="B1146" s="192"/>
      <c r="C1146" s="200"/>
      <c r="D1146" s="200"/>
      <c r="E1146" s="200"/>
      <c r="F1146" s="200"/>
      <c r="G1146" s="200"/>
      <c r="H1146" s="200"/>
      <c r="I1146" s="200"/>
      <c r="J1146" s="200"/>
      <c r="K1146" s="200"/>
      <c r="L1146" s="200"/>
      <c r="M1146" s="200"/>
      <c r="N1146" s="200"/>
      <c r="O1146" s="200"/>
    </row>
    <row r="1147" spans="1:15" ht="15.75" customHeight="1" x14ac:dyDescent="0.25">
      <c r="A1147" s="192"/>
      <c r="B1147" s="192"/>
      <c r="C1147" s="200"/>
      <c r="D1147" s="200"/>
      <c r="E1147" s="200"/>
      <c r="F1147" s="200"/>
      <c r="G1147" s="200"/>
      <c r="H1147" s="200"/>
      <c r="I1147" s="200"/>
      <c r="J1147" s="200"/>
      <c r="K1147" s="200"/>
      <c r="L1147" s="200"/>
      <c r="M1147" s="200"/>
      <c r="N1147" s="200"/>
      <c r="O1147" s="200"/>
    </row>
    <row r="1148" spans="1:15" ht="15.75" customHeight="1" x14ac:dyDescent="0.25">
      <c r="A1148" s="192"/>
      <c r="B1148" s="192"/>
      <c r="C1148" s="200"/>
      <c r="D1148" s="200"/>
      <c r="E1148" s="200"/>
      <c r="F1148" s="200"/>
      <c r="G1148" s="200"/>
      <c r="H1148" s="200"/>
      <c r="I1148" s="200"/>
      <c r="J1148" s="200"/>
      <c r="K1148" s="200"/>
      <c r="L1148" s="200"/>
      <c r="M1148" s="200"/>
      <c r="N1148" s="200"/>
      <c r="O1148" s="200"/>
    </row>
    <row r="1149" spans="1:15" ht="15.75" customHeight="1" x14ac:dyDescent="0.25">
      <c r="A1149" s="192"/>
      <c r="B1149" s="192"/>
      <c r="C1149" s="200"/>
      <c r="D1149" s="200"/>
      <c r="E1149" s="200"/>
      <c r="F1149" s="200"/>
      <c r="G1149" s="200"/>
      <c r="H1149" s="200"/>
      <c r="I1149" s="200"/>
      <c r="J1149" s="200"/>
      <c r="K1149" s="200"/>
      <c r="L1149" s="200"/>
      <c r="M1149" s="200"/>
      <c r="N1149" s="200"/>
      <c r="O1149" s="200"/>
    </row>
    <row r="1150" spans="1:15" ht="15.75" customHeight="1" x14ac:dyDescent="0.25">
      <c r="A1150" s="192"/>
      <c r="B1150" s="192"/>
      <c r="C1150" s="200"/>
      <c r="D1150" s="200"/>
      <c r="E1150" s="200"/>
      <c r="F1150" s="200"/>
      <c r="G1150" s="200"/>
      <c r="H1150" s="200"/>
      <c r="I1150" s="200"/>
      <c r="J1150" s="200"/>
      <c r="K1150" s="200"/>
      <c r="L1150" s="200"/>
      <c r="M1150" s="200"/>
      <c r="N1150" s="200"/>
      <c r="O1150" s="200"/>
    </row>
    <row r="1151" spans="1:15" ht="15.75" customHeight="1" x14ac:dyDescent="0.25">
      <c r="A1151" s="192"/>
      <c r="B1151" s="192"/>
      <c r="C1151" s="200"/>
      <c r="D1151" s="200"/>
      <c r="E1151" s="200"/>
      <c r="F1151" s="200"/>
      <c r="G1151" s="200"/>
      <c r="H1151" s="200"/>
      <c r="I1151" s="200"/>
      <c r="J1151" s="200"/>
      <c r="K1151" s="200"/>
      <c r="L1151" s="200"/>
      <c r="M1151" s="200"/>
      <c r="N1151" s="200"/>
      <c r="O1151" s="200"/>
    </row>
    <row r="1152" spans="1:15" ht="15.75" customHeight="1" x14ac:dyDescent="0.25">
      <c r="A1152" s="192"/>
      <c r="B1152" s="192"/>
      <c r="C1152" s="200"/>
      <c r="D1152" s="200"/>
      <c r="E1152" s="200"/>
      <c r="F1152" s="200"/>
      <c r="G1152" s="200"/>
      <c r="H1152" s="200"/>
      <c r="I1152" s="200"/>
      <c r="J1152" s="200"/>
      <c r="K1152" s="200"/>
      <c r="L1152" s="200"/>
      <c r="M1152" s="200"/>
      <c r="N1152" s="200"/>
      <c r="O1152" s="200"/>
    </row>
    <row r="1153" spans="1:15" ht="15.75" customHeight="1" x14ac:dyDescent="0.25">
      <c r="A1153" s="192"/>
      <c r="B1153" s="192"/>
      <c r="C1153" s="200"/>
      <c r="D1153" s="200"/>
      <c r="E1153" s="200"/>
      <c r="F1153" s="200"/>
      <c r="G1153" s="200"/>
      <c r="H1153" s="200"/>
      <c r="I1153" s="200"/>
      <c r="J1153" s="200"/>
      <c r="K1153" s="200"/>
      <c r="L1153" s="200"/>
      <c r="M1153" s="200"/>
      <c r="N1153" s="200"/>
      <c r="O1153" s="200"/>
    </row>
    <row r="1154" spans="1:15" ht="15.75" customHeight="1" x14ac:dyDescent="0.25">
      <c r="A1154" s="192"/>
      <c r="B1154" s="192"/>
      <c r="C1154" s="200"/>
      <c r="D1154" s="200"/>
      <c r="E1154" s="200"/>
      <c r="F1154" s="200"/>
      <c r="G1154" s="200"/>
      <c r="H1154" s="200"/>
      <c r="I1154" s="200"/>
      <c r="J1154" s="200"/>
      <c r="K1154" s="200"/>
      <c r="L1154" s="200"/>
      <c r="M1154" s="200"/>
      <c r="N1154" s="200"/>
      <c r="O1154" s="200"/>
    </row>
    <row r="1155" spans="1:15" ht="15.75" customHeight="1" x14ac:dyDescent="0.25">
      <c r="A1155" s="192"/>
      <c r="B1155" s="192"/>
      <c r="C1155" s="200"/>
      <c r="D1155" s="200"/>
      <c r="E1155" s="200"/>
      <c r="F1155" s="200"/>
      <c r="G1155" s="200"/>
      <c r="H1155" s="200"/>
      <c r="I1155" s="200"/>
      <c r="J1155" s="200"/>
      <c r="K1155" s="200"/>
      <c r="L1155" s="200"/>
      <c r="M1155" s="200"/>
      <c r="N1155" s="200"/>
      <c r="O1155" s="200"/>
    </row>
    <row r="1156" spans="1:15" ht="15.75" customHeight="1" x14ac:dyDescent="0.25">
      <c r="A1156" s="192"/>
      <c r="B1156" s="192"/>
      <c r="C1156" s="200"/>
      <c r="D1156" s="200"/>
      <c r="E1156" s="200"/>
      <c r="F1156" s="200"/>
      <c r="G1156" s="200"/>
      <c r="H1156" s="200"/>
      <c r="I1156" s="200"/>
      <c r="J1156" s="200"/>
      <c r="K1156" s="200"/>
      <c r="L1156" s="200"/>
      <c r="M1156" s="200"/>
      <c r="N1156" s="200"/>
      <c r="O1156" s="200"/>
    </row>
    <row r="1157" spans="1:15" ht="15.75" customHeight="1" x14ac:dyDescent="0.25">
      <c r="A1157" s="192"/>
      <c r="B1157" s="192"/>
      <c r="C1157" s="200"/>
      <c r="D1157" s="200"/>
      <c r="E1157" s="200"/>
      <c r="F1157" s="200"/>
      <c r="G1157" s="200"/>
      <c r="H1157" s="200"/>
      <c r="I1157" s="200"/>
      <c r="J1157" s="200"/>
      <c r="K1157" s="200"/>
      <c r="L1157" s="200"/>
      <c r="M1157" s="200"/>
      <c r="N1157" s="200"/>
      <c r="O1157" s="200"/>
    </row>
    <row r="1158" spans="1:15" ht="15.75" customHeight="1" x14ac:dyDescent="0.25">
      <c r="A1158" s="192"/>
      <c r="B1158" s="192"/>
      <c r="C1158" s="200"/>
      <c r="D1158" s="200"/>
      <c r="E1158" s="200"/>
      <c r="F1158" s="200"/>
      <c r="G1158" s="200"/>
      <c r="H1158" s="200"/>
      <c r="I1158" s="200"/>
      <c r="J1158" s="200"/>
      <c r="K1158" s="200"/>
      <c r="L1158" s="200"/>
      <c r="M1158" s="200"/>
      <c r="N1158" s="200"/>
      <c r="O1158" s="200"/>
    </row>
    <row r="1159" spans="1:15" ht="15.75" customHeight="1" x14ac:dyDescent="0.25">
      <c r="A1159" s="192"/>
      <c r="B1159" s="192"/>
      <c r="C1159" s="200"/>
      <c r="D1159" s="200"/>
      <c r="E1159" s="200"/>
      <c r="F1159" s="200"/>
      <c r="G1159" s="200"/>
      <c r="H1159" s="200"/>
      <c r="I1159" s="200"/>
      <c r="J1159" s="200"/>
      <c r="K1159" s="200"/>
      <c r="L1159" s="200"/>
      <c r="M1159" s="200"/>
      <c r="N1159" s="200"/>
      <c r="O1159" s="200"/>
    </row>
    <row r="1160" spans="1:15" ht="15.75" customHeight="1" x14ac:dyDescent="0.25">
      <c r="A1160" s="192"/>
      <c r="B1160" s="192"/>
      <c r="C1160" s="200"/>
      <c r="D1160" s="200"/>
      <c r="E1160" s="200"/>
      <c r="F1160" s="200"/>
      <c r="G1160" s="200"/>
      <c r="H1160" s="200"/>
      <c r="I1160" s="200"/>
      <c r="J1160" s="200"/>
      <c r="K1160" s="200"/>
      <c r="L1160" s="200"/>
      <c r="M1160" s="200"/>
      <c r="N1160" s="200"/>
      <c r="O1160" s="200"/>
    </row>
    <row r="1161" spans="1:15" ht="15.75" customHeight="1" x14ac:dyDescent="0.25">
      <c r="A1161" s="192"/>
      <c r="B1161" s="192"/>
      <c r="C1161" s="200"/>
      <c r="D1161" s="200"/>
      <c r="E1161" s="200"/>
      <c r="F1161" s="200"/>
      <c r="G1161" s="200"/>
      <c r="H1161" s="200"/>
      <c r="I1161" s="200"/>
      <c r="J1161" s="200"/>
      <c r="K1161" s="200"/>
      <c r="L1161" s="200"/>
      <c r="M1161" s="200"/>
      <c r="N1161" s="200"/>
      <c r="O1161" s="200"/>
    </row>
    <row r="1162" spans="1:15" ht="15.75" customHeight="1" x14ac:dyDescent="0.25">
      <c r="A1162" s="192"/>
      <c r="B1162" s="192"/>
      <c r="C1162" s="200"/>
      <c r="D1162" s="200"/>
      <c r="E1162" s="200"/>
      <c r="F1162" s="200"/>
      <c r="G1162" s="200"/>
      <c r="H1162" s="200"/>
      <c r="I1162" s="200"/>
      <c r="J1162" s="200"/>
      <c r="K1162" s="200"/>
      <c r="L1162" s="200"/>
      <c r="M1162" s="200"/>
      <c r="N1162" s="200"/>
      <c r="O1162" s="200"/>
    </row>
    <row r="1163" spans="1:15" ht="15.75" customHeight="1" x14ac:dyDescent="0.25">
      <c r="A1163" s="192"/>
      <c r="B1163" s="192"/>
      <c r="C1163" s="200"/>
      <c r="D1163" s="200"/>
      <c r="E1163" s="200"/>
      <c r="F1163" s="200"/>
      <c r="G1163" s="200"/>
      <c r="H1163" s="200"/>
      <c r="I1163" s="200"/>
      <c r="J1163" s="200"/>
      <c r="K1163" s="200"/>
      <c r="L1163" s="200"/>
      <c r="M1163" s="200"/>
      <c r="N1163" s="200"/>
      <c r="O1163" s="200"/>
    </row>
    <row r="1164" spans="1:15" ht="15.75" customHeight="1" x14ac:dyDescent="0.25">
      <c r="A1164" s="192"/>
      <c r="B1164" s="192"/>
      <c r="C1164" s="200"/>
      <c r="D1164" s="200"/>
      <c r="E1164" s="200"/>
      <c r="F1164" s="200"/>
      <c r="G1164" s="200"/>
      <c r="H1164" s="200"/>
      <c r="I1164" s="200"/>
      <c r="J1164" s="200"/>
      <c r="K1164" s="200"/>
      <c r="L1164" s="200"/>
      <c r="M1164" s="200"/>
      <c r="N1164" s="200"/>
      <c r="O1164" s="200"/>
    </row>
    <row r="1165" spans="1:15" x14ac:dyDescent="0.25">
      <c r="A1165" s="194"/>
      <c r="B1165" s="194"/>
      <c r="C1165" s="201"/>
      <c r="D1165" s="201"/>
      <c r="E1165" s="201"/>
      <c r="F1165" s="201"/>
      <c r="G1165" s="201"/>
      <c r="H1165" s="201"/>
      <c r="I1165" s="201"/>
      <c r="J1165" s="201"/>
      <c r="K1165" s="201"/>
      <c r="L1165" s="201"/>
      <c r="M1165" s="201"/>
      <c r="N1165" s="201"/>
      <c r="O1165" s="201"/>
    </row>
    <row r="1166" spans="1:15" x14ac:dyDescent="0.25">
      <c r="A1166" s="194"/>
      <c r="B1166" s="194"/>
      <c r="C1166" s="201"/>
      <c r="D1166" s="201"/>
      <c r="E1166" s="201"/>
      <c r="F1166" s="201"/>
      <c r="G1166" s="201"/>
      <c r="H1166" s="201"/>
      <c r="I1166" s="201"/>
      <c r="J1166" s="201"/>
      <c r="K1166" s="201"/>
      <c r="L1166" s="201"/>
      <c r="M1166" s="201"/>
      <c r="N1166" s="201"/>
      <c r="O1166" s="201"/>
    </row>
    <row r="1167" spans="1:15" x14ac:dyDescent="0.25">
      <c r="A1167" s="194"/>
      <c r="B1167" s="194"/>
      <c r="C1167" s="201"/>
      <c r="D1167" s="201"/>
      <c r="E1167" s="201"/>
      <c r="F1167" s="201"/>
      <c r="G1167" s="201"/>
      <c r="H1167" s="201"/>
      <c r="I1167" s="201"/>
      <c r="J1167" s="201"/>
      <c r="K1167" s="201"/>
      <c r="L1167" s="201"/>
      <c r="M1167" s="201"/>
      <c r="N1167" s="201"/>
      <c r="O1167" s="201"/>
    </row>
    <row r="1168" spans="1:15" x14ac:dyDescent="0.25">
      <c r="A1168" s="194"/>
      <c r="B1168" s="194"/>
      <c r="C1168" s="201"/>
      <c r="D1168" s="201"/>
      <c r="E1168" s="201"/>
      <c r="F1168" s="201"/>
      <c r="G1168" s="201"/>
      <c r="H1168" s="201"/>
      <c r="I1168" s="201"/>
      <c r="J1168" s="201"/>
      <c r="K1168" s="201"/>
      <c r="L1168" s="201"/>
      <c r="M1168" s="201"/>
      <c r="N1168" s="201"/>
      <c r="O1168" s="201"/>
    </row>
    <row r="1169" spans="1:15" x14ac:dyDescent="0.25">
      <c r="A1169" s="194"/>
      <c r="B1169" s="194"/>
      <c r="C1169" s="201"/>
      <c r="D1169" s="201"/>
      <c r="E1169" s="201"/>
      <c r="F1169" s="201"/>
      <c r="G1169" s="201"/>
      <c r="H1169" s="201"/>
      <c r="I1169" s="201"/>
      <c r="J1169" s="201"/>
      <c r="K1169" s="201"/>
      <c r="L1169" s="201"/>
      <c r="M1169" s="201"/>
      <c r="N1169" s="201"/>
      <c r="O1169" s="201"/>
    </row>
    <row r="1170" spans="1:15" x14ac:dyDescent="0.25">
      <c r="A1170" s="194"/>
      <c r="B1170" s="194"/>
      <c r="C1170" s="201"/>
      <c r="D1170" s="201"/>
      <c r="E1170" s="201"/>
      <c r="F1170" s="201"/>
      <c r="G1170" s="201"/>
      <c r="H1170" s="201"/>
      <c r="I1170" s="201"/>
      <c r="J1170" s="201"/>
      <c r="K1170" s="201"/>
      <c r="L1170" s="201"/>
      <c r="M1170" s="201"/>
      <c r="N1170" s="201"/>
      <c r="O1170" s="201"/>
    </row>
    <row r="1171" spans="1:15" x14ac:dyDescent="0.25">
      <c r="A1171" s="194"/>
      <c r="B1171" s="194"/>
      <c r="C1171" s="201"/>
      <c r="D1171" s="201"/>
      <c r="E1171" s="201"/>
      <c r="F1171" s="201"/>
      <c r="G1171" s="201"/>
      <c r="H1171" s="201"/>
      <c r="I1171" s="201"/>
      <c r="J1171" s="201"/>
      <c r="K1171" s="201"/>
      <c r="L1171" s="201"/>
      <c r="M1171" s="201"/>
      <c r="N1171" s="201"/>
      <c r="O1171" s="201"/>
    </row>
    <row r="1172" spans="1:15" x14ac:dyDescent="0.25">
      <c r="A1172" s="194"/>
      <c r="B1172" s="194"/>
      <c r="C1172" s="201"/>
      <c r="D1172" s="201"/>
      <c r="E1172" s="201"/>
      <c r="F1172" s="201"/>
      <c r="G1172" s="201"/>
      <c r="H1172" s="201"/>
      <c r="I1172" s="201"/>
      <c r="J1172" s="201"/>
      <c r="K1172" s="201"/>
      <c r="L1172" s="201"/>
      <c r="M1172" s="201"/>
      <c r="N1172" s="201"/>
      <c r="O1172" s="201"/>
    </row>
    <row r="1173" spans="1:15" x14ac:dyDescent="0.25">
      <c r="A1173" s="194"/>
      <c r="B1173" s="194"/>
      <c r="C1173" s="201"/>
      <c r="D1173" s="201"/>
      <c r="E1173" s="201"/>
      <c r="F1173" s="201"/>
      <c r="G1173" s="201"/>
      <c r="H1173" s="201"/>
      <c r="I1173" s="201"/>
      <c r="J1173" s="201"/>
      <c r="K1173" s="201"/>
      <c r="L1173" s="201"/>
      <c r="M1173" s="201"/>
      <c r="N1173" s="201"/>
      <c r="O1173" s="201"/>
    </row>
    <row r="1174" spans="1:15" x14ac:dyDescent="0.25">
      <c r="A1174" s="194"/>
      <c r="B1174" s="194"/>
      <c r="C1174" s="201"/>
      <c r="D1174" s="201"/>
      <c r="E1174" s="201"/>
      <c r="F1174" s="201"/>
      <c r="G1174" s="201"/>
      <c r="H1174" s="201"/>
      <c r="I1174" s="201"/>
      <c r="J1174" s="201"/>
      <c r="K1174" s="201"/>
      <c r="L1174" s="201"/>
      <c r="M1174" s="201"/>
      <c r="N1174" s="201"/>
      <c r="O1174" s="201"/>
    </row>
    <row r="1175" spans="1:15" x14ac:dyDescent="0.25">
      <c r="A1175" s="194"/>
      <c r="B1175" s="194"/>
      <c r="C1175" s="201"/>
      <c r="D1175" s="201"/>
      <c r="E1175" s="201"/>
      <c r="F1175" s="201"/>
      <c r="G1175" s="201"/>
      <c r="H1175" s="201"/>
      <c r="I1175" s="201"/>
      <c r="J1175" s="201"/>
      <c r="K1175" s="201"/>
      <c r="L1175" s="201"/>
      <c r="M1175" s="201"/>
      <c r="N1175" s="201"/>
      <c r="O1175" s="201"/>
    </row>
    <row r="1176" spans="1:15" x14ac:dyDescent="0.25">
      <c r="A1176" s="194"/>
      <c r="B1176" s="194"/>
      <c r="C1176" s="201"/>
      <c r="D1176" s="201"/>
      <c r="E1176" s="201"/>
      <c r="F1176" s="201"/>
      <c r="G1176" s="201"/>
      <c r="H1176" s="201"/>
      <c r="I1176" s="201"/>
      <c r="J1176" s="201"/>
      <c r="K1176" s="201"/>
      <c r="L1176" s="201"/>
      <c r="M1176" s="201"/>
      <c r="N1176" s="201"/>
      <c r="O1176" s="201"/>
    </row>
    <row r="1177" spans="1:15" x14ac:dyDescent="0.25">
      <c r="A1177" s="194"/>
      <c r="B1177" s="194"/>
      <c r="C1177" s="201"/>
      <c r="D1177" s="201"/>
      <c r="E1177" s="201"/>
      <c r="F1177" s="201"/>
      <c r="G1177" s="201"/>
      <c r="H1177" s="201"/>
      <c r="I1177" s="201"/>
      <c r="J1177" s="201"/>
      <c r="K1177" s="201"/>
      <c r="L1177" s="201"/>
      <c r="M1177" s="201"/>
      <c r="N1177" s="201"/>
      <c r="O1177" s="201"/>
    </row>
    <row r="1178" spans="1:15" x14ac:dyDescent="0.25">
      <c r="A1178" s="194"/>
      <c r="B1178" s="194"/>
      <c r="C1178" s="201"/>
      <c r="D1178" s="201"/>
      <c r="E1178" s="201"/>
      <c r="F1178" s="201"/>
      <c r="G1178" s="201"/>
      <c r="H1178" s="201"/>
      <c r="I1178" s="201"/>
      <c r="J1178" s="201"/>
      <c r="K1178" s="201"/>
      <c r="L1178" s="201"/>
      <c r="M1178" s="201"/>
      <c r="N1178" s="201"/>
      <c r="O1178" s="201"/>
    </row>
    <row r="1179" spans="1:15" x14ac:dyDescent="0.25">
      <c r="A1179" s="194"/>
      <c r="B1179" s="194"/>
      <c r="C1179" s="201"/>
      <c r="D1179" s="201"/>
      <c r="E1179" s="201"/>
      <c r="F1179" s="201"/>
      <c r="G1179" s="201"/>
      <c r="H1179" s="201"/>
      <c r="I1179" s="201"/>
      <c r="J1179" s="201"/>
      <c r="K1179" s="201"/>
      <c r="L1179" s="201"/>
      <c r="M1179" s="201"/>
      <c r="N1179" s="201"/>
      <c r="O1179" s="201"/>
    </row>
    <row r="1180" spans="1:15" x14ac:dyDescent="0.25">
      <c r="A1180" s="194"/>
      <c r="B1180" s="194"/>
      <c r="C1180" s="201"/>
      <c r="D1180" s="201"/>
      <c r="E1180" s="201"/>
      <c r="F1180" s="201"/>
      <c r="G1180" s="201"/>
      <c r="H1180" s="201"/>
      <c r="I1180" s="201"/>
      <c r="J1180" s="201"/>
      <c r="K1180" s="201"/>
      <c r="L1180" s="201"/>
      <c r="M1180" s="201"/>
      <c r="N1180" s="201"/>
      <c r="O1180" s="201"/>
    </row>
    <row r="1181" spans="1:15" x14ac:dyDescent="0.25">
      <c r="A1181" s="194"/>
      <c r="B1181" s="194"/>
      <c r="C1181" s="201"/>
      <c r="D1181" s="201"/>
      <c r="E1181" s="201"/>
      <c r="F1181" s="201"/>
      <c r="G1181" s="201"/>
      <c r="H1181" s="201"/>
      <c r="I1181" s="201"/>
      <c r="J1181" s="201"/>
      <c r="K1181" s="201"/>
      <c r="L1181" s="201"/>
      <c r="M1181" s="201"/>
      <c r="N1181" s="201"/>
      <c r="O1181" s="201"/>
    </row>
    <row r="1182" spans="1:15" x14ac:dyDescent="0.25">
      <c r="A1182" s="194"/>
      <c r="B1182" s="194"/>
      <c r="C1182" s="201"/>
      <c r="D1182" s="201"/>
      <c r="E1182" s="201"/>
      <c r="F1182" s="201"/>
      <c r="G1182" s="201"/>
      <c r="H1182" s="201"/>
      <c r="I1182" s="201"/>
      <c r="J1182" s="201"/>
      <c r="K1182" s="201"/>
      <c r="L1182" s="201"/>
      <c r="M1182" s="201"/>
      <c r="N1182" s="201"/>
      <c r="O1182" s="201"/>
    </row>
    <row r="1183" spans="1:15" x14ac:dyDescent="0.25">
      <c r="A1183" s="194"/>
      <c r="B1183" s="194"/>
      <c r="C1183" s="201"/>
      <c r="D1183" s="201"/>
      <c r="E1183" s="201"/>
      <c r="F1183" s="201"/>
      <c r="G1183" s="201"/>
      <c r="H1183" s="201"/>
      <c r="I1183" s="201"/>
      <c r="J1183" s="201"/>
      <c r="K1183" s="201"/>
      <c r="L1183" s="201"/>
      <c r="M1183" s="201"/>
      <c r="N1183" s="201"/>
      <c r="O1183" s="201"/>
    </row>
    <row r="1184" spans="1:15" x14ac:dyDescent="0.25">
      <c r="A1184" s="194"/>
      <c r="B1184" s="194"/>
      <c r="C1184" s="201"/>
      <c r="D1184" s="201"/>
      <c r="E1184" s="201"/>
      <c r="F1184" s="201"/>
      <c r="G1184" s="201"/>
      <c r="H1184" s="201"/>
      <c r="I1184" s="201"/>
      <c r="J1184" s="201"/>
      <c r="K1184" s="201"/>
      <c r="L1184" s="201"/>
      <c r="M1184" s="201"/>
      <c r="N1184" s="201"/>
      <c r="O1184" s="201"/>
    </row>
    <row r="1185" spans="1:15" x14ac:dyDescent="0.25">
      <c r="A1185" s="194"/>
      <c r="B1185" s="194"/>
      <c r="C1185" s="201"/>
      <c r="D1185" s="201"/>
      <c r="E1185" s="201"/>
      <c r="F1185" s="201"/>
      <c r="G1185" s="201"/>
      <c r="H1185" s="201"/>
      <c r="I1185" s="201"/>
      <c r="J1185" s="201"/>
      <c r="K1185" s="201"/>
      <c r="L1185" s="201"/>
      <c r="M1185" s="201"/>
      <c r="N1185" s="201"/>
      <c r="O1185" s="201"/>
    </row>
    <row r="1186" spans="1:15" x14ac:dyDescent="0.25">
      <c r="A1186" s="194"/>
      <c r="B1186" s="194"/>
      <c r="C1186" s="201"/>
      <c r="D1186" s="201"/>
      <c r="E1186" s="201"/>
      <c r="F1186" s="201"/>
      <c r="G1186" s="201"/>
      <c r="H1186" s="201"/>
      <c r="I1186" s="201"/>
      <c r="J1186" s="201"/>
      <c r="K1186" s="201"/>
      <c r="L1186" s="201"/>
      <c r="M1186" s="201"/>
      <c r="N1186" s="201"/>
      <c r="O1186" s="201"/>
    </row>
    <row r="1187" spans="1:15" x14ac:dyDescent="0.25">
      <c r="A1187" s="194"/>
      <c r="B1187" s="194"/>
      <c r="C1187" s="201"/>
      <c r="D1187" s="201"/>
      <c r="E1187" s="201"/>
      <c r="F1187" s="201"/>
      <c r="G1187" s="201"/>
      <c r="H1187" s="201"/>
      <c r="I1187" s="201"/>
      <c r="J1187" s="201"/>
      <c r="K1187" s="201"/>
      <c r="L1187" s="201"/>
      <c r="M1187" s="201"/>
      <c r="N1187" s="201"/>
      <c r="O1187" s="201"/>
    </row>
    <row r="1188" spans="1:15" x14ac:dyDescent="0.25">
      <c r="A1188" s="194"/>
      <c r="B1188" s="194"/>
      <c r="C1188" s="201"/>
      <c r="D1188" s="201"/>
      <c r="E1188" s="201"/>
      <c r="F1188" s="201"/>
      <c r="G1188" s="201"/>
      <c r="H1188" s="201"/>
      <c r="I1188" s="201"/>
      <c r="J1188" s="201"/>
      <c r="K1188" s="201"/>
      <c r="L1188" s="201"/>
      <c r="M1188" s="201"/>
      <c r="N1188" s="201"/>
      <c r="O1188" s="201"/>
    </row>
    <row r="1189" spans="1:15" x14ac:dyDescent="0.25">
      <c r="A1189" s="194"/>
      <c r="B1189" s="194"/>
      <c r="C1189" s="201"/>
      <c r="D1189" s="201"/>
      <c r="E1189" s="201"/>
      <c r="F1189" s="201"/>
      <c r="G1189" s="201"/>
      <c r="H1189" s="201"/>
      <c r="I1189" s="201"/>
      <c r="J1189" s="201"/>
      <c r="K1189" s="201"/>
      <c r="L1189" s="201"/>
      <c r="M1189" s="201"/>
      <c r="N1189" s="201"/>
      <c r="O1189" s="201"/>
    </row>
    <row r="1190" spans="1:15" x14ac:dyDescent="0.25">
      <c r="A1190" s="194"/>
      <c r="B1190" s="194"/>
      <c r="C1190" s="201"/>
      <c r="D1190" s="201"/>
      <c r="E1190" s="201"/>
      <c r="F1190" s="201"/>
      <c r="G1190" s="201"/>
      <c r="H1190" s="201"/>
      <c r="I1190" s="201"/>
      <c r="J1190" s="201"/>
      <c r="K1190" s="201"/>
      <c r="L1190" s="201"/>
      <c r="M1190" s="201"/>
      <c r="N1190" s="201"/>
      <c r="O1190" s="201"/>
    </row>
    <row r="1191" spans="1:15" x14ac:dyDescent="0.25">
      <c r="A1191" s="194"/>
      <c r="B1191" s="194"/>
      <c r="C1191" s="201"/>
      <c r="D1191" s="201"/>
      <c r="E1191" s="201"/>
      <c r="F1191" s="201"/>
      <c r="G1191" s="201"/>
      <c r="H1191" s="201"/>
      <c r="I1191" s="201"/>
      <c r="J1191" s="201"/>
      <c r="K1191" s="201"/>
      <c r="L1191" s="201"/>
      <c r="M1191" s="201"/>
      <c r="N1191" s="201"/>
      <c r="O1191" s="201"/>
    </row>
    <row r="1192" spans="1:15" x14ac:dyDescent="0.25">
      <c r="A1192" s="194"/>
      <c r="B1192" s="194"/>
      <c r="C1192" s="201"/>
      <c r="D1192" s="201"/>
      <c r="E1192" s="201"/>
      <c r="F1192" s="201"/>
      <c r="G1192" s="201"/>
      <c r="H1192" s="201"/>
      <c r="I1192" s="201"/>
      <c r="J1192" s="201"/>
      <c r="K1192" s="201"/>
      <c r="L1192" s="201"/>
      <c r="M1192" s="201"/>
      <c r="N1192" s="201"/>
      <c r="O1192" s="201"/>
    </row>
    <row r="1193" spans="1:15" x14ac:dyDescent="0.25">
      <c r="A1193" s="194"/>
      <c r="B1193" s="194"/>
      <c r="C1193" s="201"/>
      <c r="D1193" s="201"/>
      <c r="E1193" s="201"/>
      <c r="F1193" s="201"/>
      <c r="G1193" s="201"/>
      <c r="H1193" s="201"/>
      <c r="I1193" s="201"/>
      <c r="J1193" s="201"/>
      <c r="K1193" s="201"/>
      <c r="L1193" s="201"/>
      <c r="M1193" s="201"/>
      <c r="N1193" s="201"/>
      <c r="O1193" s="201"/>
    </row>
    <row r="1194" spans="1:15" x14ac:dyDescent="0.25">
      <c r="A1194" s="194"/>
      <c r="B1194" s="194"/>
      <c r="C1194" s="201"/>
      <c r="D1194" s="201"/>
      <c r="E1194" s="201"/>
      <c r="F1194" s="201"/>
      <c r="G1194" s="201"/>
      <c r="H1194" s="201"/>
      <c r="I1194" s="201"/>
      <c r="J1194" s="201"/>
      <c r="K1194" s="201"/>
      <c r="L1194" s="201"/>
      <c r="M1194" s="201"/>
      <c r="N1194" s="201"/>
      <c r="O1194" s="201"/>
    </row>
    <row r="1195" spans="1:15" x14ac:dyDescent="0.25">
      <c r="A1195" s="194"/>
      <c r="B1195" s="194"/>
      <c r="C1195" s="201"/>
      <c r="D1195" s="201"/>
      <c r="E1195" s="201"/>
      <c r="F1195" s="201"/>
      <c r="G1195" s="201"/>
      <c r="H1195" s="201"/>
      <c r="I1195" s="201"/>
      <c r="J1195" s="201"/>
      <c r="K1195" s="201"/>
      <c r="L1195" s="201"/>
      <c r="M1195" s="201"/>
      <c r="N1195" s="201"/>
      <c r="O1195" s="201"/>
    </row>
    <row r="1196" spans="1:15" x14ac:dyDescent="0.25">
      <c r="A1196" s="194"/>
      <c r="B1196" s="194"/>
      <c r="C1196" s="201"/>
      <c r="D1196" s="201"/>
      <c r="E1196" s="201"/>
      <c r="F1196" s="201"/>
      <c r="G1196" s="201"/>
      <c r="H1196" s="201"/>
      <c r="I1196" s="201"/>
      <c r="J1196" s="201"/>
      <c r="K1196" s="201"/>
      <c r="L1196" s="201"/>
      <c r="M1196" s="201"/>
      <c r="N1196" s="201"/>
      <c r="O1196" s="201"/>
    </row>
    <row r="1197" spans="1:15" x14ac:dyDescent="0.25">
      <c r="A1197" s="194"/>
      <c r="B1197" s="194"/>
      <c r="C1197" s="201"/>
      <c r="D1197" s="201"/>
      <c r="E1197" s="201"/>
      <c r="F1197" s="201"/>
      <c r="G1197" s="201"/>
      <c r="H1197" s="201"/>
      <c r="I1197" s="201"/>
      <c r="J1197" s="201"/>
      <c r="K1197" s="201"/>
      <c r="L1197" s="201"/>
      <c r="M1197" s="201"/>
      <c r="N1197" s="201"/>
      <c r="O1197" s="201"/>
    </row>
    <row r="1198" spans="1:15" x14ac:dyDescent="0.25">
      <c r="A1198" s="194"/>
      <c r="B1198" s="194"/>
      <c r="C1198" s="201"/>
      <c r="D1198" s="201"/>
      <c r="E1198" s="201"/>
      <c r="F1198" s="201"/>
      <c r="G1198" s="201"/>
      <c r="H1198" s="201"/>
      <c r="I1198" s="201"/>
      <c r="J1198" s="201"/>
      <c r="K1198" s="201"/>
      <c r="L1198" s="201"/>
      <c r="M1198" s="201"/>
      <c r="N1198" s="201"/>
      <c r="O1198" s="201"/>
    </row>
    <row r="1199" spans="1:15" x14ac:dyDescent="0.25">
      <c r="A1199" s="194"/>
      <c r="B1199" s="194"/>
      <c r="C1199" s="201"/>
      <c r="D1199" s="201"/>
      <c r="E1199" s="201"/>
      <c r="F1199" s="201"/>
      <c r="G1199" s="201"/>
      <c r="H1199" s="201"/>
      <c r="I1199" s="201"/>
      <c r="J1199" s="201"/>
      <c r="K1199" s="201"/>
      <c r="L1199" s="201"/>
      <c r="M1199" s="201"/>
      <c r="N1199" s="201"/>
      <c r="O1199" s="201"/>
    </row>
    <row r="1200" spans="1:15" x14ac:dyDescent="0.25">
      <c r="A1200" s="194"/>
      <c r="B1200" s="194"/>
      <c r="C1200" s="201"/>
      <c r="D1200" s="201"/>
      <c r="E1200" s="201"/>
      <c r="F1200" s="201"/>
      <c r="G1200" s="201"/>
      <c r="H1200" s="201"/>
      <c r="I1200" s="201"/>
      <c r="J1200" s="201"/>
      <c r="K1200" s="201"/>
      <c r="L1200" s="201"/>
      <c r="M1200" s="201"/>
      <c r="N1200" s="201"/>
      <c r="O1200" s="201"/>
    </row>
    <row r="1201" spans="1:15" x14ac:dyDescent="0.25">
      <c r="A1201" s="194"/>
      <c r="B1201" s="194"/>
      <c r="C1201" s="201"/>
      <c r="D1201" s="201"/>
      <c r="E1201" s="201"/>
      <c r="F1201" s="201"/>
      <c r="G1201" s="201"/>
      <c r="H1201" s="201"/>
      <c r="I1201" s="201"/>
      <c r="J1201" s="201"/>
      <c r="K1201" s="201"/>
      <c r="L1201" s="201"/>
      <c r="M1201" s="201"/>
      <c r="N1201" s="201"/>
      <c r="O1201" s="201"/>
    </row>
    <row r="1202" spans="1:15" x14ac:dyDescent="0.25">
      <c r="A1202" s="194"/>
      <c r="B1202" s="194"/>
      <c r="C1202" s="201"/>
      <c r="D1202" s="201"/>
      <c r="E1202" s="201"/>
      <c r="F1202" s="201"/>
      <c r="G1202" s="201"/>
      <c r="H1202" s="201"/>
      <c r="I1202" s="201"/>
      <c r="J1202" s="201"/>
      <c r="K1202" s="201"/>
      <c r="L1202" s="201"/>
      <c r="M1202" s="201"/>
      <c r="N1202" s="201"/>
      <c r="O1202" s="201"/>
    </row>
    <row r="1203" spans="1:15" x14ac:dyDescent="0.25">
      <c r="A1203" s="194"/>
      <c r="B1203" s="194"/>
      <c r="C1203" s="201"/>
      <c r="D1203" s="201"/>
      <c r="E1203" s="201"/>
      <c r="F1203" s="201"/>
      <c r="G1203" s="201"/>
      <c r="H1203" s="201"/>
      <c r="I1203" s="201"/>
      <c r="J1203" s="201"/>
      <c r="K1203" s="201"/>
      <c r="L1203" s="201"/>
      <c r="M1203" s="201"/>
      <c r="N1203" s="201"/>
      <c r="O1203" s="201"/>
    </row>
    <row r="1204" spans="1:15" x14ac:dyDescent="0.25">
      <c r="A1204" s="194"/>
      <c r="B1204" s="194"/>
      <c r="C1204" s="201"/>
      <c r="D1204" s="201"/>
      <c r="E1204" s="201"/>
      <c r="F1204" s="201"/>
      <c r="G1204" s="201"/>
      <c r="H1204" s="201"/>
      <c r="I1204" s="201"/>
      <c r="J1204" s="201"/>
      <c r="K1204" s="201"/>
      <c r="L1204" s="201"/>
      <c r="M1204" s="201"/>
      <c r="N1204" s="201"/>
      <c r="O1204" s="201"/>
    </row>
    <row r="1205" spans="1:15" x14ac:dyDescent="0.25">
      <c r="A1205" s="194"/>
      <c r="B1205" s="194"/>
      <c r="C1205" s="201"/>
      <c r="D1205" s="201"/>
      <c r="E1205" s="201"/>
      <c r="F1205" s="201"/>
      <c r="G1205" s="201"/>
      <c r="H1205" s="201"/>
      <c r="I1205" s="201"/>
      <c r="J1205" s="201"/>
      <c r="K1205" s="201"/>
      <c r="L1205" s="201"/>
      <c r="M1205" s="201"/>
      <c r="N1205" s="201"/>
      <c r="O1205" s="201"/>
    </row>
    <row r="1206" spans="1:15" x14ac:dyDescent="0.25">
      <c r="A1206" s="194"/>
      <c r="B1206" s="194"/>
      <c r="C1206" s="201"/>
      <c r="D1206" s="201"/>
      <c r="E1206" s="201"/>
      <c r="F1206" s="201"/>
      <c r="G1206" s="201"/>
      <c r="H1206" s="201"/>
      <c r="I1206" s="201"/>
      <c r="J1206" s="201"/>
      <c r="K1206" s="201"/>
      <c r="L1206" s="201"/>
      <c r="M1206" s="201"/>
      <c r="N1206" s="201"/>
      <c r="O1206" s="201"/>
    </row>
    <row r="1207" spans="1:15" x14ac:dyDescent="0.25">
      <c r="A1207" s="194"/>
      <c r="B1207" s="194"/>
      <c r="C1207" s="201"/>
      <c r="D1207" s="201"/>
      <c r="E1207" s="201"/>
      <c r="F1207" s="201"/>
      <c r="G1207" s="201"/>
      <c r="H1207" s="201"/>
      <c r="I1207" s="201"/>
      <c r="J1207" s="201"/>
      <c r="K1207" s="201"/>
      <c r="L1207" s="201"/>
      <c r="M1207" s="201"/>
      <c r="N1207" s="201"/>
      <c r="O1207" s="201"/>
    </row>
    <row r="1208" spans="1:15" x14ac:dyDescent="0.25">
      <c r="A1208" s="194"/>
      <c r="B1208" s="194"/>
      <c r="C1208" s="201"/>
      <c r="D1208" s="201"/>
      <c r="E1208" s="201"/>
      <c r="F1208" s="201"/>
      <c r="G1208" s="201"/>
      <c r="H1208" s="201"/>
      <c r="I1208" s="201"/>
      <c r="J1208" s="201"/>
      <c r="K1208" s="201"/>
      <c r="L1208" s="201"/>
      <c r="M1208" s="201"/>
      <c r="N1208" s="201"/>
      <c r="O1208" s="201"/>
    </row>
    <row r="1209" spans="1:15" x14ac:dyDescent="0.25">
      <c r="A1209" s="194"/>
      <c r="B1209" s="194"/>
      <c r="C1209" s="201"/>
      <c r="D1209" s="201"/>
      <c r="E1209" s="201"/>
      <c r="F1209" s="201"/>
      <c r="G1209" s="201"/>
      <c r="H1209" s="201"/>
      <c r="I1209" s="201"/>
      <c r="J1209" s="201"/>
      <c r="K1209" s="201"/>
      <c r="L1209" s="201"/>
      <c r="M1209" s="201"/>
      <c r="N1209" s="201"/>
      <c r="O1209" s="201"/>
    </row>
    <row r="1210" spans="1:15" x14ac:dyDescent="0.25">
      <c r="A1210" s="194"/>
      <c r="B1210" s="194"/>
      <c r="C1210" s="201"/>
      <c r="D1210" s="201"/>
      <c r="E1210" s="201"/>
      <c r="F1210" s="201"/>
      <c r="G1210" s="201"/>
      <c r="H1210" s="201"/>
      <c r="I1210" s="201"/>
      <c r="J1210" s="201"/>
      <c r="K1210" s="201"/>
      <c r="L1210" s="201"/>
      <c r="M1210" s="201"/>
      <c r="N1210" s="201"/>
      <c r="O1210" s="201"/>
    </row>
    <row r="1211" spans="1:15" x14ac:dyDescent="0.25">
      <c r="A1211" s="194"/>
      <c r="B1211" s="194"/>
      <c r="C1211" s="201"/>
      <c r="D1211" s="201"/>
      <c r="E1211" s="201"/>
      <c r="F1211" s="201"/>
      <c r="G1211" s="201"/>
      <c r="H1211" s="201"/>
      <c r="I1211" s="201"/>
      <c r="J1211" s="201"/>
      <c r="K1211" s="201"/>
      <c r="L1211" s="201"/>
      <c r="M1211" s="201"/>
      <c r="N1211" s="201"/>
      <c r="O1211" s="201"/>
    </row>
    <row r="1212" spans="1:15" x14ac:dyDescent="0.25">
      <c r="A1212" s="194"/>
      <c r="B1212" s="194"/>
      <c r="C1212" s="201"/>
      <c r="D1212" s="201"/>
      <c r="E1212" s="201"/>
      <c r="F1212" s="201"/>
      <c r="G1212" s="201"/>
      <c r="H1212" s="201"/>
      <c r="I1212" s="201"/>
      <c r="J1212" s="201"/>
      <c r="K1212" s="201"/>
      <c r="L1212" s="201"/>
      <c r="M1212" s="201"/>
      <c r="N1212" s="201"/>
      <c r="O1212" s="201"/>
    </row>
    <row r="1213" spans="1:15" x14ac:dyDescent="0.25">
      <c r="A1213" s="194"/>
      <c r="B1213" s="194"/>
      <c r="C1213" s="201"/>
      <c r="D1213" s="201"/>
      <c r="E1213" s="201"/>
      <c r="F1213" s="201"/>
      <c r="G1213" s="201"/>
      <c r="H1213" s="201"/>
      <c r="I1213" s="201"/>
      <c r="J1213" s="201"/>
      <c r="K1213" s="201"/>
      <c r="L1213" s="201"/>
      <c r="M1213" s="201"/>
      <c r="N1213" s="201"/>
      <c r="O1213" s="201"/>
    </row>
    <row r="1214" spans="1:15" x14ac:dyDescent="0.25">
      <c r="A1214" s="194"/>
      <c r="B1214" s="194"/>
      <c r="C1214" s="201"/>
      <c r="D1214" s="201"/>
      <c r="E1214" s="201"/>
      <c r="F1214" s="201"/>
      <c r="G1214" s="201"/>
      <c r="H1214" s="201"/>
      <c r="I1214" s="201"/>
      <c r="J1214" s="201"/>
      <c r="K1214" s="201"/>
      <c r="L1214" s="201"/>
      <c r="M1214" s="201"/>
      <c r="N1214" s="201"/>
      <c r="O1214" s="201"/>
    </row>
  </sheetData>
  <mergeCells count="3">
    <mergeCell ref="A7:B8"/>
    <mergeCell ref="A429:C429"/>
    <mergeCell ref="A435:B435"/>
  </mergeCells>
  <printOptions horizontalCentered="1"/>
  <pageMargins left="0.23622047244094491" right="0.23622047244094491" top="0.74803149606299213" bottom="0.74803149606299213" header="0" footer="0"/>
  <pageSetup scale="38" orientation="portrait" r:id="rId1"/>
  <headerFooter>
    <oddHeader>&amp;R&amp;F</oddHeader>
  </headerFooter>
  <rowBreaks count="1" manualBreakCount="1">
    <brk id="330"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02851-E009-9944-9819-8A9E91AADFBC}">
  <dimension ref="A1:P1216"/>
  <sheetViews>
    <sheetView zoomScaleNormal="100" zoomScaleSheetLayoutView="25" workbookViewId="0">
      <pane xSplit="2" ySplit="9" topLeftCell="C359" activePane="bottomRight" state="frozen"/>
      <selection pane="topRight" activeCell="C1" sqref="C1"/>
      <selection pane="bottomLeft" activeCell="A9" sqref="A9"/>
      <selection pane="bottomRight" activeCell="G382" sqref="G382"/>
    </sheetView>
  </sheetViews>
  <sheetFormatPr defaultColWidth="12.42578125" defaultRowHeight="15" customHeight="1" x14ac:dyDescent="0.2"/>
  <cols>
    <col min="1" max="1" width="3.42578125" style="191" customWidth="1"/>
    <col min="2" max="2" width="41.7109375" style="191" customWidth="1"/>
    <col min="3" max="14" width="17.28515625" style="198" customWidth="1"/>
    <col min="15" max="15" width="17.7109375" style="198" customWidth="1"/>
    <col min="16" max="16" width="13.85546875" style="191" bestFit="1" customWidth="1"/>
    <col min="17" max="16384" width="12.42578125" style="191"/>
  </cols>
  <sheetData>
    <row r="1" spans="1:15" ht="15" customHeight="1" x14ac:dyDescent="0.25">
      <c r="A1" s="188" t="s">
        <v>0</v>
      </c>
      <c r="B1" s="190"/>
      <c r="C1" s="197"/>
      <c r="D1" s="197"/>
      <c r="E1" s="197"/>
      <c r="F1" s="197"/>
      <c r="G1" s="197"/>
      <c r="H1" s="197"/>
      <c r="I1" s="197"/>
      <c r="J1" s="197"/>
      <c r="K1" s="197"/>
      <c r="L1" s="197"/>
      <c r="M1" s="197"/>
      <c r="N1" s="197"/>
      <c r="O1" s="200"/>
    </row>
    <row r="2" spans="1:15" ht="16.5" customHeight="1" x14ac:dyDescent="0.25">
      <c r="A2" s="188" t="s">
        <v>1</v>
      </c>
      <c r="B2" s="190"/>
      <c r="C2" s="197"/>
      <c r="D2" s="197"/>
      <c r="E2" s="197"/>
      <c r="F2" s="197"/>
      <c r="G2" s="197"/>
      <c r="H2" s="197"/>
      <c r="I2" s="197"/>
      <c r="J2" s="197"/>
      <c r="K2" s="197"/>
      <c r="L2" s="197"/>
      <c r="M2" s="197"/>
      <c r="N2" s="197"/>
      <c r="O2" s="200"/>
    </row>
    <row r="3" spans="1:15" ht="16.5" customHeight="1" x14ac:dyDescent="0.25">
      <c r="A3" s="188" t="s">
        <v>826</v>
      </c>
      <c r="D3" s="199"/>
      <c r="E3" s="199"/>
      <c r="F3" s="199" t="s">
        <v>6</v>
      </c>
      <c r="G3" s="199"/>
      <c r="H3" s="199"/>
      <c r="I3" s="199"/>
      <c r="J3" s="199"/>
      <c r="K3" s="199"/>
      <c r="L3" s="199"/>
      <c r="M3" s="199"/>
      <c r="N3" s="199"/>
      <c r="O3" s="200"/>
    </row>
    <row r="4" spans="1:15" x14ac:dyDescent="0.25">
      <c r="A4" s="188" t="s">
        <v>827</v>
      </c>
      <c r="B4" s="192"/>
      <c r="C4" s="200"/>
      <c r="D4" s="200"/>
      <c r="E4" s="200"/>
      <c r="F4" s="200"/>
      <c r="G4" s="200"/>
      <c r="H4" s="200"/>
      <c r="I4" s="200"/>
      <c r="J4" s="200"/>
      <c r="K4" s="200"/>
      <c r="L4" s="200"/>
      <c r="M4" s="200"/>
      <c r="N4" s="200"/>
      <c r="O4" s="200"/>
    </row>
    <row r="5" spans="1:15" x14ac:dyDescent="0.25">
      <c r="A5" s="189" t="s">
        <v>3</v>
      </c>
      <c r="B5" s="192"/>
      <c r="C5" s="200"/>
      <c r="D5" s="200"/>
      <c r="E5" s="200"/>
      <c r="F5" s="200"/>
      <c r="G5" s="200"/>
      <c r="H5" s="200"/>
      <c r="I5" s="200"/>
      <c r="J5" s="200"/>
      <c r="K5" s="200"/>
      <c r="L5" s="200"/>
      <c r="M5" s="200"/>
      <c r="N5" s="200"/>
      <c r="O5" s="200"/>
    </row>
    <row r="6" spans="1:15" x14ac:dyDescent="0.25">
      <c r="A6" s="193"/>
      <c r="B6" s="192"/>
      <c r="C6" s="200"/>
      <c r="D6" s="200"/>
      <c r="E6" s="200"/>
      <c r="F6" s="200"/>
      <c r="G6" s="200"/>
      <c r="H6" s="200"/>
      <c r="I6" s="200"/>
      <c r="J6" s="200"/>
      <c r="K6" s="200"/>
      <c r="L6" s="200"/>
      <c r="M6" s="200"/>
      <c r="N6" s="200"/>
      <c r="O6" s="200"/>
    </row>
    <row r="7" spans="1:15" s="224" customFormat="1" ht="18.75" customHeight="1" x14ac:dyDescent="0.25">
      <c r="A7" s="288" t="s">
        <v>5</v>
      </c>
      <c r="B7" s="296"/>
      <c r="C7" s="223" t="s">
        <v>6</v>
      </c>
      <c r="D7" s="223" t="s">
        <v>6</v>
      </c>
      <c r="E7" s="223" t="s">
        <v>6</v>
      </c>
      <c r="F7" s="223"/>
      <c r="G7" s="223"/>
      <c r="H7" s="223"/>
      <c r="I7" s="223"/>
      <c r="J7" s="223"/>
      <c r="K7" s="223"/>
      <c r="L7" s="223"/>
      <c r="M7" s="223"/>
      <c r="N7" s="223"/>
      <c r="O7" s="223" t="s">
        <v>6</v>
      </c>
    </row>
    <row r="8" spans="1:15" s="224" customFormat="1" ht="18.75" customHeight="1" thickBot="1" x14ac:dyDescent="0.3">
      <c r="A8" s="297"/>
      <c r="B8" s="298"/>
      <c r="C8" s="225" t="s">
        <v>7</v>
      </c>
      <c r="D8" s="225" t="s">
        <v>8</v>
      </c>
      <c r="E8" s="225" t="s">
        <v>9</v>
      </c>
      <c r="F8" s="225" t="s">
        <v>10</v>
      </c>
      <c r="G8" s="225" t="s">
        <v>11</v>
      </c>
      <c r="H8" s="225" t="s">
        <v>12</v>
      </c>
      <c r="I8" s="225" t="s">
        <v>13</v>
      </c>
      <c r="J8" s="225" t="s">
        <v>14</v>
      </c>
      <c r="K8" s="225" t="s">
        <v>237</v>
      </c>
      <c r="L8" s="225" t="s">
        <v>16</v>
      </c>
      <c r="M8" s="225" t="s">
        <v>17</v>
      </c>
      <c r="N8" s="225" t="s">
        <v>18</v>
      </c>
      <c r="O8" s="225" t="s">
        <v>238</v>
      </c>
    </row>
    <row r="9" spans="1:15" s="224" customFormat="1" ht="15.75" hidden="1" thickTop="1" x14ac:dyDescent="0.25">
      <c r="A9" s="216" t="s">
        <v>20</v>
      </c>
      <c r="B9" s="226"/>
      <c r="C9" s="227">
        <f t="shared" ref="C9:O9" si="0">C10</f>
        <v>0</v>
      </c>
      <c r="D9" s="227">
        <f t="shared" si="0"/>
        <v>0</v>
      </c>
      <c r="E9" s="227">
        <f t="shared" si="0"/>
        <v>0</v>
      </c>
      <c r="F9" s="227">
        <f t="shared" si="0"/>
        <v>0</v>
      </c>
      <c r="G9" s="227">
        <f t="shared" si="0"/>
        <v>0</v>
      </c>
      <c r="H9" s="227">
        <f t="shared" si="0"/>
        <v>0</v>
      </c>
      <c r="I9" s="227">
        <f t="shared" si="0"/>
        <v>0</v>
      </c>
      <c r="J9" s="227">
        <f t="shared" si="0"/>
        <v>0</v>
      </c>
      <c r="K9" s="227">
        <f t="shared" si="0"/>
        <v>0</v>
      </c>
      <c r="L9" s="227">
        <f t="shared" si="0"/>
        <v>0</v>
      </c>
      <c r="M9" s="227">
        <f t="shared" si="0"/>
        <v>0</v>
      </c>
      <c r="N9" s="227">
        <f t="shared" si="0"/>
        <v>0</v>
      </c>
      <c r="O9" s="227">
        <f t="shared" si="0"/>
        <v>0</v>
      </c>
    </row>
    <row r="10" spans="1:15" s="224" customFormat="1" ht="15.75" hidden="1" thickTop="1" x14ac:dyDescent="0.25">
      <c r="A10" s="228">
        <v>1</v>
      </c>
      <c r="B10" s="220" t="s">
        <v>21</v>
      </c>
      <c r="C10" s="229">
        <v>0</v>
      </c>
      <c r="D10" s="229"/>
      <c r="E10" s="229"/>
      <c r="F10" s="229"/>
      <c r="G10" s="229"/>
      <c r="H10" s="229"/>
      <c r="I10" s="229"/>
      <c r="J10" s="229"/>
      <c r="K10" s="229"/>
      <c r="L10" s="229"/>
      <c r="M10" s="229"/>
      <c r="N10" s="229"/>
      <c r="O10" s="229"/>
    </row>
    <row r="11" spans="1:15" s="224" customFormat="1" ht="15.75" customHeight="1" thickTop="1" x14ac:dyDescent="0.2">
      <c r="A11" s="228"/>
      <c r="B11" s="220"/>
      <c r="C11" s="203"/>
      <c r="D11" s="203"/>
      <c r="E11" s="203"/>
      <c r="F11" s="203"/>
      <c r="G11" s="203"/>
      <c r="H11" s="203"/>
      <c r="I11" s="203"/>
      <c r="J11" s="203"/>
      <c r="K11" s="203"/>
      <c r="L11" s="203"/>
      <c r="M11" s="203"/>
      <c r="N11" s="203"/>
      <c r="O11" s="203"/>
    </row>
    <row r="12" spans="1:15" s="224" customFormat="1" ht="15.75" hidden="1" customHeight="1" x14ac:dyDescent="0.25">
      <c r="A12" s="216" t="s">
        <v>1103</v>
      </c>
      <c r="B12" s="230"/>
      <c r="C12" s="227">
        <f t="shared" ref="C12:O12" si="1">SUM(C13:C20)</f>
        <v>0</v>
      </c>
      <c r="D12" s="227">
        <f t="shared" si="1"/>
        <v>0</v>
      </c>
      <c r="E12" s="227">
        <f t="shared" si="1"/>
        <v>0</v>
      </c>
      <c r="F12" s="227">
        <f t="shared" si="1"/>
        <v>0</v>
      </c>
      <c r="G12" s="227">
        <f t="shared" si="1"/>
        <v>0</v>
      </c>
      <c r="H12" s="227">
        <f t="shared" si="1"/>
        <v>0</v>
      </c>
      <c r="I12" s="227">
        <f t="shared" si="1"/>
        <v>0</v>
      </c>
      <c r="J12" s="227">
        <f t="shared" si="1"/>
        <v>0</v>
      </c>
      <c r="K12" s="227">
        <f t="shared" si="1"/>
        <v>0</v>
      </c>
      <c r="L12" s="227">
        <f t="shared" si="1"/>
        <v>0</v>
      </c>
      <c r="M12" s="227">
        <f t="shared" si="1"/>
        <v>0</v>
      </c>
      <c r="N12" s="227">
        <f t="shared" si="1"/>
        <v>0</v>
      </c>
      <c r="O12" s="227">
        <f t="shared" si="1"/>
        <v>0</v>
      </c>
    </row>
    <row r="13" spans="1:15" s="224" customFormat="1" ht="15.75" hidden="1" customHeight="1" x14ac:dyDescent="0.2">
      <c r="A13" s="231">
        <v>1</v>
      </c>
      <c r="B13" s="220" t="s">
        <v>1112</v>
      </c>
      <c r="C13" s="203"/>
      <c r="D13" s="203"/>
      <c r="E13" s="203"/>
      <c r="F13" s="203"/>
      <c r="G13" s="203"/>
      <c r="H13" s="203"/>
      <c r="I13" s="203"/>
      <c r="J13" s="203"/>
      <c r="K13" s="203"/>
      <c r="L13" s="203"/>
      <c r="M13" s="203"/>
      <c r="N13" s="203"/>
      <c r="O13" s="203">
        <f t="shared" ref="O13:O19" si="2">SUM(C13:N13)</f>
        <v>0</v>
      </c>
    </row>
    <row r="14" spans="1:15" s="224" customFormat="1" ht="15.75" hidden="1" customHeight="1" x14ac:dyDescent="0.2">
      <c r="A14" s="231"/>
      <c r="B14" s="220" t="s">
        <v>48</v>
      </c>
      <c r="C14" s="203"/>
      <c r="D14" s="203"/>
      <c r="E14" s="203"/>
      <c r="F14" s="203"/>
      <c r="G14" s="203"/>
      <c r="H14" s="203"/>
      <c r="I14" s="203"/>
      <c r="J14" s="203"/>
      <c r="K14" s="203"/>
      <c r="L14" s="203"/>
      <c r="M14" s="203"/>
      <c r="N14" s="203"/>
      <c r="O14" s="203">
        <f t="shared" si="2"/>
        <v>0</v>
      </c>
    </row>
    <row r="15" spans="1:15" s="224" customFormat="1" ht="15.75" hidden="1" customHeight="1" x14ac:dyDescent="0.2">
      <c r="A15" s="231"/>
      <c r="B15" s="220" t="s">
        <v>1104</v>
      </c>
      <c r="C15" s="203"/>
      <c r="D15" s="203"/>
      <c r="E15" s="203"/>
      <c r="F15" s="203"/>
      <c r="G15" s="203"/>
      <c r="H15" s="203"/>
      <c r="I15" s="203"/>
      <c r="J15" s="203"/>
      <c r="K15" s="203"/>
      <c r="L15" s="203"/>
      <c r="M15" s="203"/>
      <c r="N15" s="203"/>
      <c r="O15" s="203">
        <f t="shared" si="2"/>
        <v>0</v>
      </c>
    </row>
    <row r="16" spans="1:15" s="224" customFormat="1" ht="15.75" hidden="1" customHeight="1" x14ac:dyDescent="0.2">
      <c r="A16" s="231">
        <v>2</v>
      </c>
      <c r="B16" s="220" t="s">
        <v>51</v>
      </c>
      <c r="C16" s="203"/>
      <c r="D16" s="203"/>
      <c r="E16" s="203"/>
      <c r="F16" s="203"/>
      <c r="G16" s="203"/>
      <c r="H16" s="203"/>
      <c r="I16" s="203"/>
      <c r="J16" s="203"/>
      <c r="K16" s="203"/>
      <c r="L16" s="203"/>
      <c r="M16" s="203"/>
      <c r="N16" s="203"/>
      <c r="O16" s="203">
        <f t="shared" si="2"/>
        <v>0</v>
      </c>
    </row>
    <row r="17" spans="1:15" s="224" customFormat="1" ht="15.75" hidden="1" customHeight="1" x14ac:dyDescent="0.2">
      <c r="A17" s="231"/>
      <c r="B17" s="220" t="s">
        <v>52</v>
      </c>
      <c r="C17" s="203"/>
      <c r="D17" s="203"/>
      <c r="E17" s="203"/>
      <c r="F17" s="203"/>
      <c r="G17" s="203"/>
      <c r="H17" s="203"/>
      <c r="I17" s="203"/>
      <c r="J17" s="203"/>
      <c r="K17" s="203"/>
      <c r="L17" s="203"/>
      <c r="M17" s="203"/>
      <c r="N17" s="203"/>
      <c r="O17" s="203">
        <f t="shared" si="2"/>
        <v>0</v>
      </c>
    </row>
    <row r="18" spans="1:15" s="224" customFormat="1" ht="15.75" hidden="1" customHeight="1" x14ac:dyDescent="0.2">
      <c r="A18" s="231"/>
      <c r="B18" s="220" t="s">
        <v>53</v>
      </c>
      <c r="C18" s="203"/>
      <c r="D18" s="203"/>
      <c r="E18" s="203"/>
      <c r="F18" s="203"/>
      <c r="G18" s="203"/>
      <c r="H18" s="203"/>
      <c r="I18" s="203"/>
      <c r="J18" s="203"/>
      <c r="K18" s="203"/>
      <c r="L18" s="203"/>
      <c r="M18" s="203"/>
      <c r="N18" s="203"/>
      <c r="O18" s="203">
        <f t="shared" si="2"/>
        <v>0</v>
      </c>
    </row>
    <row r="19" spans="1:15" s="224" customFormat="1" ht="15.75" hidden="1" customHeight="1" x14ac:dyDescent="0.2">
      <c r="A19" s="231">
        <v>3</v>
      </c>
      <c r="B19" s="220" t="s">
        <v>1105</v>
      </c>
      <c r="C19" s="203"/>
      <c r="D19" s="203"/>
      <c r="E19" s="203"/>
      <c r="F19" s="203"/>
      <c r="G19" s="203"/>
      <c r="H19" s="203"/>
      <c r="I19" s="203"/>
      <c r="J19" s="203"/>
      <c r="K19" s="203"/>
      <c r="L19" s="203"/>
      <c r="M19" s="203"/>
      <c r="N19" s="203"/>
      <c r="O19" s="203">
        <f t="shared" si="2"/>
        <v>0</v>
      </c>
    </row>
    <row r="20" spans="1:15" s="224" customFormat="1" ht="15.75" hidden="1" customHeight="1" x14ac:dyDescent="0.2">
      <c r="A20" s="228">
        <v>4</v>
      </c>
      <c r="B20" s="220" t="s">
        <v>48</v>
      </c>
      <c r="C20" s="203">
        <v>0</v>
      </c>
      <c r="D20" s="203">
        <v>0</v>
      </c>
      <c r="E20" s="203">
        <v>0</v>
      </c>
      <c r="F20" s="203">
        <v>0</v>
      </c>
      <c r="G20" s="203">
        <v>0</v>
      </c>
      <c r="H20" s="203">
        <v>0</v>
      </c>
      <c r="I20" s="203">
        <v>0</v>
      </c>
      <c r="J20" s="203">
        <v>0</v>
      </c>
      <c r="K20" s="203">
        <v>0</v>
      </c>
      <c r="L20" s="203">
        <v>0</v>
      </c>
      <c r="M20" s="203">
        <v>0</v>
      </c>
      <c r="N20" s="203">
        <v>0</v>
      </c>
      <c r="O20" s="203">
        <v>0</v>
      </c>
    </row>
    <row r="21" spans="1:15" s="224" customFormat="1" ht="15.75" customHeight="1" x14ac:dyDescent="0.25">
      <c r="A21" s="232"/>
      <c r="B21" s="220"/>
      <c r="C21" s="203"/>
      <c r="D21" s="203"/>
      <c r="E21" s="203"/>
      <c r="F21" s="203"/>
      <c r="G21" s="203"/>
      <c r="H21" s="203"/>
      <c r="I21" s="203"/>
      <c r="J21" s="203"/>
      <c r="K21" s="203"/>
      <c r="L21" s="203"/>
      <c r="M21" s="203"/>
      <c r="N21" s="203"/>
      <c r="O21" s="203"/>
    </row>
    <row r="22" spans="1:15" s="224" customFormat="1" ht="15.75" customHeight="1" x14ac:dyDescent="0.25">
      <c r="A22" s="216" t="s">
        <v>687</v>
      </c>
      <c r="B22" s="230"/>
      <c r="C22" s="218">
        <f>+C23</f>
        <v>268729.11</v>
      </c>
      <c r="D22" s="218">
        <f t="shared" ref="D22:N22" si="3">+D23</f>
        <v>197996.34</v>
      </c>
      <c r="E22" s="218">
        <f t="shared" si="3"/>
        <v>285130.23999999999</v>
      </c>
      <c r="F22" s="218">
        <f t="shared" si="3"/>
        <v>286920.18</v>
      </c>
      <c r="G22" s="218">
        <f t="shared" si="3"/>
        <v>599236.13</v>
      </c>
      <c r="H22" s="218">
        <f t="shared" si="3"/>
        <v>298976.75</v>
      </c>
      <c r="I22" s="218">
        <f t="shared" si="3"/>
        <v>306703</v>
      </c>
      <c r="J22" s="218">
        <f t="shared" si="3"/>
        <v>266798.8</v>
      </c>
      <c r="K22" s="218">
        <f t="shared" si="3"/>
        <v>190108.26</v>
      </c>
      <c r="L22" s="218">
        <f t="shared" si="3"/>
        <v>278430.76</v>
      </c>
      <c r="M22" s="218">
        <f t="shared" si="3"/>
        <v>164375.57</v>
      </c>
      <c r="N22" s="218">
        <f t="shared" si="3"/>
        <v>265611.76</v>
      </c>
      <c r="O22" s="218">
        <f>SUM(C22:N22)</f>
        <v>3409016.8999999994</v>
      </c>
    </row>
    <row r="23" spans="1:15" s="224" customFormat="1" ht="15.75" customHeight="1" x14ac:dyDescent="0.2">
      <c r="A23" s="219"/>
      <c r="B23" s="220" t="s">
        <v>828</v>
      </c>
      <c r="C23" s="233">
        <v>268729.11</v>
      </c>
      <c r="D23" s="203">
        <v>197996.34</v>
      </c>
      <c r="E23" s="203">
        <v>285130.23999999999</v>
      </c>
      <c r="F23" s="203">
        <v>286920.18</v>
      </c>
      <c r="G23" s="203">
        <v>599236.13</v>
      </c>
      <c r="H23" s="203">
        <v>298976.75</v>
      </c>
      <c r="I23" s="203">
        <v>306703</v>
      </c>
      <c r="J23" s="203">
        <v>266798.8</v>
      </c>
      <c r="K23" s="203">
        <v>190108.26</v>
      </c>
      <c r="L23" s="203">
        <v>278430.76</v>
      </c>
      <c r="M23" s="203">
        <v>164375.57</v>
      </c>
      <c r="N23" s="203">
        <v>265611.76</v>
      </c>
      <c r="O23" s="203">
        <f>SUM(C23:N23)</f>
        <v>3409016.8999999994</v>
      </c>
    </row>
    <row r="24" spans="1:15" s="224" customFormat="1" ht="15.75" customHeight="1" x14ac:dyDescent="0.2">
      <c r="A24" s="228"/>
      <c r="B24" s="228"/>
      <c r="C24" s="203"/>
      <c r="D24" s="203"/>
      <c r="E24" s="203"/>
      <c r="F24" s="203"/>
      <c r="G24" s="203"/>
      <c r="H24" s="203"/>
      <c r="I24" s="203"/>
      <c r="J24" s="203"/>
      <c r="K24" s="203"/>
      <c r="L24" s="203"/>
      <c r="M24" s="203"/>
      <c r="N24" s="203"/>
      <c r="O24" s="203"/>
    </row>
    <row r="25" spans="1:15" s="224" customFormat="1" ht="15.75" customHeight="1" x14ac:dyDescent="0.25">
      <c r="A25" s="216" t="s">
        <v>54</v>
      </c>
      <c r="B25" s="226"/>
      <c r="C25" s="227">
        <f>SUM(C26:C45)</f>
        <v>66650878.269999996</v>
      </c>
      <c r="D25" s="227">
        <f t="shared" ref="D25:N25" si="4">SUM(D26:D45)</f>
        <v>59083046.579999998</v>
      </c>
      <c r="E25" s="227">
        <f t="shared" si="4"/>
        <v>73378842.75</v>
      </c>
      <c r="F25" s="227">
        <f t="shared" si="4"/>
        <v>67496691.819999993</v>
      </c>
      <c r="G25" s="227">
        <f t="shared" si="4"/>
        <v>71567291.450000003</v>
      </c>
      <c r="H25" s="227">
        <f t="shared" si="4"/>
        <v>91711697.819999993</v>
      </c>
      <c r="I25" s="227">
        <f t="shared" si="4"/>
        <v>84566683.010000005</v>
      </c>
      <c r="J25" s="227">
        <f t="shared" si="4"/>
        <v>81927429.579999998</v>
      </c>
      <c r="K25" s="227">
        <f t="shared" si="4"/>
        <v>86480285.469999999</v>
      </c>
      <c r="L25" s="227">
        <f t="shared" si="4"/>
        <v>71950296.269999996</v>
      </c>
      <c r="M25" s="227">
        <f t="shared" si="4"/>
        <v>71023683.340000004</v>
      </c>
      <c r="N25" s="227">
        <f t="shared" si="4"/>
        <v>78108800.269999996</v>
      </c>
      <c r="O25" s="227">
        <f>SUM(O26:O45)</f>
        <v>903945626.63</v>
      </c>
    </row>
    <row r="26" spans="1:15" s="224" customFormat="1" ht="15.75" customHeight="1" x14ac:dyDescent="0.2">
      <c r="A26" s="231"/>
      <c r="B26" s="220" t="s">
        <v>756</v>
      </c>
      <c r="C26" s="203">
        <v>28689640.670000002</v>
      </c>
      <c r="D26" s="234">
        <v>28342862.920000002</v>
      </c>
      <c r="E26" s="203">
        <v>36940350.32</v>
      </c>
      <c r="F26" s="203">
        <v>33823859.909999996</v>
      </c>
      <c r="G26" s="203">
        <v>39039158.770000003</v>
      </c>
      <c r="H26" s="203">
        <v>43717172.060000002</v>
      </c>
      <c r="I26" s="203">
        <v>43190064.090000004</v>
      </c>
      <c r="J26" s="203">
        <v>44024052</v>
      </c>
      <c r="K26" s="203">
        <v>47359157.630000003</v>
      </c>
      <c r="L26" s="203">
        <v>37633107.619999997</v>
      </c>
      <c r="M26" s="203">
        <v>38775848.68</v>
      </c>
      <c r="N26" s="203">
        <v>41659658.539999999</v>
      </c>
      <c r="O26" s="203">
        <f>SUM(C26:N26)</f>
        <v>463194933.21000004</v>
      </c>
    </row>
    <row r="27" spans="1:15" s="224" customFormat="1" ht="15.75" hidden="1" customHeight="1" x14ac:dyDescent="0.2">
      <c r="A27" s="231"/>
      <c r="B27" s="220" t="s">
        <v>477</v>
      </c>
      <c r="C27" s="203"/>
      <c r="D27" s="203"/>
      <c r="E27" s="203"/>
      <c r="F27" s="203"/>
      <c r="G27" s="203"/>
      <c r="H27" s="203"/>
      <c r="I27" s="203"/>
      <c r="J27" s="203"/>
      <c r="K27" s="203"/>
      <c r="L27" s="203"/>
      <c r="M27" s="203"/>
      <c r="N27" s="203"/>
      <c r="O27" s="203">
        <f t="shared" ref="O27:O45" si="5">SUM(C27:N27)</f>
        <v>0</v>
      </c>
    </row>
    <row r="28" spans="1:15" s="224" customFormat="1" ht="15.75" hidden="1" customHeight="1" x14ac:dyDescent="0.2">
      <c r="A28" s="231"/>
      <c r="B28" s="220" t="s">
        <v>56</v>
      </c>
      <c r="C28" s="203"/>
      <c r="D28" s="203"/>
      <c r="E28" s="203"/>
      <c r="F28" s="203"/>
      <c r="G28" s="203"/>
      <c r="H28" s="203"/>
      <c r="I28" s="203"/>
      <c r="J28" s="203"/>
      <c r="K28" s="203"/>
      <c r="L28" s="203"/>
      <c r="M28" s="203"/>
      <c r="N28" s="203"/>
      <c r="O28" s="203">
        <f t="shared" si="5"/>
        <v>0</v>
      </c>
    </row>
    <row r="29" spans="1:15" s="224" customFormat="1" ht="15.75" hidden="1" customHeight="1" x14ac:dyDescent="0.2">
      <c r="A29" s="231"/>
      <c r="B29" s="220" t="s">
        <v>829</v>
      </c>
      <c r="C29" s="203"/>
      <c r="D29" s="203"/>
      <c r="E29" s="203"/>
      <c r="F29" s="203"/>
      <c r="G29" s="203"/>
      <c r="H29" s="203"/>
      <c r="I29" s="203"/>
      <c r="J29" s="203"/>
      <c r="K29" s="203"/>
      <c r="L29" s="203"/>
      <c r="M29" s="203"/>
      <c r="N29" s="203"/>
      <c r="O29" s="203">
        <f t="shared" si="5"/>
        <v>0</v>
      </c>
    </row>
    <row r="30" spans="1:15" s="224" customFormat="1" ht="15.75" hidden="1" customHeight="1" x14ac:dyDescent="0.2">
      <c r="A30" s="231"/>
      <c r="B30" s="220" t="s">
        <v>830</v>
      </c>
      <c r="C30" s="203"/>
      <c r="D30" s="203"/>
      <c r="E30" s="203"/>
      <c r="F30" s="203"/>
      <c r="G30" s="203"/>
      <c r="H30" s="203"/>
      <c r="I30" s="203"/>
      <c r="J30" s="203"/>
      <c r="K30" s="203"/>
      <c r="L30" s="203"/>
      <c r="M30" s="203"/>
      <c r="N30" s="203"/>
      <c r="O30" s="203">
        <f t="shared" si="5"/>
        <v>0</v>
      </c>
    </row>
    <row r="31" spans="1:15" s="224" customFormat="1" ht="15.75" hidden="1" customHeight="1" x14ac:dyDescent="0.2">
      <c r="A31" s="231"/>
      <c r="B31" s="220" t="s">
        <v>831</v>
      </c>
      <c r="C31" s="203"/>
      <c r="D31" s="203"/>
      <c r="E31" s="203"/>
      <c r="F31" s="203"/>
      <c r="G31" s="203"/>
      <c r="H31" s="203"/>
      <c r="I31" s="203"/>
      <c r="J31" s="203"/>
      <c r="K31" s="203"/>
      <c r="L31" s="203"/>
      <c r="M31" s="203"/>
      <c r="N31" s="203"/>
      <c r="O31" s="203">
        <f t="shared" si="5"/>
        <v>0</v>
      </c>
    </row>
    <row r="32" spans="1:15" s="224" customFormat="1" ht="15.75" customHeight="1" x14ac:dyDescent="0.2">
      <c r="A32" s="231"/>
      <c r="B32" s="220" t="s">
        <v>58</v>
      </c>
      <c r="C32" s="203">
        <v>4844001.54</v>
      </c>
      <c r="D32" s="203">
        <v>3460001.1</v>
      </c>
      <c r="E32" s="203">
        <v>5536001.7599999998</v>
      </c>
      <c r="F32" s="203">
        <v>2903130.94</v>
      </c>
      <c r="G32" s="203">
        <v>2073664.96</v>
      </c>
      <c r="H32" s="203">
        <v>3317863.93</v>
      </c>
      <c r="I32" s="203">
        <v>3126246.68</v>
      </c>
      <c r="J32" s="203">
        <v>2233033.34</v>
      </c>
      <c r="K32" s="203">
        <v>3572853.35</v>
      </c>
      <c r="L32" s="203">
        <v>3160537.97</v>
      </c>
      <c r="M32" s="203">
        <v>2257527.12</v>
      </c>
      <c r="N32" s="203">
        <v>3612043.4</v>
      </c>
      <c r="O32" s="203">
        <f t="shared" si="5"/>
        <v>40096906.089999996</v>
      </c>
    </row>
    <row r="33" spans="1:15" s="224" customFormat="1" ht="15.75" hidden="1" customHeight="1" x14ac:dyDescent="0.2">
      <c r="A33" s="231"/>
      <c r="B33" s="220" t="s">
        <v>59</v>
      </c>
      <c r="C33" s="211"/>
      <c r="D33" s="203"/>
      <c r="E33" s="203"/>
      <c r="F33" s="203"/>
      <c r="G33" s="203"/>
      <c r="H33" s="203"/>
      <c r="I33" s="203"/>
      <c r="J33" s="203"/>
      <c r="K33" s="203"/>
      <c r="L33" s="203"/>
      <c r="M33" s="203"/>
      <c r="N33" s="203"/>
      <c r="O33" s="203">
        <f t="shared" si="5"/>
        <v>0</v>
      </c>
    </row>
    <row r="34" spans="1:15" s="224" customFormat="1" ht="15.75" hidden="1" customHeight="1" x14ac:dyDescent="0.2">
      <c r="A34" s="231"/>
      <c r="B34" s="220" t="s">
        <v>832</v>
      </c>
      <c r="C34" s="203"/>
      <c r="D34" s="203"/>
      <c r="E34" s="203"/>
      <c r="F34" s="203"/>
      <c r="G34" s="203"/>
      <c r="H34" s="203"/>
      <c r="I34" s="203"/>
      <c r="J34" s="203"/>
      <c r="K34" s="203"/>
      <c r="L34" s="203"/>
      <c r="M34" s="203"/>
      <c r="N34" s="203"/>
      <c r="O34" s="203">
        <f t="shared" si="5"/>
        <v>0</v>
      </c>
    </row>
    <row r="35" spans="1:15" s="224" customFormat="1" ht="15.75" hidden="1" customHeight="1" x14ac:dyDescent="0.2">
      <c r="A35" s="231"/>
      <c r="B35" s="220" t="s">
        <v>61</v>
      </c>
      <c r="C35" s="203"/>
      <c r="D35" s="203"/>
      <c r="E35" s="203"/>
      <c r="F35" s="203"/>
      <c r="G35" s="203"/>
      <c r="H35" s="203"/>
      <c r="I35" s="203"/>
      <c r="J35" s="203"/>
      <c r="K35" s="203"/>
      <c r="L35" s="203"/>
      <c r="M35" s="203"/>
      <c r="N35" s="203"/>
      <c r="O35" s="203">
        <f t="shared" si="5"/>
        <v>0</v>
      </c>
    </row>
    <row r="36" spans="1:15" s="224" customFormat="1" ht="16.5" hidden="1" customHeight="1" x14ac:dyDescent="0.2">
      <c r="A36" s="231"/>
      <c r="B36" s="220" t="s">
        <v>62</v>
      </c>
      <c r="C36" s="203"/>
      <c r="D36" s="203"/>
      <c r="E36" s="203"/>
      <c r="F36" s="203"/>
      <c r="G36" s="203"/>
      <c r="H36" s="203"/>
      <c r="I36" s="203"/>
      <c r="J36" s="203"/>
      <c r="K36" s="203"/>
      <c r="L36" s="203"/>
      <c r="M36" s="203"/>
      <c r="N36" s="203"/>
      <c r="O36" s="203">
        <f t="shared" si="5"/>
        <v>0</v>
      </c>
    </row>
    <row r="37" spans="1:15" s="224" customFormat="1" ht="15.75" customHeight="1" x14ac:dyDescent="0.2">
      <c r="A37" s="231"/>
      <c r="B37" s="220" t="s">
        <v>63</v>
      </c>
      <c r="C37" s="211">
        <v>5691465</v>
      </c>
      <c r="D37" s="203">
        <v>7041595</v>
      </c>
      <c r="E37" s="203">
        <v>7906360</v>
      </c>
      <c r="F37" s="203">
        <v>7441650.0800000001</v>
      </c>
      <c r="G37" s="203">
        <v>9154405</v>
      </c>
      <c r="H37" s="203">
        <v>8414555</v>
      </c>
      <c r="I37" s="203">
        <v>7617040</v>
      </c>
      <c r="J37" s="203">
        <v>7932360</v>
      </c>
      <c r="K37" s="203">
        <v>8781425</v>
      </c>
      <c r="L37" s="203">
        <v>8112435</v>
      </c>
      <c r="M37" s="203">
        <v>8730080</v>
      </c>
      <c r="N37" s="203">
        <v>7615840</v>
      </c>
      <c r="O37" s="203">
        <f t="shared" si="5"/>
        <v>94439210.079999998</v>
      </c>
    </row>
    <row r="38" spans="1:15" s="224" customFormat="1" ht="15.75" hidden="1" customHeight="1" x14ac:dyDescent="0.2">
      <c r="A38" s="235"/>
      <c r="B38" s="236" t="s">
        <v>833</v>
      </c>
      <c r="C38" s="203"/>
      <c r="D38" s="203"/>
      <c r="E38" s="203"/>
      <c r="F38" s="203"/>
      <c r="G38" s="203"/>
      <c r="H38" s="203"/>
      <c r="I38" s="203"/>
      <c r="J38" s="203"/>
      <c r="K38" s="203"/>
      <c r="L38" s="203"/>
      <c r="M38" s="203"/>
      <c r="N38" s="203"/>
      <c r="O38" s="203">
        <f t="shared" si="5"/>
        <v>0</v>
      </c>
    </row>
    <row r="39" spans="1:15" s="224" customFormat="1" ht="15.75" hidden="1" customHeight="1" x14ac:dyDescent="0.2">
      <c r="A39" s="231"/>
      <c r="B39" s="236" t="s">
        <v>834</v>
      </c>
      <c r="C39" s="203"/>
      <c r="D39" s="203"/>
      <c r="E39" s="203"/>
      <c r="F39" s="203"/>
      <c r="G39" s="203"/>
      <c r="H39" s="203"/>
      <c r="I39" s="203"/>
      <c r="J39" s="203"/>
      <c r="K39" s="203"/>
      <c r="L39" s="203"/>
      <c r="M39" s="203"/>
      <c r="N39" s="203"/>
      <c r="O39" s="203">
        <f t="shared" si="5"/>
        <v>0</v>
      </c>
    </row>
    <row r="40" spans="1:15" s="224" customFormat="1" ht="15.75" customHeight="1" x14ac:dyDescent="0.2">
      <c r="A40" s="231"/>
      <c r="B40" s="220" t="s">
        <v>720</v>
      </c>
      <c r="C40" s="203">
        <v>27379344.48</v>
      </c>
      <c r="D40" s="203">
        <v>20035169.559999999</v>
      </c>
      <c r="E40" s="203">
        <v>22748408.670000002</v>
      </c>
      <c r="F40" s="203">
        <v>23223370.890000001</v>
      </c>
      <c r="G40" s="203">
        <v>20830412.719999999</v>
      </c>
      <c r="H40" s="203">
        <v>36083416.829999998</v>
      </c>
      <c r="I40" s="203">
        <v>30513614.239999998</v>
      </c>
      <c r="J40" s="203">
        <v>27600884.239999998</v>
      </c>
      <c r="K40" s="203">
        <v>26669691.489999998</v>
      </c>
      <c r="L40" s="203">
        <v>22914979.68</v>
      </c>
      <c r="M40" s="203">
        <v>21131918.039999999</v>
      </c>
      <c r="N40" s="203">
        <v>25120462.329999998</v>
      </c>
      <c r="O40" s="203">
        <f t="shared" si="5"/>
        <v>304251673.17000002</v>
      </c>
    </row>
    <row r="41" spans="1:15" s="224" customFormat="1" ht="15.75" hidden="1" customHeight="1" x14ac:dyDescent="0.2">
      <c r="A41" s="231"/>
      <c r="B41" s="220" t="s">
        <v>1106</v>
      </c>
      <c r="C41" s="203"/>
      <c r="D41" s="203"/>
      <c r="E41" s="203"/>
      <c r="F41" s="203"/>
      <c r="G41" s="203"/>
      <c r="H41" s="203"/>
      <c r="I41" s="203"/>
      <c r="J41" s="203"/>
      <c r="K41" s="203"/>
      <c r="L41" s="203"/>
      <c r="M41" s="203"/>
      <c r="N41" s="203"/>
      <c r="O41" s="203">
        <f t="shared" si="5"/>
        <v>0</v>
      </c>
    </row>
    <row r="42" spans="1:15" s="224" customFormat="1" ht="15.75" customHeight="1" x14ac:dyDescent="0.2">
      <c r="A42" s="231"/>
      <c r="B42" s="220" t="s">
        <v>835</v>
      </c>
      <c r="C42" s="203">
        <v>0</v>
      </c>
      <c r="D42" s="203">
        <v>0</v>
      </c>
      <c r="E42" s="203">
        <v>15000</v>
      </c>
      <c r="F42" s="203"/>
      <c r="G42" s="203">
        <v>51998</v>
      </c>
      <c r="H42" s="203"/>
      <c r="I42" s="203">
        <v>5450</v>
      </c>
      <c r="J42" s="203">
        <v>21850</v>
      </c>
      <c r="K42" s="203"/>
      <c r="L42" s="203"/>
      <c r="M42" s="203">
        <v>10000</v>
      </c>
      <c r="N42" s="203">
        <v>10000</v>
      </c>
      <c r="O42" s="203">
        <f t="shared" si="5"/>
        <v>114298</v>
      </c>
    </row>
    <row r="43" spans="1:15" s="224" customFormat="1" ht="15.75" hidden="1" customHeight="1" x14ac:dyDescent="0.2">
      <c r="A43" s="231"/>
      <c r="B43" s="220" t="s">
        <v>1107</v>
      </c>
      <c r="C43" s="203"/>
      <c r="D43" s="203"/>
      <c r="E43" s="203"/>
      <c r="F43" s="203"/>
      <c r="G43" s="203"/>
      <c r="H43" s="203"/>
      <c r="I43" s="203"/>
      <c r="J43" s="203"/>
      <c r="K43" s="203"/>
      <c r="L43" s="203"/>
      <c r="M43" s="203"/>
      <c r="N43" s="203"/>
      <c r="O43" s="203">
        <f t="shared" si="5"/>
        <v>0</v>
      </c>
    </row>
    <row r="44" spans="1:15" s="224" customFormat="1" ht="15.75" customHeight="1" x14ac:dyDescent="0.2">
      <c r="A44" s="231"/>
      <c r="B44" s="220" t="s">
        <v>836</v>
      </c>
      <c r="C44" s="203">
        <v>46426.58</v>
      </c>
      <c r="D44" s="203">
        <v>203418</v>
      </c>
      <c r="E44" s="203">
        <v>232722</v>
      </c>
      <c r="F44" s="203">
        <v>104680</v>
      </c>
      <c r="G44" s="203">
        <v>417652</v>
      </c>
      <c r="H44" s="203">
        <v>178690</v>
      </c>
      <c r="I44" s="203">
        <v>114268</v>
      </c>
      <c r="J44" s="203">
        <v>115250</v>
      </c>
      <c r="K44" s="203">
        <v>97158</v>
      </c>
      <c r="L44" s="203">
        <v>129236</v>
      </c>
      <c r="M44" s="203">
        <v>118309.5</v>
      </c>
      <c r="N44" s="203">
        <v>90796</v>
      </c>
      <c r="O44" s="203">
        <f t="shared" si="5"/>
        <v>1848606.08</v>
      </c>
    </row>
    <row r="45" spans="1:15" s="224" customFormat="1" ht="15.75" hidden="1" customHeight="1" x14ac:dyDescent="0.2">
      <c r="A45" s="231"/>
      <c r="B45" s="220" t="s">
        <v>753</v>
      </c>
      <c r="C45" s="203"/>
      <c r="D45" s="203"/>
      <c r="E45" s="203"/>
      <c r="F45" s="203"/>
      <c r="G45" s="203"/>
      <c r="H45" s="203"/>
      <c r="I45" s="203"/>
      <c r="J45" s="203"/>
      <c r="K45" s="203"/>
      <c r="L45" s="203"/>
      <c r="M45" s="203"/>
      <c r="N45" s="203"/>
      <c r="O45" s="203">
        <f t="shared" si="5"/>
        <v>0</v>
      </c>
    </row>
    <row r="46" spans="1:15" s="224" customFormat="1" ht="15.75" customHeight="1" x14ac:dyDescent="0.2">
      <c r="A46" s="228"/>
      <c r="B46" s="220"/>
      <c r="C46" s="203"/>
      <c r="D46" s="203"/>
      <c r="E46" s="203"/>
      <c r="F46" s="203"/>
      <c r="G46" s="203"/>
      <c r="H46" s="203"/>
      <c r="I46" s="203"/>
      <c r="J46" s="203"/>
      <c r="K46" s="203"/>
      <c r="L46" s="203"/>
      <c r="M46" s="203"/>
      <c r="N46" s="203"/>
      <c r="O46" s="203"/>
    </row>
    <row r="47" spans="1:15" s="224" customFormat="1" ht="15.75" hidden="1" customHeight="1" x14ac:dyDescent="0.25">
      <c r="A47" s="216" t="s">
        <v>69</v>
      </c>
      <c r="B47" s="230"/>
      <c r="C47" s="227">
        <f t="shared" ref="C47:O47" si="6">SUM(C48:C49)</f>
        <v>0</v>
      </c>
      <c r="D47" s="227">
        <f t="shared" si="6"/>
        <v>0</v>
      </c>
      <c r="E47" s="227">
        <f t="shared" si="6"/>
        <v>0</v>
      </c>
      <c r="F47" s="227">
        <f t="shared" si="6"/>
        <v>0</v>
      </c>
      <c r="G47" s="227">
        <f t="shared" si="6"/>
        <v>0</v>
      </c>
      <c r="H47" s="227">
        <f t="shared" si="6"/>
        <v>0</v>
      </c>
      <c r="I47" s="227">
        <f t="shared" si="6"/>
        <v>0</v>
      </c>
      <c r="J47" s="227">
        <f t="shared" si="6"/>
        <v>0</v>
      </c>
      <c r="K47" s="227">
        <f t="shared" si="6"/>
        <v>0</v>
      </c>
      <c r="L47" s="227">
        <f t="shared" si="6"/>
        <v>0</v>
      </c>
      <c r="M47" s="227">
        <f t="shared" si="6"/>
        <v>0</v>
      </c>
      <c r="N47" s="227">
        <f t="shared" si="6"/>
        <v>0</v>
      </c>
      <c r="O47" s="227">
        <f t="shared" si="6"/>
        <v>0</v>
      </c>
    </row>
    <row r="48" spans="1:15" s="224" customFormat="1" ht="15.75" hidden="1" customHeight="1" x14ac:dyDescent="0.2">
      <c r="A48" s="219">
        <v>1</v>
      </c>
      <c r="B48" s="220" t="s">
        <v>70</v>
      </c>
      <c r="C48" s="203">
        <v>0</v>
      </c>
      <c r="D48" s="203">
        <v>0</v>
      </c>
      <c r="E48" s="203">
        <v>0</v>
      </c>
      <c r="F48" s="203">
        <v>0</v>
      </c>
      <c r="G48" s="203">
        <v>0</v>
      </c>
      <c r="H48" s="203">
        <v>0</v>
      </c>
      <c r="I48" s="203">
        <v>0</v>
      </c>
      <c r="J48" s="203">
        <v>0</v>
      </c>
      <c r="K48" s="203">
        <v>0</v>
      </c>
      <c r="L48" s="203">
        <v>0</v>
      </c>
      <c r="M48" s="237"/>
      <c r="N48" s="237"/>
      <c r="O48" s="203">
        <f t="shared" ref="O48" si="7">SUM(C48:N48)</f>
        <v>0</v>
      </c>
    </row>
    <row r="49" spans="1:15" s="224" customFormat="1" ht="15.75" hidden="1" customHeight="1" x14ac:dyDescent="0.2">
      <c r="A49" s="219">
        <v>1</v>
      </c>
      <c r="B49" s="220" t="s">
        <v>1108</v>
      </c>
      <c r="C49" s="203"/>
      <c r="D49" s="203"/>
      <c r="E49" s="203"/>
      <c r="F49" s="203"/>
      <c r="G49" s="203"/>
      <c r="H49" s="203"/>
      <c r="I49" s="203"/>
      <c r="J49" s="203"/>
      <c r="K49" s="203"/>
      <c r="L49" s="203"/>
      <c r="M49" s="203"/>
      <c r="N49" s="203"/>
      <c r="O49" s="203">
        <f>SUM(C49:N49)</f>
        <v>0</v>
      </c>
    </row>
    <row r="50" spans="1:15" s="224" customFormat="1" ht="12.75" customHeight="1" x14ac:dyDescent="0.2">
      <c r="A50" s="219"/>
      <c r="B50" s="220"/>
      <c r="C50" s="203"/>
      <c r="D50" s="203"/>
      <c r="E50" s="203"/>
      <c r="F50" s="203"/>
      <c r="G50" s="203"/>
      <c r="H50" s="203"/>
      <c r="I50" s="203"/>
      <c r="J50" s="203"/>
      <c r="K50" s="203"/>
      <c r="L50" s="203"/>
      <c r="M50" s="203"/>
      <c r="N50" s="203"/>
      <c r="O50" s="203"/>
    </row>
    <row r="51" spans="1:15" s="224" customFormat="1" ht="15.75" customHeight="1" x14ac:dyDescent="0.25">
      <c r="A51" s="216" t="s">
        <v>837</v>
      </c>
      <c r="B51" s="230"/>
      <c r="C51" s="227">
        <f>SUM(C52:C56)</f>
        <v>413178.28</v>
      </c>
      <c r="D51" s="227">
        <f t="shared" ref="D51:O51" si="8">SUM(D52:D56)</f>
        <v>168003.84</v>
      </c>
      <c r="E51" s="227">
        <f t="shared" si="8"/>
        <v>200170.62</v>
      </c>
      <c r="F51" s="227">
        <f t="shared" si="8"/>
        <v>445955.43</v>
      </c>
      <c r="G51" s="227">
        <f t="shared" si="8"/>
        <v>202629.74</v>
      </c>
      <c r="H51" s="227">
        <f t="shared" si="8"/>
        <v>260027.59</v>
      </c>
      <c r="I51" s="227">
        <f t="shared" si="8"/>
        <v>551356.51</v>
      </c>
      <c r="J51" s="227">
        <f t="shared" si="8"/>
        <v>377065.70999999996</v>
      </c>
      <c r="K51" s="227">
        <f t="shared" si="8"/>
        <v>295916.81</v>
      </c>
      <c r="L51" s="227">
        <f t="shared" si="8"/>
        <v>261599.73</v>
      </c>
      <c r="M51" s="227">
        <f t="shared" si="8"/>
        <v>399671.36</v>
      </c>
      <c r="N51" s="227">
        <f t="shared" si="8"/>
        <v>344917.03</v>
      </c>
      <c r="O51" s="227">
        <f t="shared" si="8"/>
        <v>3920492.6500000004</v>
      </c>
    </row>
    <row r="52" spans="1:15" s="224" customFormat="1" ht="15.75" customHeight="1" x14ac:dyDescent="0.2">
      <c r="A52" s="219"/>
      <c r="B52" s="220" t="s">
        <v>757</v>
      </c>
      <c r="C52" s="203">
        <v>410178.28</v>
      </c>
      <c r="D52" s="203">
        <v>157355.79999999999</v>
      </c>
      <c r="E52" s="203">
        <v>180418.65</v>
      </c>
      <c r="F52" s="203">
        <v>444955.43</v>
      </c>
      <c r="G52" s="203">
        <v>202529.74</v>
      </c>
      <c r="H52" s="203">
        <v>232583.28</v>
      </c>
      <c r="I52" s="203">
        <v>512576.26</v>
      </c>
      <c r="J52" s="203">
        <v>308843.65999999997</v>
      </c>
      <c r="K52" s="203">
        <v>295916.81</v>
      </c>
      <c r="L52" s="203">
        <v>260499.73</v>
      </c>
      <c r="M52" s="203">
        <v>399571.36</v>
      </c>
      <c r="N52" s="203">
        <v>343517.03</v>
      </c>
      <c r="O52" s="203">
        <f t="shared" ref="O52:O56" si="9">SUM(C52:N52)</f>
        <v>3748946.0300000003</v>
      </c>
    </row>
    <row r="53" spans="1:15" s="224" customFormat="1" ht="15.75" hidden="1" customHeight="1" x14ac:dyDescent="0.25">
      <c r="A53" s="219"/>
      <c r="B53" s="220" t="s">
        <v>838</v>
      </c>
      <c r="C53" s="229"/>
      <c r="D53" s="229"/>
      <c r="E53" s="229"/>
      <c r="F53" s="229"/>
      <c r="G53" s="229"/>
      <c r="H53" s="229"/>
      <c r="I53" s="229"/>
      <c r="J53" s="229"/>
      <c r="K53" s="229"/>
      <c r="L53" s="229"/>
      <c r="M53" s="229"/>
      <c r="N53" s="229"/>
      <c r="O53" s="203">
        <f t="shared" si="9"/>
        <v>0</v>
      </c>
    </row>
    <row r="54" spans="1:15" s="224" customFormat="1" ht="15.75" customHeight="1" x14ac:dyDescent="0.25">
      <c r="A54" s="219"/>
      <c r="B54" s="220" t="s">
        <v>31</v>
      </c>
      <c r="C54" s="229">
        <v>3000</v>
      </c>
      <c r="D54" s="229">
        <v>10648.04</v>
      </c>
      <c r="E54" s="229">
        <v>19751.97</v>
      </c>
      <c r="F54" s="229">
        <v>1000</v>
      </c>
      <c r="G54" s="229">
        <v>100</v>
      </c>
      <c r="H54" s="229">
        <v>27444.31</v>
      </c>
      <c r="I54" s="229">
        <v>38780.25</v>
      </c>
      <c r="J54" s="229">
        <v>68222.05</v>
      </c>
      <c r="K54" s="229">
        <v>0</v>
      </c>
      <c r="L54" s="229">
        <v>1100</v>
      </c>
      <c r="M54" s="229">
        <v>100</v>
      </c>
      <c r="N54" s="203">
        <v>1400</v>
      </c>
      <c r="O54" s="203">
        <f t="shared" si="9"/>
        <v>171546.62</v>
      </c>
    </row>
    <row r="55" spans="1:15" s="224" customFormat="1" ht="15.75" hidden="1" customHeight="1" x14ac:dyDescent="0.2">
      <c r="A55" s="219"/>
      <c r="B55" s="228" t="s">
        <v>1109</v>
      </c>
      <c r="C55" s="203"/>
      <c r="D55" s="203"/>
      <c r="E55" s="203"/>
      <c r="F55" s="203"/>
      <c r="G55" s="203"/>
      <c r="H55" s="203"/>
      <c r="I55" s="203"/>
      <c r="J55" s="203"/>
      <c r="K55" s="203"/>
      <c r="L55" s="203"/>
      <c r="M55" s="203"/>
      <c r="N55" s="203"/>
      <c r="O55" s="203">
        <f t="shared" si="9"/>
        <v>0</v>
      </c>
    </row>
    <row r="56" spans="1:15" s="224" customFormat="1" ht="15.75" hidden="1" customHeight="1" x14ac:dyDescent="0.2">
      <c r="A56" s="219"/>
      <c r="B56" s="228" t="s">
        <v>36</v>
      </c>
      <c r="C56" s="203"/>
      <c r="D56" s="203"/>
      <c r="E56" s="203"/>
      <c r="F56" s="203"/>
      <c r="G56" s="203"/>
      <c r="H56" s="203"/>
      <c r="I56" s="203"/>
      <c r="J56" s="203"/>
      <c r="K56" s="203"/>
      <c r="L56" s="203"/>
      <c r="M56" s="203"/>
      <c r="N56" s="203"/>
      <c r="O56" s="203">
        <f t="shared" si="9"/>
        <v>0</v>
      </c>
    </row>
    <row r="57" spans="1:15" s="224" customFormat="1" ht="15.75" customHeight="1" x14ac:dyDescent="0.2">
      <c r="A57" s="228"/>
      <c r="B57" s="228"/>
      <c r="C57" s="203"/>
      <c r="D57" s="203"/>
      <c r="E57" s="203"/>
      <c r="F57" s="203"/>
      <c r="G57" s="203"/>
      <c r="H57" s="203"/>
      <c r="I57" s="203"/>
      <c r="J57" s="203"/>
      <c r="K57" s="203"/>
      <c r="L57" s="203"/>
      <c r="M57" s="203"/>
      <c r="N57" s="203"/>
      <c r="O57" s="203"/>
    </row>
    <row r="58" spans="1:15" s="224" customFormat="1" ht="15.75" customHeight="1" x14ac:dyDescent="0.25">
      <c r="A58" s="216" t="s">
        <v>75</v>
      </c>
      <c r="B58" s="226"/>
      <c r="C58" s="227">
        <f t="shared" ref="C58:O58" si="10">SUM(C59)</f>
        <v>4995245.21</v>
      </c>
      <c r="D58" s="227">
        <f t="shared" si="10"/>
        <v>48265606.469999999</v>
      </c>
      <c r="E58" s="227">
        <f t="shared" si="10"/>
        <v>86246261.599999994</v>
      </c>
      <c r="F58" s="227">
        <f t="shared" si="10"/>
        <v>56507066.270000003</v>
      </c>
      <c r="G58" s="227">
        <f t="shared" si="10"/>
        <v>54161463.219999999</v>
      </c>
      <c r="H58" s="227">
        <f t="shared" si="10"/>
        <v>21699929.77</v>
      </c>
      <c r="I58" s="227">
        <f t="shared" si="10"/>
        <v>31884654.25</v>
      </c>
      <c r="J58" s="227">
        <f t="shared" si="10"/>
        <v>26566487.670000002</v>
      </c>
      <c r="K58" s="227">
        <f t="shared" si="10"/>
        <v>47691273.710000001</v>
      </c>
      <c r="L58" s="227">
        <f t="shared" si="10"/>
        <v>44810670.270000003</v>
      </c>
      <c r="M58" s="227">
        <f t="shared" si="10"/>
        <v>16422985.220000001</v>
      </c>
      <c r="N58" s="227">
        <f t="shared" si="10"/>
        <v>67031615.640000001</v>
      </c>
      <c r="O58" s="227">
        <f t="shared" si="10"/>
        <v>506283259.30000001</v>
      </c>
    </row>
    <row r="59" spans="1:15" s="224" customFormat="1" ht="15.75" customHeight="1" x14ac:dyDescent="0.2">
      <c r="A59" s="219"/>
      <c r="B59" s="220" t="s">
        <v>77</v>
      </c>
      <c r="C59" s="203">
        <v>4995245.21</v>
      </c>
      <c r="D59" s="203">
        <v>48265606.469999999</v>
      </c>
      <c r="E59" s="203">
        <v>86246261.599999994</v>
      </c>
      <c r="F59" s="203">
        <v>56507066.270000003</v>
      </c>
      <c r="G59" s="203">
        <v>54161463.219999999</v>
      </c>
      <c r="H59" s="203">
        <v>21699929.77</v>
      </c>
      <c r="I59" s="203">
        <v>31884654.25</v>
      </c>
      <c r="J59" s="203">
        <v>26566487.670000002</v>
      </c>
      <c r="K59" s="203">
        <v>47691273.710000001</v>
      </c>
      <c r="L59" s="203">
        <v>44810670.270000003</v>
      </c>
      <c r="M59" s="203">
        <v>16422985.220000001</v>
      </c>
      <c r="N59" s="203">
        <v>67031615.640000001</v>
      </c>
      <c r="O59" s="203">
        <f>SUM(C59:N59)</f>
        <v>506283259.30000001</v>
      </c>
    </row>
    <row r="60" spans="1:15" s="224" customFormat="1" ht="15.75" customHeight="1" x14ac:dyDescent="0.2">
      <c r="A60" s="228"/>
      <c r="B60" s="220"/>
      <c r="C60" s="203"/>
      <c r="D60" s="203"/>
      <c r="E60" s="203"/>
      <c r="F60" s="203"/>
      <c r="G60" s="203"/>
      <c r="H60" s="203"/>
      <c r="I60" s="203"/>
      <c r="J60" s="203"/>
      <c r="K60" s="203"/>
      <c r="L60" s="203"/>
      <c r="M60" s="203"/>
      <c r="N60" s="203"/>
      <c r="O60" s="203"/>
    </row>
    <row r="61" spans="1:15" s="224" customFormat="1" ht="15.75" customHeight="1" x14ac:dyDescent="0.25">
      <c r="A61" s="216" t="s">
        <v>839</v>
      </c>
      <c r="B61" s="230"/>
      <c r="C61" s="227">
        <f>SUM(C62:C69)</f>
        <v>142882535.91999999</v>
      </c>
      <c r="D61" s="227">
        <f t="shared" ref="D61:O61" si="11">SUM(D62:D69)</f>
        <v>147212864.22999999</v>
      </c>
      <c r="E61" s="227">
        <f t="shared" si="11"/>
        <v>173558899.52999997</v>
      </c>
      <c r="F61" s="227">
        <f t="shared" si="11"/>
        <v>372055751.38</v>
      </c>
      <c r="G61" s="227">
        <f t="shared" si="11"/>
        <v>319645807.07000005</v>
      </c>
      <c r="H61" s="227">
        <f t="shared" si="11"/>
        <v>468686300.05000013</v>
      </c>
      <c r="I61" s="227">
        <f t="shared" si="11"/>
        <v>428422445.51999986</v>
      </c>
      <c r="J61" s="227">
        <f t="shared" si="11"/>
        <v>390838609.59000015</v>
      </c>
      <c r="K61" s="227">
        <f t="shared" si="11"/>
        <v>516499797.85999995</v>
      </c>
      <c r="L61" s="227">
        <f t="shared" si="11"/>
        <v>301597392.60999972</v>
      </c>
      <c r="M61" s="227">
        <f t="shared" si="11"/>
        <v>317832945.59000009</v>
      </c>
      <c r="N61" s="227">
        <f t="shared" si="11"/>
        <v>158579325.09999973</v>
      </c>
      <c r="O61" s="227">
        <f t="shared" si="11"/>
        <v>3737812674.4499998</v>
      </c>
    </row>
    <row r="62" spans="1:15" s="224" customFormat="1" ht="15.75" customHeight="1" x14ac:dyDescent="0.2">
      <c r="A62" s="219"/>
      <c r="B62" s="220" t="s">
        <v>79</v>
      </c>
      <c r="C62" s="203">
        <f>4470+81607894.49</f>
        <v>81612364.489999995</v>
      </c>
      <c r="D62" s="203">
        <f>1265+81607894.49</f>
        <v>81609159.489999995</v>
      </c>
      <c r="E62" s="203">
        <v>14000</v>
      </c>
      <c r="F62" s="203">
        <v>5000</v>
      </c>
      <c r="G62" s="203">
        <f>2800+93901708.12</f>
        <v>93904508.120000005</v>
      </c>
      <c r="H62" s="203">
        <f>3780+93901708.12</f>
        <v>93905488.120000005</v>
      </c>
      <c r="I62" s="203">
        <f>9500+54655610.59</f>
        <v>54665110.590000004</v>
      </c>
      <c r="J62" s="203">
        <f>1155+54655610.59</f>
        <v>54656765.590000004</v>
      </c>
      <c r="K62" s="203">
        <f>2285+54655610.59</f>
        <v>54657895.590000004</v>
      </c>
      <c r="L62" s="203">
        <f>2050+78562712</f>
        <v>78564762</v>
      </c>
      <c r="M62" s="203">
        <f>1320+78562712</f>
        <v>78564032</v>
      </c>
      <c r="N62" s="203">
        <f>3365+78562712</f>
        <v>78566077</v>
      </c>
      <c r="O62" s="203">
        <f t="shared" ref="O62:O69" si="12">SUM(C62:N62)</f>
        <v>750725162.99000013</v>
      </c>
    </row>
    <row r="63" spans="1:15" s="224" customFormat="1" ht="14.25" x14ac:dyDescent="0.2">
      <c r="A63" s="219"/>
      <c r="B63" s="220" t="s">
        <v>81</v>
      </c>
      <c r="C63" s="203">
        <v>0</v>
      </c>
      <c r="D63" s="203">
        <v>0</v>
      </c>
      <c r="E63" s="203">
        <v>14000</v>
      </c>
      <c r="F63" s="203">
        <v>5000</v>
      </c>
      <c r="G63" s="203">
        <f>34000-SUM(C63:F63)</f>
        <v>15000</v>
      </c>
      <c r="H63" s="203">
        <f>58000-SUM(C63:G63)</f>
        <v>24000</v>
      </c>
      <c r="I63" s="203">
        <f>66000-SUM(C63:H63)</f>
        <v>8000</v>
      </c>
      <c r="J63" s="203">
        <f>70250-SUM(C63:I63)</f>
        <v>4250</v>
      </c>
      <c r="K63" s="203">
        <f>88500-SUM(C63:J63)</f>
        <v>18250</v>
      </c>
      <c r="L63" s="203">
        <f>103500-SUM(C63:K63)</f>
        <v>15000</v>
      </c>
      <c r="M63" s="203">
        <f>115250-SUM(C63:L63)</f>
        <v>11750</v>
      </c>
      <c r="N63" s="203">
        <f>146000-SUM(C63:M63)</f>
        <v>30750</v>
      </c>
      <c r="O63" s="203">
        <f t="shared" si="12"/>
        <v>146000</v>
      </c>
    </row>
    <row r="64" spans="1:15" s="224" customFormat="1" ht="24.75" hidden="1" customHeight="1" x14ac:dyDescent="0.2">
      <c r="A64" s="219"/>
      <c r="B64" s="220" t="s">
        <v>83</v>
      </c>
      <c r="C64" s="203"/>
      <c r="D64" s="203"/>
      <c r="E64" s="203"/>
      <c r="F64" s="203"/>
      <c r="G64" s="203"/>
      <c r="H64" s="203"/>
      <c r="I64" s="203"/>
      <c r="J64" s="203"/>
      <c r="K64" s="203"/>
      <c r="L64" s="203"/>
      <c r="M64" s="203"/>
      <c r="N64" s="203"/>
      <c r="O64" s="203">
        <f t="shared" si="12"/>
        <v>0</v>
      </c>
    </row>
    <row r="65" spans="1:16" s="224" customFormat="1" ht="15.75" customHeight="1" x14ac:dyDescent="0.2">
      <c r="A65" s="238"/>
      <c r="B65" s="236" t="s">
        <v>84</v>
      </c>
      <c r="C65" s="239">
        <v>45592821.200000003</v>
      </c>
      <c r="D65" s="239">
        <v>42981912.990000002</v>
      </c>
      <c r="E65" s="239">
        <v>151658559.82999998</v>
      </c>
      <c r="F65" s="239">
        <v>342492045.13999999</v>
      </c>
      <c r="G65" s="239">
        <v>206191552.42000008</v>
      </c>
      <c r="H65" s="239">
        <v>349168167.03000009</v>
      </c>
      <c r="I65" s="239">
        <v>348077071.62999988</v>
      </c>
      <c r="J65" s="239">
        <v>310291261.33000016</v>
      </c>
      <c r="K65" s="239">
        <v>392921611.76999998</v>
      </c>
      <c r="L65" s="239">
        <v>195234735.77999973</v>
      </c>
      <c r="M65" s="239">
        <v>205705635.94000006</v>
      </c>
      <c r="N65" s="239">
        <v>61184431.529999733</v>
      </c>
      <c r="O65" s="206">
        <f t="shared" si="12"/>
        <v>2651499806.5899997</v>
      </c>
    </row>
    <row r="66" spans="1:16" s="224" customFormat="1" ht="14.25" x14ac:dyDescent="0.2">
      <c r="A66" s="219"/>
      <c r="B66" s="220" t="s">
        <v>82</v>
      </c>
      <c r="C66" s="203">
        <v>3762257.55</v>
      </c>
      <c r="D66" s="203">
        <v>3841882.33</v>
      </c>
      <c r="E66" s="203">
        <v>6132745.2000000002</v>
      </c>
      <c r="F66" s="203">
        <v>5806898.54</v>
      </c>
      <c r="G66" s="203">
        <v>5330663.4000000004</v>
      </c>
      <c r="H66" s="203">
        <v>6903932.4699999997</v>
      </c>
      <c r="I66" s="203">
        <v>7148635</v>
      </c>
      <c r="J66" s="203">
        <v>10267207.199999999</v>
      </c>
      <c r="K66" s="203">
        <v>8823606.8900000006</v>
      </c>
      <c r="L66" s="203">
        <v>7626482.6900000004</v>
      </c>
      <c r="M66" s="203">
        <v>8789021.1199999992</v>
      </c>
      <c r="N66" s="203">
        <v>6554594.7800000003</v>
      </c>
      <c r="O66" s="203">
        <f t="shared" si="12"/>
        <v>80987927.170000002</v>
      </c>
    </row>
    <row r="67" spans="1:16" s="224" customFormat="1" ht="15.75" customHeight="1" x14ac:dyDescent="0.2">
      <c r="A67" s="219"/>
      <c r="B67" s="220" t="s">
        <v>85</v>
      </c>
      <c r="C67" s="203">
        <v>405345</v>
      </c>
      <c r="D67" s="203">
        <v>338590</v>
      </c>
      <c r="E67" s="203">
        <v>321535.5</v>
      </c>
      <c r="F67" s="203">
        <v>280273.83</v>
      </c>
      <c r="G67" s="203">
        <v>220458.98</v>
      </c>
      <c r="H67" s="203">
        <v>295995.44</v>
      </c>
      <c r="I67" s="203">
        <v>272101.45</v>
      </c>
      <c r="J67" s="203">
        <v>356334.93</v>
      </c>
      <c r="K67" s="203">
        <v>381803</v>
      </c>
      <c r="L67" s="203">
        <v>432535</v>
      </c>
      <c r="M67" s="203">
        <v>1861549.6</v>
      </c>
      <c r="N67" s="203">
        <v>518183.6</v>
      </c>
      <c r="O67" s="203">
        <f t="shared" si="12"/>
        <v>5684706.3300000001</v>
      </c>
    </row>
    <row r="68" spans="1:16" s="224" customFormat="1" ht="15.75" customHeight="1" x14ac:dyDescent="0.2">
      <c r="A68" s="219"/>
      <c r="B68" s="220" t="s">
        <v>131</v>
      </c>
      <c r="C68" s="203">
        <v>10320034.49</v>
      </c>
      <c r="D68" s="203">
        <v>17116455.800000001</v>
      </c>
      <c r="E68" s="203">
        <v>14437201</v>
      </c>
      <c r="F68" s="203">
        <v>22026207.75</v>
      </c>
      <c r="G68" s="203">
        <v>12999630.15</v>
      </c>
      <c r="H68" s="203">
        <v>16347637.630000001</v>
      </c>
      <c r="I68" s="203">
        <v>16863761.579999998</v>
      </c>
      <c r="J68" s="203">
        <v>13905057.710000001</v>
      </c>
      <c r="K68" s="203">
        <v>57804944.710000001</v>
      </c>
      <c r="L68" s="203">
        <v>18142546.300000001</v>
      </c>
      <c r="M68" s="203">
        <v>20993277.93</v>
      </c>
      <c r="N68" s="203">
        <v>10611366.130000001</v>
      </c>
      <c r="O68" s="203">
        <f t="shared" si="12"/>
        <v>231568121.18000001</v>
      </c>
    </row>
    <row r="69" spans="1:16" s="224" customFormat="1" ht="15.75" customHeight="1" x14ac:dyDescent="0.2">
      <c r="A69" s="219"/>
      <c r="B69" s="220" t="s">
        <v>840</v>
      </c>
      <c r="C69" s="203">
        <v>1189713.19</v>
      </c>
      <c r="D69" s="203">
        <v>1324863.6200000001</v>
      </c>
      <c r="E69" s="203">
        <v>980858</v>
      </c>
      <c r="F69" s="203">
        <v>1440326.12</v>
      </c>
      <c r="G69" s="203">
        <v>983994</v>
      </c>
      <c r="H69" s="203">
        <v>2041079.36</v>
      </c>
      <c r="I69" s="203">
        <v>1387765.27</v>
      </c>
      <c r="J69" s="203">
        <v>1357732.83</v>
      </c>
      <c r="K69" s="203">
        <v>1891685.9</v>
      </c>
      <c r="L69" s="203">
        <v>1581330.84</v>
      </c>
      <c r="M69" s="203">
        <v>1907679</v>
      </c>
      <c r="N69" s="203">
        <v>1113922.06</v>
      </c>
      <c r="O69" s="203">
        <f t="shared" si="12"/>
        <v>17200950.190000001</v>
      </c>
    </row>
    <row r="70" spans="1:16" s="224" customFormat="1" ht="12.75" customHeight="1" x14ac:dyDescent="0.2">
      <c r="A70" s="228"/>
      <c r="B70" s="220"/>
      <c r="C70" s="203"/>
      <c r="D70" s="203"/>
      <c r="E70" s="203"/>
      <c r="F70" s="203"/>
      <c r="G70" s="203"/>
      <c r="H70" s="203"/>
      <c r="I70" s="203"/>
      <c r="J70" s="203"/>
      <c r="K70" s="203"/>
      <c r="L70" s="203"/>
      <c r="M70" s="203"/>
      <c r="N70" s="203"/>
      <c r="O70" s="203"/>
    </row>
    <row r="71" spans="1:16" s="224" customFormat="1" ht="15.75" customHeight="1" x14ac:dyDescent="0.25">
      <c r="A71" s="216" t="s">
        <v>88</v>
      </c>
      <c r="B71" s="230"/>
      <c r="C71" s="227">
        <f>SUM(C72:C78)-C73-C74</f>
        <v>55596525.530000001</v>
      </c>
      <c r="D71" s="227">
        <f t="shared" ref="D71:N71" si="13">SUM(D72:D78)-D73-D74</f>
        <v>98734261.979999989</v>
      </c>
      <c r="E71" s="227">
        <f t="shared" si="13"/>
        <v>178601061.81</v>
      </c>
      <c r="F71" s="227">
        <f t="shared" si="13"/>
        <v>76928503.109999999</v>
      </c>
      <c r="G71" s="227">
        <f t="shared" si="13"/>
        <v>58742222.289999992</v>
      </c>
      <c r="H71" s="227">
        <f t="shared" si="13"/>
        <v>159574945.50000003</v>
      </c>
      <c r="I71" s="227">
        <f t="shared" si="13"/>
        <v>157251960.97000003</v>
      </c>
      <c r="J71" s="227">
        <f t="shared" si="13"/>
        <v>59775730.159999996</v>
      </c>
      <c r="K71" s="227">
        <f t="shared" si="13"/>
        <v>89167340.480000019</v>
      </c>
      <c r="L71" s="227">
        <f t="shared" si="13"/>
        <v>90835847.110000014</v>
      </c>
      <c r="M71" s="227">
        <f t="shared" si="13"/>
        <v>222137800.63</v>
      </c>
      <c r="N71" s="227">
        <f t="shared" si="13"/>
        <v>88276745.159999996</v>
      </c>
      <c r="O71" s="227">
        <f>SUM(O72:O78)-O73-O74</f>
        <v>1335622944.73</v>
      </c>
      <c r="P71" s="270"/>
    </row>
    <row r="72" spans="1:16" s="224" customFormat="1" ht="15.75" customHeight="1" x14ac:dyDescent="0.2">
      <c r="A72" s="219"/>
      <c r="B72" s="236" t="s">
        <v>89</v>
      </c>
      <c r="C72" s="203">
        <v>157350</v>
      </c>
      <c r="D72" s="203">
        <v>149850</v>
      </c>
      <c r="E72" s="203">
        <v>276650</v>
      </c>
      <c r="F72" s="203">
        <v>166400</v>
      </c>
      <c r="G72" s="203">
        <v>195750</v>
      </c>
      <c r="H72" s="203">
        <v>189290</v>
      </c>
      <c r="I72" s="203">
        <v>187000</v>
      </c>
      <c r="J72" s="203">
        <v>238750</v>
      </c>
      <c r="K72" s="203">
        <v>239250</v>
      </c>
      <c r="L72" s="203">
        <v>182000</v>
      </c>
      <c r="M72" s="203">
        <v>202800</v>
      </c>
      <c r="N72" s="203">
        <v>177850</v>
      </c>
      <c r="O72" s="203">
        <f t="shared" ref="O72:O78" si="14">SUM(C72:N72)</f>
        <v>2362940</v>
      </c>
    </row>
    <row r="73" spans="1:16" s="224" customFormat="1" ht="15.75" hidden="1" customHeight="1" x14ac:dyDescent="0.2">
      <c r="A73" s="219"/>
      <c r="B73" s="236" t="s">
        <v>841</v>
      </c>
      <c r="C73" s="203">
        <v>8382202.71</v>
      </c>
      <c r="D73" s="203">
        <v>8404821.1199999992</v>
      </c>
      <c r="E73" s="203">
        <v>10101652.18</v>
      </c>
      <c r="F73" s="203">
        <v>9230391.4100000001</v>
      </c>
      <c r="G73" s="203">
        <v>11197226.060000001</v>
      </c>
      <c r="H73" s="203">
        <v>11431212.949999999</v>
      </c>
      <c r="I73" s="203">
        <v>9614227.1699999999</v>
      </c>
      <c r="J73" s="203">
        <v>9780761.2300000004</v>
      </c>
      <c r="K73" s="203">
        <v>10151775.539999999</v>
      </c>
      <c r="L73" s="203">
        <v>10941248.289999999</v>
      </c>
      <c r="M73" s="202">
        <v>9430124.6099999994</v>
      </c>
      <c r="N73" s="203">
        <v>9325510.9399999995</v>
      </c>
      <c r="O73" s="203">
        <f t="shared" si="14"/>
        <v>117991154.20999999</v>
      </c>
    </row>
    <row r="74" spans="1:16" s="224" customFormat="1" ht="14.25" hidden="1" x14ac:dyDescent="0.2">
      <c r="A74" s="219"/>
      <c r="B74" s="236" t="s">
        <v>489</v>
      </c>
      <c r="C74" s="203"/>
      <c r="D74" s="203"/>
      <c r="E74" s="203"/>
      <c r="F74" s="203"/>
      <c r="G74" s="203"/>
      <c r="H74" s="203"/>
      <c r="I74" s="203"/>
      <c r="J74" s="203"/>
      <c r="K74" s="203"/>
      <c r="L74" s="203"/>
      <c r="M74" s="203"/>
      <c r="N74" s="203"/>
      <c r="O74" s="203">
        <f t="shared" si="14"/>
        <v>0</v>
      </c>
    </row>
    <row r="75" spans="1:16" s="224" customFormat="1" ht="15.75" customHeight="1" x14ac:dyDescent="0.2">
      <c r="A75" s="219"/>
      <c r="B75" s="236" t="s">
        <v>842</v>
      </c>
      <c r="C75" s="203">
        <v>0</v>
      </c>
      <c r="D75" s="203">
        <v>0</v>
      </c>
      <c r="E75" s="203">
        <v>0</v>
      </c>
      <c r="F75" s="203">
        <v>0</v>
      </c>
      <c r="G75" s="203">
        <v>4000</v>
      </c>
      <c r="H75" s="203">
        <v>20000</v>
      </c>
      <c r="I75" s="203">
        <v>0</v>
      </c>
      <c r="J75" s="203">
        <v>87500</v>
      </c>
      <c r="K75" s="203">
        <v>17500</v>
      </c>
      <c r="L75" s="203">
        <v>0</v>
      </c>
      <c r="M75" s="203">
        <v>0</v>
      </c>
      <c r="N75" s="203">
        <v>0</v>
      </c>
      <c r="O75" s="203">
        <f t="shared" si="14"/>
        <v>129000</v>
      </c>
    </row>
    <row r="76" spans="1:16" s="224" customFormat="1" ht="15.75" customHeight="1" x14ac:dyDescent="0.2">
      <c r="A76" s="219"/>
      <c r="B76" s="236" t="s">
        <v>90</v>
      </c>
      <c r="C76" s="203">
        <v>38246394.93</v>
      </c>
      <c r="D76" s="203">
        <v>57565805.829999998</v>
      </c>
      <c r="E76" s="203">
        <v>49559163.329999998</v>
      </c>
      <c r="F76" s="203">
        <v>33158492.629999999</v>
      </c>
      <c r="G76" s="203">
        <v>36070273.079999998</v>
      </c>
      <c r="H76" s="203">
        <v>88763197.370000005</v>
      </c>
      <c r="I76" s="203">
        <v>31844832.440000001</v>
      </c>
      <c r="J76" s="203">
        <v>41312915.009999998</v>
      </c>
      <c r="K76" s="203">
        <v>39918188.170000002</v>
      </c>
      <c r="L76" s="203">
        <v>48803040</v>
      </c>
      <c r="M76" s="203">
        <v>59946470.649999999</v>
      </c>
      <c r="N76" s="203">
        <v>46362704.259999998</v>
      </c>
      <c r="O76" s="203">
        <f t="shared" si="14"/>
        <v>571551477.69999993</v>
      </c>
    </row>
    <row r="77" spans="1:16" s="224" customFormat="1" ht="15.75" customHeight="1" x14ac:dyDescent="0.2">
      <c r="A77" s="219"/>
      <c r="B77" s="236" t="s">
        <v>214</v>
      </c>
      <c r="C77" s="203">
        <v>6877016.71</v>
      </c>
      <c r="D77" s="203">
        <v>7185131.7300000004</v>
      </c>
      <c r="E77" s="203">
        <v>12692195</v>
      </c>
      <c r="F77" s="203">
        <v>14888387.35</v>
      </c>
      <c r="G77" s="203">
        <v>9084742.2100000009</v>
      </c>
      <c r="H77" s="203">
        <v>9252091.7200000007</v>
      </c>
      <c r="I77" s="203">
        <v>4485596.57</v>
      </c>
      <c r="J77" s="203">
        <v>7030398.2000000002</v>
      </c>
      <c r="K77" s="203">
        <v>36503401.880000003</v>
      </c>
      <c r="L77" s="203">
        <v>13870340.970000001</v>
      </c>
      <c r="M77" s="203">
        <v>110583861.22</v>
      </c>
      <c r="N77" s="203">
        <v>29862342.57</v>
      </c>
      <c r="O77" s="203">
        <f t="shared" si="14"/>
        <v>262315506.13</v>
      </c>
    </row>
    <row r="78" spans="1:16" s="224" customFormat="1" ht="15.75" customHeight="1" x14ac:dyDescent="0.2">
      <c r="A78" s="219"/>
      <c r="B78" s="236" t="s">
        <v>91</v>
      </c>
      <c r="C78" s="203">
        <f>7646729.07+2393376.79+275658.03</f>
        <v>10315763.889999999</v>
      </c>
      <c r="D78" s="203">
        <f>32375982.43+1280143.36+177348.63</f>
        <v>33833474.420000002</v>
      </c>
      <c r="E78" s="203">
        <f>115533547.82+361338.12+178167.54</f>
        <v>116073053.48</v>
      </c>
      <c r="F78" s="203">
        <f>28158954.15+413145.94+143123.04</f>
        <v>28715223.129999999</v>
      </c>
      <c r="G78" s="203">
        <f>12920392.18+325500.35+141564.47</f>
        <v>13387457</v>
      </c>
      <c r="H78" s="203">
        <f>58713828.67+1126131.51+176651.27+1333754.96</f>
        <v>61350366.410000004</v>
      </c>
      <c r="I78" s="203">
        <f>119230691.66+405323.01+865041.81+233475.48</f>
        <v>120734531.96000001</v>
      </c>
      <c r="J78" s="203">
        <f>9245789.13+494107.13+1366270.69</f>
        <v>11106166.950000001</v>
      </c>
      <c r="K78" s="203">
        <f>10848308.05+614201.47+1026490.91</f>
        <v>12489000.430000002</v>
      </c>
      <c r="L78" s="212">
        <v>27980466.140000001</v>
      </c>
      <c r="M78" s="211">
        <v>51404668.759999998</v>
      </c>
      <c r="N78" s="211">
        <v>11873848.33</v>
      </c>
      <c r="O78" s="203">
        <f t="shared" si="14"/>
        <v>499264020.89999998</v>
      </c>
    </row>
    <row r="79" spans="1:16" s="224" customFormat="1" ht="12.75" customHeight="1" x14ac:dyDescent="0.2">
      <c r="A79" s="228"/>
      <c r="B79" s="228"/>
      <c r="C79" s="203"/>
      <c r="D79" s="203"/>
      <c r="E79" s="203"/>
      <c r="F79" s="203"/>
      <c r="G79" s="203"/>
      <c r="H79" s="203"/>
      <c r="I79" s="203"/>
      <c r="J79" s="203"/>
      <c r="K79" s="203"/>
      <c r="L79" s="203"/>
      <c r="M79" s="203"/>
      <c r="N79" s="203"/>
      <c r="O79" s="203"/>
    </row>
    <row r="80" spans="1:16" s="224" customFormat="1" ht="15.75" customHeight="1" x14ac:dyDescent="0.25">
      <c r="A80" s="216" t="s">
        <v>92</v>
      </c>
      <c r="B80" s="226"/>
      <c r="C80" s="227">
        <f>+C81+C82+C83</f>
        <v>76772027.640000001</v>
      </c>
      <c r="D80" s="227">
        <f t="shared" ref="D80:O80" si="15">+D81+D82+D83</f>
        <v>226039150.16</v>
      </c>
      <c r="E80" s="227">
        <f t="shared" si="15"/>
        <v>373663289.94</v>
      </c>
      <c r="F80" s="227">
        <f t="shared" si="15"/>
        <v>580191872.53999996</v>
      </c>
      <c r="G80" s="227">
        <f t="shared" si="15"/>
        <v>442893194.80000001</v>
      </c>
      <c r="H80" s="227">
        <f t="shared" si="15"/>
        <v>377755879.29000002</v>
      </c>
      <c r="I80" s="227">
        <f t="shared" si="15"/>
        <v>270182065.83999997</v>
      </c>
      <c r="J80" s="227">
        <f t="shared" si="15"/>
        <v>197198908.75999999</v>
      </c>
      <c r="K80" s="227">
        <f t="shared" si="15"/>
        <v>380987351.87</v>
      </c>
      <c r="L80" s="227">
        <f t="shared" si="15"/>
        <v>265177569.02000001</v>
      </c>
      <c r="M80" s="227">
        <f t="shared" si="15"/>
        <v>274252676.30000001</v>
      </c>
      <c r="N80" s="227">
        <f t="shared" si="15"/>
        <v>221820442.69</v>
      </c>
      <c r="O80" s="227">
        <f t="shared" si="15"/>
        <v>3686934428.8500004</v>
      </c>
    </row>
    <row r="81" spans="1:15" s="224" customFormat="1" ht="15.75" customHeight="1" x14ac:dyDescent="0.2">
      <c r="A81" s="228"/>
      <c r="B81" s="220" t="s">
        <v>761</v>
      </c>
      <c r="C81" s="203">
        <v>76772027.640000001</v>
      </c>
      <c r="D81" s="203">
        <v>226039150.16</v>
      </c>
      <c r="E81" s="203">
        <v>373663289.94</v>
      </c>
      <c r="F81" s="203">
        <v>580191872.53999996</v>
      </c>
      <c r="G81" s="203">
        <v>442893194.80000001</v>
      </c>
      <c r="H81" s="203">
        <v>377755879.29000002</v>
      </c>
      <c r="I81" s="203">
        <v>270182065.83999997</v>
      </c>
      <c r="J81" s="203">
        <v>197198908.75999999</v>
      </c>
      <c r="K81" s="203">
        <v>380987351.87</v>
      </c>
      <c r="L81" s="203">
        <v>265177569.02000001</v>
      </c>
      <c r="M81" s="203">
        <v>274252676.30000001</v>
      </c>
      <c r="N81" s="203">
        <v>221820442.69</v>
      </c>
      <c r="O81" s="203">
        <f>SUM(C81:N81)</f>
        <v>3686934428.8500004</v>
      </c>
    </row>
    <row r="82" spans="1:15" s="224" customFormat="1" ht="15.75" hidden="1" customHeight="1" x14ac:dyDescent="0.2">
      <c r="A82" s="228"/>
      <c r="B82" s="228" t="s">
        <v>94</v>
      </c>
      <c r="C82" s="203"/>
      <c r="D82" s="203"/>
      <c r="E82" s="203"/>
      <c r="F82" s="203"/>
      <c r="G82" s="203"/>
      <c r="H82" s="203"/>
      <c r="I82" s="203"/>
      <c r="J82" s="203"/>
      <c r="K82" s="203"/>
      <c r="L82" s="203"/>
      <c r="M82" s="203"/>
      <c r="N82" s="203"/>
      <c r="O82" s="203">
        <f t="shared" ref="O82:O83" si="16">SUM(C82:N82)</f>
        <v>0</v>
      </c>
    </row>
    <row r="83" spans="1:15" s="224" customFormat="1" ht="15.75" hidden="1" customHeight="1" x14ac:dyDescent="0.2">
      <c r="A83" s="228"/>
      <c r="B83" s="228" t="s">
        <v>491</v>
      </c>
      <c r="C83" s="203"/>
      <c r="D83" s="203"/>
      <c r="E83" s="203"/>
      <c r="F83" s="203"/>
      <c r="G83" s="203"/>
      <c r="H83" s="203"/>
      <c r="I83" s="203"/>
      <c r="J83" s="203"/>
      <c r="K83" s="203"/>
      <c r="L83" s="203"/>
      <c r="M83" s="203"/>
      <c r="N83" s="203"/>
      <c r="O83" s="203">
        <f t="shared" si="16"/>
        <v>0</v>
      </c>
    </row>
    <row r="84" spans="1:15" s="224" customFormat="1" ht="12.75" customHeight="1" x14ac:dyDescent="0.2">
      <c r="A84" s="228"/>
      <c r="B84" s="228"/>
      <c r="C84" s="203"/>
      <c r="D84" s="203"/>
      <c r="E84" s="203"/>
      <c r="F84" s="203"/>
      <c r="G84" s="203"/>
      <c r="H84" s="203"/>
      <c r="I84" s="203"/>
      <c r="J84" s="203"/>
      <c r="K84" s="203"/>
      <c r="L84" s="203"/>
      <c r="M84" s="203"/>
      <c r="N84" s="203"/>
      <c r="O84" s="203"/>
    </row>
    <row r="85" spans="1:15" s="224" customFormat="1" ht="15.75" customHeight="1" x14ac:dyDescent="0.25">
      <c r="A85" s="216" t="s">
        <v>96</v>
      </c>
      <c r="B85" s="226"/>
      <c r="C85" s="227">
        <f>SUM(C86:C88)</f>
        <v>2296861.25</v>
      </c>
      <c r="D85" s="227">
        <f t="shared" ref="D85:O85" si="17">SUM(D86:D88)</f>
        <v>2191816</v>
      </c>
      <c r="E85" s="227">
        <f t="shared" si="17"/>
        <v>2880103</v>
      </c>
      <c r="F85" s="227">
        <f t="shared" si="17"/>
        <v>2327685.8199999998</v>
      </c>
      <c r="G85" s="227">
        <f t="shared" si="17"/>
        <v>2681591.5</v>
      </c>
      <c r="H85" s="227">
        <f t="shared" si="17"/>
        <v>2642369</v>
      </c>
      <c r="I85" s="227">
        <f t="shared" si="17"/>
        <v>2702467</v>
      </c>
      <c r="J85" s="227">
        <f t="shared" si="17"/>
        <v>2770779.5</v>
      </c>
      <c r="K85" s="227">
        <f t="shared" si="17"/>
        <v>2407486</v>
      </c>
      <c r="L85" s="227">
        <f t="shared" si="17"/>
        <v>5256386</v>
      </c>
      <c r="M85" s="227">
        <f t="shared" si="17"/>
        <v>4618450</v>
      </c>
      <c r="N85" s="227">
        <f t="shared" si="17"/>
        <v>4125300</v>
      </c>
      <c r="O85" s="227">
        <f t="shared" si="17"/>
        <v>36901295.07</v>
      </c>
    </row>
    <row r="86" spans="1:15" s="224" customFormat="1" ht="15.75" customHeight="1" x14ac:dyDescent="0.25">
      <c r="A86" s="232"/>
      <c r="B86" s="220" t="s">
        <v>97</v>
      </c>
      <c r="C86" s="203">
        <v>1023050</v>
      </c>
      <c r="D86" s="203">
        <v>666000</v>
      </c>
      <c r="E86" s="203">
        <v>836300</v>
      </c>
      <c r="F86" s="203">
        <v>668240.81999999995</v>
      </c>
      <c r="G86" s="203">
        <v>680600</v>
      </c>
      <c r="H86" s="203">
        <v>550250</v>
      </c>
      <c r="I86" s="203">
        <v>598350</v>
      </c>
      <c r="J86" s="203">
        <v>749500</v>
      </c>
      <c r="K86" s="203">
        <v>703700</v>
      </c>
      <c r="L86" s="203">
        <v>3831290</v>
      </c>
      <c r="M86" s="203">
        <v>4618450</v>
      </c>
      <c r="N86" s="203">
        <v>4125300</v>
      </c>
      <c r="O86" s="203">
        <f t="shared" ref="O86:O88" si="18">SUM(C86:N86)</f>
        <v>19051030.82</v>
      </c>
    </row>
    <row r="87" spans="1:15" s="224" customFormat="1" ht="15.75" hidden="1" customHeight="1" x14ac:dyDescent="0.2">
      <c r="A87" s="228"/>
      <c r="B87" s="228" t="s">
        <v>98</v>
      </c>
      <c r="C87" s="203"/>
      <c r="D87" s="203"/>
      <c r="E87" s="203"/>
      <c r="F87" s="203"/>
      <c r="G87" s="203"/>
      <c r="H87" s="203"/>
      <c r="I87" s="203"/>
      <c r="J87" s="203"/>
      <c r="K87" s="203"/>
      <c r="L87" s="203"/>
      <c r="M87" s="203"/>
      <c r="N87" s="203"/>
      <c r="O87" s="203">
        <f t="shared" si="18"/>
        <v>0</v>
      </c>
    </row>
    <row r="88" spans="1:15" s="224" customFormat="1" ht="15.75" customHeight="1" x14ac:dyDescent="0.2">
      <c r="A88" s="228"/>
      <c r="B88" s="228" t="s">
        <v>843</v>
      </c>
      <c r="C88" s="203">
        <v>1273811.25</v>
      </c>
      <c r="D88" s="203">
        <v>1525816</v>
      </c>
      <c r="E88" s="203">
        <v>2043803</v>
      </c>
      <c r="F88" s="203">
        <v>1659445</v>
      </c>
      <c r="G88" s="203">
        <v>2000991.5</v>
      </c>
      <c r="H88" s="203">
        <v>2092119</v>
      </c>
      <c r="I88" s="203">
        <v>2104117</v>
      </c>
      <c r="J88" s="203">
        <v>2021279.5</v>
      </c>
      <c r="K88" s="203">
        <v>1703786</v>
      </c>
      <c r="L88" s="203">
        <v>1425096</v>
      </c>
      <c r="M88" s="203"/>
      <c r="N88" s="203"/>
      <c r="O88" s="203">
        <f t="shared" si="18"/>
        <v>17850264.25</v>
      </c>
    </row>
    <row r="89" spans="1:15" s="224" customFormat="1" ht="12.75" customHeight="1" x14ac:dyDescent="0.2">
      <c r="A89" s="228"/>
      <c r="B89" s="228"/>
      <c r="C89" s="203"/>
      <c r="D89" s="203"/>
      <c r="E89" s="203"/>
      <c r="F89" s="203"/>
      <c r="G89" s="203"/>
      <c r="H89" s="203"/>
      <c r="I89" s="203"/>
      <c r="J89" s="203"/>
      <c r="K89" s="203"/>
      <c r="L89" s="203"/>
      <c r="M89" s="203"/>
      <c r="N89" s="203"/>
      <c r="O89" s="203"/>
    </row>
    <row r="90" spans="1:15" s="224" customFormat="1" ht="15.75" customHeight="1" x14ac:dyDescent="0.25">
      <c r="A90" s="216" t="s">
        <v>844</v>
      </c>
      <c r="B90" s="226"/>
      <c r="C90" s="227">
        <f>SUM(C91:C92)</f>
        <v>648461.03</v>
      </c>
      <c r="D90" s="227">
        <f t="shared" ref="D90:O90" si="19">SUM(D91:D92)</f>
        <v>797975.43</v>
      </c>
      <c r="E90" s="227">
        <f t="shared" si="19"/>
        <v>1298041.06</v>
      </c>
      <c r="F90" s="227">
        <f t="shared" si="19"/>
        <v>1370973.96</v>
      </c>
      <c r="G90" s="227">
        <f t="shared" si="19"/>
        <v>741783.22</v>
      </c>
      <c r="H90" s="227">
        <f t="shared" si="19"/>
        <v>964112.97</v>
      </c>
      <c r="I90" s="227">
        <f t="shared" si="19"/>
        <v>1427484.22</v>
      </c>
      <c r="J90" s="227">
        <f t="shared" si="19"/>
        <v>1262596.4099999999</v>
      </c>
      <c r="K90" s="227">
        <f t="shared" si="19"/>
        <v>1390321.2</v>
      </c>
      <c r="L90" s="227">
        <f t="shared" si="19"/>
        <v>1270557.21</v>
      </c>
      <c r="M90" s="227">
        <f t="shared" si="19"/>
        <v>1375983.22</v>
      </c>
      <c r="N90" s="227">
        <f t="shared" si="19"/>
        <v>928641.67</v>
      </c>
      <c r="O90" s="227">
        <f t="shared" si="19"/>
        <v>13476931.599999998</v>
      </c>
    </row>
    <row r="91" spans="1:15" s="224" customFormat="1" ht="15.75" hidden="1" customHeight="1" x14ac:dyDescent="0.2">
      <c r="A91" s="219">
        <v>1</v>
      </c>
      <c r="B91" s="220" t="s">
        <v>1056</v>
      </c>
      <c r="C91" s="203">
        <v>0</v>
      </c>
      <c r="D91" s="203">
        <v>0</v>
      </c>
      <c r="E91" s="203">
        <v>0</v>
      </c>
      <c r="F91" s="203">
        <v>0</v>
      </c>
      <c r="G91" s="203">
        <v>0</v>
      </c>
      <c r="H91" s="203">
        <v>0</v>
      </c>
      <c r="I91" s="203">
        <v>0</v>
      </c>
      <c r="J91" s="203">
        <v>0</v>
      </c>
      <c r="K91" s="203">
        <v>0</v>
      </c>
      <c r="L91" s="203">
        <v>0</v>
      </c>
      <c r="M91" s="203">
        <v>0</v>
      </c>
      <c r="N91" s="203">
        <v>0</v>
      </c>
      <c r="O91" s="203">
        <f t="shared" ref="O91:O92" si="20">SUM(C91:N91)</f>
        <v>0</v>
      </c>
    </row>
    <row r="92" spans="1:15" s="224" customFormat="1" ht="15.75" customHeight="1" x14ac:dyDescent="0.2">
      <c r="A92" s="219"/>
      <c r="B92" s="220" t="s">
        <v>845</v>
      </c>
      <c r="C92" s="203">
        <v>648461.03</v>
      </c>
      <c r="D92" s="203">
        <v>797975.43</v>
      </c>
      <c r="E92" s="203">
        <v>1298041.06</v>
      </c>
      <c r="F92" s="203">
        <v>1370973.96</v>
      </c>
      <c r="G92" s="203">
        <v>741783.22</v>
      </c>
      <c r="H92" s="203">
        <v>964112.97</v>
      </c>
      <c r="I92" s="203">
        <v>1427484.22</v>
      </c>
      <c r="J92" s="203">
        <v>1262596.4099999999</v>
      </c>
      <c r="K92" s="203">
        <v>1390321.2</v>
      </c>
      <c r="L92" s="203">
        <v>1270557.21</v>
      </c>
      <c r="M92" s="203">
        <v>1375983.22</v>
      </c>
      <c r="N92" s="203">
        <v>928641.67</v>
      </c>
      <c r="O92" s="203">
        <f t="shared" si="20"/>
        <v>13476931.599999998</v>
      </c>
    </row>
    <row r="93" spans="1:15" s="224" customFormat="1" ht="15.75" customHeight="1" x14ac:dyDescent="0.2">
      <c r="A93" s="228"/>
      <c r="B93" s="228"/>
      <c r="C93" s="203"/>
      <c r="D93" s="203"/>
      <c r="E93" s="203"/>
      <c r="F93" s="203"/>
      <c r="G93" s="203"/>
      <c r="H93" s="203"/>
      <c r="I93" s="203"/>
      <c r="J93" s="203"/>
      <c r="K93" s="203"/>
      <c r="L93" s="203"/>
      <c r="M93" s="203"/>
      <c r="N93" s="203"/>
      <c r="O93" s="203"/>
    </row>
    <row r="94" spans="1:15" s="224" customFormat="1" ht="15.75" customHeight="1" x14ac:dyDescent="0.25">
      <c r="A94" s="216" t="s">
        <v>846</v>
      </c>
      <c r="B94" s="226"/>
      <c r="C94" s="227">
        <f>SUM(C95:C96)</f>
        <v>1086488980.6500001</v>
      </c>
      <c r="D94" s="227">
        <f t="shared" ref="D94:O94" si="21">SUM(D95:D96)</f>
        <v>513023154</v>
      </c>
      <c r="E94" s="227">
        <f t="shared" si="21"/>
        <v>569877985.94000006</v>
      </c>
      <c r="F94" s="227">
        <f t="shared" si="21"/>
        <v>400116765.75999999</v>
      </c>
      <c r="G94" s="227">
        <f t="shared" si="21"/>
        <v>467951558.77999997</v>
      </c>
      <c r="H94" s="227">
        <f t="shared" si="21"/>
        <v>895811584.65999997</v>
      </c>
      <c r="I94" s="227">
        <f t="shared" si="21"/>
        <v>836192825.37</v>
      </c>
      <c r="J94" s="227">
        <f t="shared" si="21"/>
        <v>859358984.88</v>
      </c>
      <c r="K94" s="227">
        <f t="shared" si="21"/>
        <v>2370895458.98</v>
      </c>
      <c r="L94" s="227">
        <f t="shared" si="21"/>
        <v>571506582.63</v>
      </c>
      <c r="M94" s="227">
        <f t="shared" si="21"/>
        <v>645576699.41999996</v>
      </c>
      <c r="N94" s="227">
        <f t="shared" si="21"/>
        <v>290180763.30000001</v>
      </c>
      <c r="O94" s="227">
        <f t="shared" si="21"/>
        <v>9506981344.3699989</v>
      </c>
    </row>
    <row r="95" spans="1:15" s="224" customFormat="1" ht="15.75" hidden="1" customHeight="1" x14ac:dyDescent="0.2">
      <c r="A95" s="219"/>
      <c r="B95" s="228" t="s">
        <v>1057</v>
      </c>
      <c r="C95" s="203"/>
      <c r="D95" s="203"/>
      <c r="E95" s="203"/>
      <c r="F95" s="203"/>
      <c r="G95" s="203"/>
      <c r="H95" s="203"/>
      <c r="I95" s="203"/>
      <c r="J95" s="203"/>
      <c r="K95" s="203"/>
      <c r="L95" s="203"/>
      <c r="M95" s="203"/>
      <c r="N95" s="203"/>
      <c r="O95" s="203">
        <f t="shared" ref="O95:O96" si="22">SUM(C95:N95)</f>
        <v>0</v>
      </c>
    </row>
    <row r="96" spans="1:15" s="224" customFormat="1" ht="15.75" customHeight="1" x14ac:dyDescent="0.2">
      <c r="A96" s="219"/>
      <c r="B96" s="228" t="s">
        <v>37</v>
      </c>
      <c r="C96" s="203">
        <v>1086488980.6500001</v>
      </c>
      <c r="D96" s="203">
        <v>513023154</v>
      </c>
      <c r="E96" s="203">
        <v>569877985.94000006</v>
      </c>
      <c r="F96" s="203">
        <v>400116765.75999999</v>
      </c>
      <c r="G96" s="203">
        <v>467951558.77999997</v>
      </c>
      <c r="H96" s="203">
        <v>895811584.65999997</v>
      </c>
      <c r="I96" s="203">
        <v>836192825.37</v>
      </c>
      <c r="J96" s="203">
        <v>859358984.88</v>
      </c>
      <c r="K96" s="203">
        <v>2370895458.98</v>
      </c>
      <c r="L96" s="203">
        <v>571506582.63</v>
      </c>
      <c r="M96" s="203">
        <v>645576699.41999996</v>
      </c>
      <c r="N96" s="203">
        <v>290180763.30000001</v>
      </c>
      <c r="O96" s="203">
        <f t="shared" si="22"/>
        <v>9506981344.3699989</v>
      </c>
    </row>
    <row r="97" spans="1:15" s="224" customFormat="1" ht="15.75" customHeight="1" x14ac:dyDescent="0.2">
      <c r="A97" s="228"/>
      <c r="B97" s="228"/>
      <c r="C97" s="203"/>
      <c r="D97" s="203"/>
      <c r="E97" s="203"/>
      <c r="F97" s="203"/>
      <c r="G97" s="203"/>
      <c r="H97" s="203"/>
      <c r="I97" s="203"/>
      <c r="J97" s="203"/>
      <c r="K97" s="203"/>
      <c r="L97" s="203"/>
      <c r="M97" s="203"/>
      <c r="N97" s="203"/>
      <c r="O97" s="203"/>
    </row>
    <row r="98" spans="1:15" s="224" customFormat="1" ht="15.75" customHeight="1" x14ac:dyDescent="0.25">
      <c r="A98" s="216" t="s">
        <v>102</v>
      </c>
      <c r="B98" s="226"/>
      <c r="C98" s="227">
        <f>SUM(C99:C104)-C100</f>
        <v>878375.03999996185</v>
      </c>
      <c r="D98" s="227">
        <f t="shared" ref="D98:O98" si="23">SUM(D99:D104)-D100</f>
        <v>1547107.7300000191</v>
      </c>
      <c r="E98" s="227">
        <f t="shared" si="23"/>
        <v>18219512.399999976</v>
      </c>
      <c r="F98" s="227">
        <f t="shared" si="23"/>
        <v>1392085.1200000048</v>
      </c>
      <c r="G98" s="227">
        <f t="shared" si="23"/>
        <v>1240582.5199999809</v>
      </c>
      <c r="H98" s="227">
        <f t="shared" si="23"/>
        <v>2096691.2400000095</v>
      </c>
      <c r="I98" s="227">
        <f t="shared" si="23"/>
        <v>6894021.0300000012</v>
      </c>
      <c r="J98" s="227">
        <f t="shared" si="23"/>
        <v>11561390.00999999</v>
      </c>
      <c r="K98" s="227">
        <f t="shared" si="23"/>
        <v>1781010.5799999833</v>
      </c>
      <c r="L98" s="227">
        <f t="shared" si="23"/>
        <v>1227756.8899999857</v>
      </c>
      <c r="M98" s="227">
        <f t="shared" si="23"/>
        <v>191616.90999999642</v>
      </c>
      <c r="N98" s="227">
        <f t="shared" si="23"/>
        <v>222992.75</v>
      </c>
      <c r="O98" s="227">
        <f t="shared" si="23"/>
        <v>47253142.21999979</v>
      </c>
    </row>
    <row r="99" spans="1:15" s="224" customFormat="1" hidden="1" x14ac:dyDescent="0.25">
      <c r="A99" s="240">
        <v>1</v>
      </c>
      <c r="B99" s="220" t="s">
        <v>847</v>
      </c>
      <c r="C99" s="241"/>
      <c r="D99" s="241"/>
      <c r="E99" s="241"/>
      <c r="F99" s="241"/>
      <c r="G99" s="241"/>
      <c r="H99" s="241"/>
      <c r="I99" s="241"/>
      <c r="J99" s="241"/>
      <c r="K99" s="241"/>
      <c r="L99" s="241"/>
      <c r="M99" s="241"/>
      <c r="N99" s="241"/>
      <c r="O99" s="203">
        <f t="shared" ref="O99:O104" si="24">SUM(C99:N99)</f>
        <v>0</v>
      </c>
    </row>
    <row r="100" spans="1:15" s="224" customFormat="1" ht="14.25" hidden="1" x14ac:dyDescent="0.2">
      <c r="A100" s="219">
        <v>2</v>
      </c>
      <c r="B100" s="220" t="s">
        <v>103</v>
      </c>
      <c r="C100" s="211">
        <v>845327561.88</v>
      </c>
      <c r="D100" s="211">
        <v>561343659.91999996</v>
      </c>
      <c r="E100" s="211">
        <v>431082789.94999999</v>
      </c>
      <c r="F100" s="211">
        <v>334581472.02999997</v>
      </c>
      <c r="G100" s="211">
        <v>212468649.59</v>
      </c>
      <c r="H100" s="211">
        <v>168875885.11000001</v>
      </c>
      <c r="I100" s="211">
        <v>259701898.05000001</v>
      </c>
      <c r="J100" s="211">
        <v>326599381.13999999</v>
      </c>
      <c r="K100" s="211">
        <v>172215838.72</v>
      </c>
      <c r="L100" s="211">
        <v>233220109.33000001</v>
      </c>
      <c r="M100" s="211">
        <v>183922443.84999999</v>
      </c>
      <c r="N100" s="211">
        <v>141274839.31999999</v>
      </c>
      <c r="O100" s="203">
        <f t="shared" si="24"/>
        <v>3870614528.8899999</v>
      </c>
    </row>
    <row r="101" spans="1:15" s="224" customFormat="1" ht="14.25" hidden="1" x14ac:dyDescent="0.2">
      <c r="A101" s="219"/>
      <c r="B101" s="220" t="s">
        <v>104</v>
      </c>
      <c r="C101" s="203">
        <v>0</v>
      </c>
      <c r="D101" s="203">
        <v>0</v>
      </c>
      <c r="E101" s="203">
        <v>0</v>
      </c>
      <c r="F101" s="203">
        <v>0</v>
      </c>
      <c r="G101" s="203">
        <v>0</v>
      </c>
      <c r="H101" s="203">
        <v>0</v>
      </c>
      <c r="I101" s="203">
        <v>0</v>
      </c>
      <c r="J101" s="203">
        <v>0</v>
      </c>
      <c r="K101" s="203">
        <v>0</v>
      </c>
      <c r="L101" s="203">
        <v>0</v>
      </c>
      <c r="M101" s="203">
        <v>0</v>
      </c>
      <c r="N101" s="203">
        <v>0</v>
      </c>
      <c r="O101" s="203">
        <f t="shared" si="24"/>
        <v>0</v>
      </c>
    </row>
    <row r="102" spans="1:15" s="224" customFormat="1" ht="15.75" customHeight="1" x14ac:dyDescent="0.2">
      <c r="A102" s="219"/>
      <c r="B102" s="220" t="s">
        <v>105</v>
      </c>
      <c r="C102" s="203">
        <v>830968.04</v>
      </c>
      <c r="D102" s="203">
        <v>393743.53</v>
      </c>
      <c r="E102" s="203">
        <v>977510.59</v>
      </c>
      <c r="F102" s="203">
        <v>782889</v>
      </c>
      <c r="G102" s="203">
        <v>391138.23</v>
      </c>
      <c r="H102" s="203">
        <v>258137.28</v>
      </c>
      <c r="I102" s="203">
        <v>80835</v>
      </c>
      <c r="J102" s="203">
        <v>463534.76</v>
      </c>
      <c r="K102" s="203">
        <v>711540.16</v>
      </c>
      <c r="L102" s="203">
        <v>199945</v>
      </c>
      <c r="M102" s="203">
        <v>191616.91</v>
      </c>
      <c r="N102" s="203">
        <v>222992.75</v>
      </c>
      <c r="O102" s="203">
        <f t="shared" si="24"/>
        <v>5504851.25</v>
      </c>
    </row>
    <row r="103" spans="1:15" s="224" customFormat="1" ht="14.25" x14ac:dyDescent="0.2">
      <c r="A103" s="219"/>
      <c r="B103" s="220" t="s">
        <v>848</v>
      </c>
      <c r="C103" s="203">
        <v>47407</v>
      </c>
      <c r="D103" s="203">
        <v>1153364.2</v>
      </c>
      <c r="E103" s="203">
        <v>17242001.809999999</v>
      </c>
      <c r="F103" s="203">
        <v>609196.12</v>
      </c>
      <c r="G103" s="203">
        <v>849444.29</v>
      </c>
      <c r="H103" s="203">
        <v>1838553.96</v>
      </c>
      <c r="I103" s="203">
        <v>6813186.0300000003</v>
      </c>
      <c r="J103" s="203">
        <v>11097855.25</v>
      </c>
      <c r="K103" s="203">
        <v>1069470.42</v>
      </c>
      <c r="L103" s="203">
        <v>1027811.89</v>
      </c>
      <c r="M103" s="203"/>
      <c r="N103" s="203"/>
      <c r="O103" s="203">
        <f t="shared" si="24"/>
        <v>41748290.969999999</v>
      </c>
    </row>
    <row r="104" spans="1:15" s="224" customFormat="1" ht="15.75" hidden="1" customHeight="1" x14ac:dyDescent="0.2">
      <c r="A104" s="219"/>
      <c r="B104" s="220" t="s">
        <v>1058</v>
      </c>
      <c r="C104" s="203">
        <v>0</v>
      </c>
      <c r="D104" s="203">
        <v>0</v>
      </c>
      <c r="E104" s="203">
        <v>0</v>
      </c>
      <c r="F104" s="203">
        <v>0</v>
      </c>
      <c r="G104" s="203">
        <v>0</v>
      </c>
      <c r="H104" s="203">
        <v>0</v>
      </c>
      <c r="I104" s="203">
        <v>0</v>
      </c>
      <c r="J104" s="203">
        <v>0</v>
      </c>
      <c r="K104" s="203">
        <v>0</v>
      </c>
      <c r="L104" s="203">
        <v>0</v>
      </c>
      <c r="M104" s="203">
        <v>0</v>
      </c>
      <c r="N104" s="203">
        <v>0</v>
      </c>
      <c r="O104" s="203">
        <f t="shared" si="24"/>
        <v>0</v>
      </c>
    </row>
    <row r="105" spans="1:15" s="224" customFormat="1" ht="12.75" hidden="1" customHeight="1" x14ac:dyDescent="0.2">
      <c r="A105" s="228"/>
      <c r="B105" s="228"/>
      <c r="C105" s="203"/>
      <c r="D105" s="203"/>
      <c r="E105" s="203"/>
      <c r="F105" s="203"/>
      <c r="G105" s="203"/>
      <c r="H105" s="203"/>
      <c r="I105" s="203"/>
      <c r="J105" s="203"/>
      <c r="K105" s="203"/>
      <c r="L105" s="203"/>
      <c r="M105" s="203"/>
      <c r="N105" s="203"/>
      <c r="O105" s="203"/>
    </row>
    <row r="106" spans="1:15" s="224" customFormat="1" ht="12.75" customHeight="1" x14ac:dyDescent="0.2">
      <c r="A106" s="228"/>
      <c r="B106" s="228"/>
      <c r="C106" s="203"/>
      <c r="D106" s="203"/>
      <c r="E106" s="203"/>
      <c r="F106" s="203"/>
      <c r="G106" s="203"/>
      <c r="H106" s="203"/>
      <c r="I106" s="203"/>
      <c r="J106" s="203"/>
      <c r="K106" s="203"/>
      <c r="L106" s="203"/>
      <c r="M106" s="203"/>
      <c r="N106" s="203"/>
      <c r="O106" s="203"/>
    </row>
    <row r="107" spans="1:15" s="224" customFormat="1" ht="15.75" customHeight="1" x14ac:dyDescent="0.25">
      <c r="A107" s="216" t="s">
        <v>107</v>
      </c>
      <c r="B107" s="226"/>
      <c r="C107" s="227">
        <f>SUM(C108:C115)</f>
        <v>319492354.54000002</v>
      </c>
      <c r="D107" s="227">
        <f t="shared" ref="D107:O107" si="25">SUM(D108:D115)</f>
        <v>321013598.58999997</v>
      </c>
      <c r="E107" s="227">
        <f t="shared" si="25"/>
        <v>413544823.78000003</v>
      </c>
      <c r="F107" s="227">
        <f t="shared" si="25"/>
        <v>352014666.36000001</v>
      </c>
      <c r="G107" s="227">
        <f t="shared" si="25"/>
        <v>410598314.32999998</v>
      </c>
      <c r="H107" s="227">
        <f t="shared" si="25"/>
        <v>418272699.82999998</v>
      </c>
      <c r="I107" s="227">
        <f t="shared" si="25"/>
        <v>427863293.83999997</v>
      </c>
      <c r="J107" s="227">
        <f t="shared" si="25"/>
        <v>441736458.76999998</v>
      </c>
      <c r="K107" s="227">
        <f t="shared" si="25"/>
        <v>486196389.15999997</v>
      </c>
      <c r="L107" s="227">
        <f t="shared" si="25"/>
        <v>494416985.43000001</v>
      </c>
      <c r="M107" s="227">
        <f t="shared" si="25"/>
        <v>465589118.00999999</v>
      </c>
      <c r="N107" s="227">
        <f t="shared" si="25"/>
        <v>436700971.70999998</v>
      </c>
      <c r="O107" s="227">
        <f t="shared" si="25"/>
        <v>4987439674.3500004</v>
      </c>
    </row>
    <row r="108" spans="1:15" s="224" customFormat="1" ht="15.75" customHeight="1" x14ac:dyDescent="0.2">
      <c r="A108" s="219"/>
      <c r="B108" s="220" t="s">
        <v>109</v>
      </c>
      <c r="C108" s="203">
        <v>453588</v>
      </c>
      <c r="D108" s="203">
        <v>188484</v>
      </c>
      <c r="E108" s="203">
        <v>103827.31</v>
      </c>
      <c r="F108" s="203">
        <v>286697.03999999998</v>
      </c>
      <c r="G108" s="203">
        <v>1278719.03</v>
      </c>
      <c r="H108" s="203">
        <v>973401.74</v>
      </c>
      <c r="I108" s="203">
        <v>795770.71</v>
      </c>
      <c r="J108" s="203">
        <v>816575.82</v>
      </c>
      <c r="K108" s="203">
        <v>716441.21</v>
      </c>
      <c r="L108" s="203">
        <v>491641.72</v>
      </c>
      <c r="M108" s="203"/>
      <c r="N108" s="203"/>
      <c r="O108" s="203">
        <f t="shared" ref="O108:O115" si="26">SUM(C108:N108)</f>
        <v>6105146.5800000001</v>
      </c>
    </row>
    <row r="109" spans="1:15" s="224" customFormat="1" ht="15.75" customHeight="1" x14ac:dyDescent="0.2">
      <c r="A109" s="219"/>
      <c r="B109" s="220" t="s">
        <v>110</v>
      </c>
      <c r="C109" s="203">
        <v>255935126.43000001</v>
      </c>
      <c r="D109" s="203">
        <v>255985545.94999999</v>
      </c>
      <c r="E109" s="203">
        <v>344861441.42000002</v>
      </c>
      <c r="F109" s="203">
        <v>299813559.07999998</v>
      </c>
      <c r="G109" s="203">
        <v>348136674.85000002</v>
      </c>
      <c r="H109" s="203">
        <v>350028902.89999998</v>
      </c>
      <c r="I109" s="203">
        <v>361275033.26999998</v>
      </c>
      <c r="J109" s="203">
        <v>377204398.95999998</v>
      </c>
      <c r="K109" s="203">
        <v>408687258.16000003</v>
      </c>
      <c r="L109" s="203">
        <v>443567936.06999999</v>
      </c>
      <c r="M109" s="203">
        <v>415496830.24000001</v>
      </c>
      <c r="N109" s="203">
        <v>396184293.25</v>
      </c>
      <c r="O109" s="203">
        <f t="shared" si="26"/>
        <v>4257177000.5799999</v>
      </c>
    </row>
    <row r="110" spans="1:15" s="224" customFormat="1" ht="15.75" hidden="1" customHeight="1" x14ac:dyDescent="0.2">
      <c r="A110" s="219"/>
      <c r="B110" s="220" t="s">
        <v>762</v>
      </c>
      <c r="C110" s="203"/>
      <c r="D110" s="203"/>
      <c r="E110" s="203"/>
      <c r="F110" s="203"/>
      <c r="G110" s="203"/>
      <c r="H110" s="203"/>
      <c r="I110" s="203"/>
      <c r="J110" s="203"/>
      <c r="K110" s="203"/>
      <c r="L110" s="203"/>
      <c r="M110" s="203"/>
      <c r="N110" s="203"/>
      <c r="O110" s="203">
        <f t="shared" si="26"/>
        <v>0</v>
      </c>
    </row>
    <row r="111" spans="1:15" s="224" customFormat="1" ht="15.75" hidden="1" customHeight="1" x14ac:dyDescent="0.2">
      <c r="A111" s="219"/>
      <c r="B111" s="220" t="s">
        <v>111</v>
      </c>
      <c r="C111" s="203"/>
      <c r="D111" s="203"/>
      <c r="E111" s="203"/>
      <c r="F111" s="203"/>
      <c r="G111" s="203"/>
      <c r="H111" s="203"/>
      <c r="I111" s="203"/>
      <c r="J111" s="203"/>
      <c r="K111" s="203"/>
      <c r="L111" s="203"/>
      <c r="M111" s="203"/>
      <c r="N111" s="203"/>
      <c r="O111" s="203">
        <f t="shared" si="26"/>
        <v>0</v>
      </c>
    </row>
    <row r="112" spans="1:15" s="224" customFormat="1" ht="15.75" customHeight="1" x14ac:dyDescent="0.2">
      <c r="A112" s="219"/>
      <c r="B112" s="220" t="s">
        <v>112</v>
      </c>
      <c r="C112" s="203">
        <v>62398391</v>
      </c>
      <c r="D112" s="203">
        <v>64066056</v>
      </c>
      <c r="E112" s="203">
        <v>68118646</v>
      </c>
      <c r="F112" s="203">
        <v>49563294</v>
      </c>
      <c r="G112" s="203">
        <v>59156628</v>
      </c>
      <c r="H112" s="203">
        <v>64194595</v>
      </c>
      <c r="I112" s="203">
        <v>63764801</v>
      </c>
      <c r="J112" s="203">
        <v>62201948</v>
      </c>
      <c r="K112" s="203">
        <v>57803009</v>
      </c>
      <c r="L112" s="203">
        <v>48331846</v>
      </c>
      <c r="M112" s="203">
        <v>46681051</v>
      </c>
      <c r="N112" s="203">
        <v>34942678</v>
      </c>
      <c r="O112" s="203">
        <f t="shared" si="26"/>
        <v>681222943</v>
      </c>
    </row>
    <row r="113" spans="1:15" s="224" customFormat="1" ht="15.75" hidden="1" customHeight="1" x14ac:dyDescent="0.2">
      <c r="A113" s="219"/>
      <c r="B113" s="220" t="s">
        <v>498</v>
      </c>
      <c r="C113" s="203"/>
      <c r="D113" s="203"/>
      <c r="E113" s="203"/>
      <c r="F113" s="203"/>
      <c r="G113" s="203"/>
      <c r="H113" s="203"/>
      <c r="I113" s="203"/>
      <c r="J113" s="203"/>
      <c r="K113" s="203"/>
      <c r="L113" s="203"/>
      <c r="M113" s="203"/>
      <c r="N113" s="203"/>
      <c r="O113" s="203">
        <f t="shared" si="26"/>
        <v>0</v>
      </c>
    </row>
    <row r="114" spans="1:15" s="224" customFormat="1" ht="15.75" customHeight="1" x14ac:dyDescent="0.2">
      <c r="A114" s="219"/>
      <c r="B114" s="220" t="s">
        <v>849</v>
      </c>
      <c r="C114" s="211">
        <v>705249.11</v>
      </c>
      <c r="D114" s="211">
        <v>773512.64</v>
      </c>
      <c r="E114" s="211">
        <v>460909.05</v>
      </c>
      <c r="F114" s="211">
        <v>2351116.2400000002</v>
      </c>
      <c r="G114" s="211">
        <v>2024292.45</v>
      </c>
      <c r="H114" s="211">
        <v>3072800.19</v>
      </c>
      <c r="I114" s="211">
        <v>2023688.86</v>
      </c>
      <c r="J114" s="211">
        <v>1453535.99</v>
      </c>
      <c r="K114" s="211">
        <v>2784451.28</v>
      </c>
      <c r="L114" s="211">
        <v>2023561.64</v>
      </c>
      <c r="M114" s="211">
        <v>3405236.77</v>
      </c>
      <c r="N114" s="211">
        <v>5547000.46</v>
      </c>
      <c r="O114" s="203">
        <f t="shared" si="26"/>
        <v>26625354.68</v>
      </c>
    </row>
    <row r="115" spans="1:15" s="224" customFormat="1" ht="15.75" customHeight="1" x14ac:dyDescent="0.2">
      <c r="A115" s="219"/>
      <c r="B115" s="220" t="s">
        <v>850</v>
      </c>
      <c r="C115" s="203"/>
      <c r="D115" s="203"/>
      <c r="E115" s="203"/>
      <c r="F115" s="203"/>
      <c r="G115" s="203">
        <v>2000</v>
      </c>
      <c r="H115" s="203">
        <v>3000</v>
      </c>
      <c r="I115" s="204">
        <v>4000</v>
      </c>
      <c r="J115" s="203">
        <v>60000</v>
      </c>
      <c r="K115" s="203">
        <v>16205229.51</v>
      </c>
      <c r="L115" s="203">
        <v>2000</v>
      </c>
      <c r="M115" s="203">
        <v>6000</v>
      </c>
      <c r="N115" s="203">
        <v>27000</v>
      </c>
      <c r="O115" s="203">
        <f t="shared" si="26"/>
        <v>16309229.51</v>
      </c>
    </row>
    <row r="116" spans="1:15" s="224" customFormat="1" ht="15.75" customHeight="1" x14ac:dyDescent="0.2">
      <c r="A116" s="228"/>
      <c r="B116" s="228"/>
      <c r="C116" s="203"/>
      <c r="D116" s="203"/>
      <c r="E116" s="203"/>
      <c r="F116" s="203"/>
      <c r="G116" s="203"/>
      <c r="H116" s="203"/>
      <c r="I116" s="203"/>
      <c r="J116" s="203"/>
      <c r="K116" s="203"/>
      <c r="L116" s="203"/>
      <c r="M116" s="203"/>
      <c r="N116" s="203"/>
      <c r="O116" s="203"/>
    </row>
    <row r="117" spans="1:15" s="224" customFormat="1" ht="15.75" customHeight="1" x14ac:dyDescent="0.25">
      <c r="A117" s="216" t="s">
        <v>113</v>
      </c>
      <c r="B117" s="226"/>
      <c r="C117" s="227">
        <f>SUM(C118:C123)</f>
        <v>162149486.68000001</v>
      </c>
      <c r="D117" s="227">
        <f t="shared" ref="D117:O117" si="27">SUM(D118:D123)</f>
        <v>185491966.44999999</v>
      </c>
      <c r="E117" s="227">
        <f t="shared" si="27"/>
        <v>269445012.75999999</v>
      </c>
      <c r="F117" s="227">
        <f t="shared" si="27"/>
        <v>235392136.39000002</v>
      </c>
      <c r="G117" s="227">
        <f t="shared" si="27"/>
        <v>337372391.43000001</v>
      </c>
      <c r="H117" s="227">
        <f t="shared" si="27"/>
        <v>271098848.58000004</v>
      </c>
      <c r="I117" s="227">
        <f t="shared" si="27"/>
        <v>276600465.63</v>
      </c>
      <c r="J117" s="227">
        <f t="shared" si="27"/>
        <v>239127013.72</v>
      </c>
      <c r="K117" s="227">
        <f t="shared" si="27"/>
        <v>273168500.24000001</v>
      </c>
      <c r="L117" s="227">
        <f t="shared" si="27"/>
        <v>238769083.51999998</v>
      </c>
      <c r="M117" s="227">
        <f t="shared" si="27"/>
        <v>197765169.06</v>
      </c>
      <c r="N117" s="227">
        <f t="shared" si="27"/>
        <v>229741450.37</v>
      </c>
      <c r="O117" s="227">
        <f t="shared" si="27"/>
        <v>2916121524.8299999</v>
      </c>
    </row>
    <row r="118" spans="1:15" s="224" customFormat="1" ht="15.75" customHeight="1" x14ac:dyDescent="0.2">
      <c r="A118" s="228"/>
      <c r="B118" s="228" t="s">
        <v>763</v>
      </c>
      <c r="C118" s="203">
        <v>57252939.740000002</v>
      </c>
      <c r="D118" s="203">
        <v>69610309.879999995</v>
      </c>
      <c r="E118" s="203">
        <v>138159725.97</v>
      </c>
      <c r="F118" s="203">
        <v>75611985.400000006</v>
      </c>
      <c r="G118" s="203">
        <v>92686965.849999994</v>
      </c>
      <c r="H118" s="203">
        <v>104818345.37</v>
      </c>
      <c r="I118" s="203">
        <v>99740198.849999994</v>
      </c>
      <c r="J118" s="203">
        <v>102907560.23</v>
      </c>
      <c r="K118" s="203">
        <v>113525941.73999999</v>
      </c>
      <c r="L118" s="203">
        <v>129858744.16</v>
      </c>
      <c r="M118" s="203">
        <v>121712724.79000001</v>
      </c>
      <c r="N118" s="203">
        <v>114032658.7</v>
      </c>
      <c r="O118" s="203">
        <f t="shared" ref="O118:O123" si="28">SUM(C118:N118)</f>
        <v>1219918100.6800001</v>
      </c>
    </row>
    <row r="119" spans="1:15" s="224" customFormat="1" ht="15.75" hidden="1" customHeight="1" x14ac:dyDescent="0.2">
      <c r="A119" s="228"/>
      <c r="B119" s="228" t="s">
        <v>114</v>
      </c>
      <c r="C119" s="206" t="s">
        <v>231</v>
      </c>
      <c r="D119" s="206" t="s">
        <v>231</v>
      </c>
      <c r="E119" s="206" t="s">
        <v>231</v>
      </c>
      <c r="F119" s="206" t="s">
        <v>231</v>
      </c>
      <c r="G119" s="206" t="s">
        <v>231</v>
      </c>
      <c r="H119" s="206" t="s">
        <v>231</v>
      </c>
      <c r="I119" s="206" t="s">
        <v>231</v>
      </c>
      <c r="J119" s="206" t="s">
        <v>231</v>
      </c>
      <c r="K119" s="206" t="s">
        <v>231</v>
      </c>
      <c r="L119" s="206" t="s">
        <v>231</v>
      </c>
      <c r="M119" s="203"/>
      <c r="N119" s="203"/>
      <c r="O119" s="203">
        <f t="shared" si="28"/>
        <v>0</v>
      </c>
    </row>
    <row r="120" spans="1:15" s="224" customFormat="1" ht="15.75" hidden="1" customHeight="1" x14ac:dyDescent="0.2">
      <c r="A120" s="228"/>
      <c r="B120" s="220" t="s">
        <v>115</v>
      </c>
      <c r="C120" s="203"/>
      <c r="D120" s="203"/>
      <c r="E120" s="203"/>
      <c r="F120" s="203"/>
      <c r="G120" s="203"/>
      <c r="H120" s="203"/>
      <c r="I120" s="203"/>
      <c r="J120" s="203"/>
      <c r="K120" s="203"/>
      <c r="L120" s="203"/>
      <c r="M120" s="203"/>
      <c r="N120" s="203"/>
      <c r="O120" s="203">
        <f t="shared" si="28"/>
        <v>0</v>
      </c>
    </row>
    <row r="121" spans="1:15" s="224" customFormat="1" ht="15.75" customHeight="1" x14ac:dyDescent="0.2">
      <c r="A121" s="228"/>
      <c r="B121" s="220" t="s">
        <v>851</v>
      </c>
      <c r="C121" s="203">
        <v>712232</v>
      </c>
      <c r="D121" s="203">
        <v>784067</v>
      </c>
      <c r="E121" s="203">
        <v>895044</v>
      </c>
      <c r="F121" s="203">
        <v>785218</v>
      </c>
      <c r="G121" s="203">
        <v>828996</v>
      </c>
      <c r="H121" s="203">
        <v>1180553</v>
      </c>
      <c r="I121" s="203">
        <v>1466918.64</v>
      </c>
      <c r="J121" s="203">
        <v>1704426</v>
      </c>
      <c r="K121" s="203">
        <v>1459914</v>
      </c>
      <c r="L121" s="203">
        <v>1739765</v>
      </c>
      <c r="M121" s="203">
        <v>1278450</v>
      </c>
      <c r="N121" s="203">
        <v>884138</v>
      </c>
      <c r="O121" s="203">
        <f t="shared" si="28"/>
        <v>13719721.640000001</v>
      </c>
    </row>
    <row r="122" spans="1:15" s="224" customFormat="1" ht="15.75" customHeight="1" x14ac:dyDescent="0.2">
      <c r="A122" s="228"/>
      <c r="B122" s="220" t="s">
        <v>852</v>
      </c>
      <c r="C122" s="203">
        <v>4462317</v>
      </c>
      <c r="D122" s="203">
        <v>19880525.5</v>
      </c>
      <c r="E122" s="203">
        <v>12403049</v>
      </c>
      <c r="F122" s="203">
        <v>11322243</v>
      </c>
      <c r="G122" s="203">
        <v>56569996.5</v>
      </c>
      <c r="H122" s="203">
        <v>29168297</v>
      </c>
      <c r="I122" s="203">
        <v>46920900</v>
      </c>
      <c r="J122" s="203">
        <v>18330658</v>
      </c>
      <c r="K122" s="203">
        <v>23655798.5</v>
      </c>
      <c r="L122" s="203">
        <v>15626285</v>
      </c>
      <c r="M122" s="203">
        <v>0</v>
      </c>
      <c r="N122" s="203">
        <v>0</v>
      </c>
      <c r="O122" s="203">
        <f t="shared" si="28"/>
        <v>238340069.5</v>
      </c>
    </row>
    <row r="123" spans="1:15" s="224" customFormat="1" ht="15.75" customHeight="1" x14ac:dyDescent="0.2">
      <c r="A123" s="228"/>
      <c r="B123" s="220" t="s">
        <v>41</v>
      </c>
      <c r="C123" s="221">
        <v>99721997.939999998</v>
      </c>
      <c r="D123" s="221">
        <v>95217064.069999993</v>
      </c>
      <c r="E123" s="221">
        <v>117987193.79000001</v>
      </c>
      <c r="F123" s="221">
        <v>147672689.99000001</v>
      </c>
      <c r="G123" s="221">
        <v>187286433.08000001</v>
      </c>
      <c r="H123" s="221">
        <v>135931653.21000001</v>
      </c>
      <c r="I123" s="221">
        <v>128472448.14</v>
      </c>
      <c r="J123" s="221">
        <v>116184369.48999999</v>
      </c>
      <c r="K123" s="221">
        <v>134526846</v>
      </c>
      <c r="L123" s="221">
        <v>91544289.359999999</v>
      </c>
      <c r="M123" s="221">
        <v>74773994.269999996</v>
      </c>
      <c r="N123" s="221">
        <v>114824653.67</v>
      </c>
      <c r="O123" s="203">
        <f t="shared" si="28"/>
        <v>1444143633.01</v>
      </c>
    </row>
    <row r="124" spans="1:15" s="224" customFormat="1" ht="15.75" hidden="1" customHeight="1" x14ac:dyDescent="0.2">
      <c r="A124" s="228"/>
      <c r="B124" s="228"/>
      <c r="C124" s="203"/>
      <c r="D124" s="203"/>
      <c r="E124" s="203"/>
      <c r="F124" s="203"/>
      <c r="G124" s="203"/>
      <c r="H124" s="203"/>
      <c r="I124" s="203"/>
      <c r="J124" s="203"/>
      <c r="K124" s="203"/>
      <c r="L124" s="203"/>
      <c r="M124" s="203"/>
      <c r="N124" s="203"/>
      <c r="O124" s="203"/>
    </row>
    <row r="125" spans="1:15" s="224" customFormat="1" ht="15.75" hidden="1" customHeight="1" x14ac:dyDescent="0.25">
      <c r="A125" s="216" t="s">
        <v>853</v>
      </c>
      <c r="B125" s="226"/>
      <c r="C125" s="227">
        <f t="shared" ref="C125:O125" si="29">SUM(C126)</f>
        <v>0</v>
      </c>
      <c r="D125" s="227">
        <f t="shared" si="29"/>
        <v>0</v>
      </c>
      <c r="E125" s="227">
        <f t="shared" si="29"/>
        <v>0</v>
      </c>
      <c r="F125" s="227">
        <f t="shared" si="29"/>
        <v>0</v>
      </c>
      <c r="G125" s="227">
        <f t="shared" si="29"/>
        <v>0</v>
      </c>
      <c r="H125" s="227">
        <f t="shared" si="29"/>
        <v>0</v>
      </c>
      <c r="I125" s="227">
        <f t="shared" si="29"/>
        <v>0</v>
      </c>
      <c r="J125" s="227">
        <f t="shared" si="29"/>
        <v>0</v>
      </c>
      <c r="K125" s="227">
        <f t="shared" si="29"/>
        <v>0</v>
      </c>
      <c r="L125" s="227">
        <f t="shared" si="29"/>
        <v>0</v>
      </c>
      <c r="M125" s="227">
        <f t="shared" si="29"/>
        <v>0</v>
      </c>
      <c r="N125" s="227">
        <f t="shared" si="29"/>
        <v>0</v>
      </c>
      <c r="O125" s="227">
        <f t="shared" si="29"/>
        <v>0</v>
      </c>
    </row>
    <row r="126" spans="1:15" s="224" customFormat="1" ht="15.75" hidden="1" customHeight="1" x14ac:dyDescent="0.2">
      <c r="A126" s="228"/>
      <c r="B126" s="220" t="s">
        <v>854</v>
      </c>
      <c r="C126" s="203"/>
      <c r="D126" s="203"/>
      <c r="E126" s="203"/>
      <c r="F126" s="203"/>
      <c r="G126" s="203"/>
      <c r="H126" s="203"/>
      <c r="I126" s="203"/>
      <c r="J126" s="203"/>
      <c r="K126" s="203"/>
      <c r="L126" s="203"/>
      <c r="M126" s="203"/>
      <c r="N126" s="203"/>
      <c r="O126" s="203">
        <f>SUM(C126:N126)</f>
        <v>0</v>
      </c>
    </row>
    <row r="127" spans="1:15" s="224" customFormat="1" ht="15.75" customHeight="1" x14ac:dyDescent="0.2">
      <c r="A127" s="228"/>
      <c r="B127" s="228"/>
      <c r="C127" s="203"/>
      <c r="D127" s="203"/>
      <c r="E127" s="203"/>
      <c r="F127" s="203"/>
      <c r="G127" s="203"/>
      <c r="H127" s="203"/>
      <c r="I127" s="203"/>
      <c r="J127" s="203"/>
      <c r="K127" s="203"/>
      <c r="L127" s="203"/>
      <c r="M127" s="203"/>
      <c r="N127" s="203"/>
      <c r="O127" s="203"/>
    </row>
    <row r="128" spans="1:15" s="224" customFormat="1" ht="15.75" customHeight="1" x14ac:dyDescent="0.25">
      <c r="A128" s="216" t="s">
        <v>324</v>
      </c>
      <c r="B128" s="226"/>
      <c r="C128" s="227">
        <f>SUM(C129:C136)</f>
        <v>1315939.25</v>
      </c>
      <c r="D128" s="227">
        <f t="shared" ref="D128:O128" si="30">SUM(D129:D136)</f>
        <v>1384414.1</v>
      </c>
      <c r="E128" s="227">
        <f t="shared" si="30"/>
        <v>1580438.36</v>
      </c>
      <c r="F128" s="227">
        <f t="shared" si="30"/>
        <v>1054465.6200000001</v>
      </c>
      <c r="G128" s="227">
        <f t="shared" si="30"/>
        <v>1582792.9300000002</v>
      </c>
      <c r="H128" s="227">
        <f t="shared" si="30"/>
        <v>1119900.94</v>
      </c>
      <c r="I128" s="227">
        <f t="shared" si="30"/>
        <v>624605.73</v>
      </c>
      <c r="J128" s="227">
        <f t="shared" si="30"/>
        <v>722634.28</v>
      </c>
      <c r="K128" s="227">
        <f t="shared" si="30"/>
        <v>1094140.68</v>
      </c>
      <c r="L128" s="227">
        <f t="shared" si="30"/>
        <v>4060749.31</v>
      </c>
      <c r="M128" s="227">
        <f t="shared" si="30"/>
        <v>411741.13</v>
      </c>
      <c r="N128" s="227">
        <f t="shared" si="30"/>
        <v>2462176.62</v>
      </c>
      <c r="O128" s="227">
        <f t="shared" si="30"/>
        <v>17413998.949999999</v>
      </c>
    </row>
    <row r="129" spans="1:15" s="224" customFormat="1" ht="15.75" customHeight="1" x14ac:dyDescent="0.2">
      <c r="A129" s="219"/>
      <c r="B129" s="220" t="s">
        <v>855</v>
      </c>
      <c r="C129" s="203">
        <v>42000</v>
      </c>
      <c r="D129" s="203">
        <v>7500</v>
      </c>
      <c r="E129" s="203">
        <v>23000</v>
      </c>
      <c r="F129" s="203">
        <v>40000</v>
      </c>
      <c r="G129" s="203">
        <v>32500</v>
      </c>
      <c r="H129" s="203">
        <v>20500</v>
      </c>
      <c r="I129" s="203">
        <v>27000</v>
      </c>
      <c r="J129" s="203">
        <v>21500</v>
      </c>
      <c r="K129" s="203">
        <v>15000</v>
      </c>
      <c r="L129" s="203">
        <v>20000</v>
      </c>
      <c r="M129" s="203">
        <v>40500</v>
      </c>
      <c r="N129" s="203">
        <v>7500</v>
      </c>
      <c r="O129" s="203">
        <f t="shared" ref="O129:O136" si="31">SUM(C129:N129)</f>
        <v>297000</v>
      </c>
    </row>
    <row r="130" spans="1:15" s="224" customFormat="1" ht="15.75" hidden="1" customHeight="1" x14ac:dyDescent="0.2">
      <c r="A130" s="219"/>
      <c r="B130" s="220" t="s">
        <v>1059</v>
      </c>
      <c r="C130" s="206"/>
      <c r="D130" s="206"/>
      <c r="E130" s="206"/>
      <c r="F130" s="206"/>
      <c r="G130" s="206"/>
      <c r="H130" s="206"/>
      <c r="I130" s="206"/>
      <c r="J130" s="206"/>
      <c r="K130" s="206"/>
      <c r="L130" s="206"/>
      <c r="M130" s="203"/>
      <c r="N130" s="203"/>
      <c r="O130" s="203">
        <f t="shared" si="31"/>
        <v>0</v>
      </c>
    </row>
    <row r="131" spans="1:15" s="224" customFormat="1" ht="15.75" customHeight="1" x14ac:dyDescent="0.2">
      <c r="A131" s="219"/>
      <c r="B131" s="220" t="s">
        <v>856</v>
      </c>
      <c r="C131" s="203">
        <v>0</v>
      </c>
      <c r="D131" s="203">
        <v>0</v>
      </c>
      <c r="E131" s="203">
        <v>446412.67</v>
      </c>
      <c r="F131" s="203">
        <v>311928.98</v>
      </c>
      <c r="G131" s="203">
        <v>2128.58</v>
      </c>
      <c r="H131" s="203">
        <v>127051.78</v>
      </c>
      <c r="I131" s="203">
        <v>85550.47</v>
      </c>
      <c r="J131" s="203">
        <v>212240.71</v>
      </c>
      <c r="K131" s="203">
        <v>659835.31000000006</v>
      </c>
      <c r="L131" s="203">
        <v>125424.96000000001</v>
      </c>
      <c r="M131" s="203">
        <v>37136.42</v>
      </c>
      <c r="N131" s="203">
        <v>512798.3</v>
      </c>
      <c r="O131" s="203">
        <f t="shared" si="31"/>
        <v>2520508.1799999997</v>
      </c>
    </row>
    <row r="132" spans="1:15" s="224" customFormat="1" ht="15.75" customHeight="1" x14ac:dyDescent="0.2">
      <c r="A132" s="219"/>
      <c r="B132" s="220" t="s">
        <v>857</v>
      </c>
      <c r="C132" s="203"/>
      <c r="D132" s="203">
        <v>473158.9</v>
      </c>
      <c r="E132" s="203">
        <v>133296.88</v>
      </c>
      <c r="F132" s="203">
        <v>143502.01999999999</v>
      </c>
      <c r="G132" s="203">
        <v>491385.55</v>
      </c>
      <c r="H132" s="203">
        <v>207734.2</v>
      </c>
      <c r="I132" s="203">
        <v>270655.67</v>
      </c>
      <c r="J132" s="203">
        <v>156965.28</v>
      </c>
      <c r="K132" s="203">
        <v>18958.439999999999</v>
      </c>
      <c r="L132" s="203">
        <v>3368185.24</v>
      </c>
      <c r="M132" s="203"/>
      <c r="N132" s="203">
        <v>110404.56</v>
      </c>
      <c r="O132" s="203">
        <f t="shared" si="31"/>
        <v>5374246.7399999993</v>
      </c>
    </row>
    <row r="133" spans="1:15" s="224" customFormat="1" ht="15.75" customHeight="1" x14ac:dyDescent="0.2">
      <c r="A133" s="219"/>
      <c r="B133" s="220" t="s">
        <v>858</v>
      </c>
      <c r="C133" s="203">
        <v>12900</v>
      </c>
      <c r="D133" s="203"/>
      <c r="E133" s="203"/>
      <c r="F133" s="203"/>
      <c r="G133" s="203"/>
      <c r="H133" s="203">
        <v>59230</v>
      </c>
      <c r="I133" s="203">
        <v>10000</v>
      </c>
      <c r="J133" s="203"/>
      <c r="K133" s="203"/>
      <c r="L133" s="203"/>
      <c r="M133" s="203"/>
      <c r="N133" s="203"/>
      <c r="O133" s="203">
        <f t="shared" si="31"/>
        <v>82130</v>
      </c>
    </row>
    <row r="134" spans="1:15" s="224" customFormat="1" ht="15.75" customHeight="1" x14ac:dyDescent="0.2">
      <c r="A134" s="219"/>
      <c r="B134" s="220" t="s">
        <v>859</v>
      </c>
      <c r="C134" s="203">
        <v>6600</v>
      </c>
      <c r="D134" s="203">
        <v>15900</v>
      </c>
      <c r="E134" s="203">
        <v>21800</v>
      </c>
      <c r="F134" s="203">
        <v>15750</v>
      </c>
      <c r="G134" s="203">
        <v>12600</v>
      </c>
      <c r="H134" s="203">
        <v>300</v>
      </c>
      <c r="I134" s="203">
        <v>6550</v>
      </c>
      <c r="J134" s="203">
        <v>15150</v>
      </c>
      <c r="K134" s="203">
        <v>4500</v>
      </c>
      <c r="L134" s="203">
        <v>70750</v>
      </c>
      <c r="M134" s="203">
        <v>4900</v>
      </c>
      <c r="N134" s="203"/>
      <c r="O134" s="203">
        <f t="shared" si="31"/>
        <v>174800</v>
      </c>
    </row>
    <row r="135" spans="1:15" s="224" customFormat="1" ht="15.75" hidden="1" customHeight="1" x14ac:dyDescent="0.2">
      <c r="A135" s="219"/>
      <c r="B135" s="220" t="s">
        <v>512</v>
      </c>
      <c r="C135" s="203"/>
      <c r="D135" s="203"/>
      <c r="E135" s="203"/>
      <c r="F135" s="203"/>
      <c r="G135" s="203"/>
      <c r="H135" s="203"/>
      <c r="I135" s="203"/>
      <c r="J135" s="203"/>
      <c r="K135" s="203"/>
      <c r="L135" s="203"/>
      <c r="M135" s="203"/>
      <c r="N135" s="203"/>
      <c r="O135" s="203">
        <f t="shared" si="31"/>
        <v>0</v>
      </c>
    </row>
    <row r="136" spans="1:15" s="224" customFormat="1" ht="15.75" customHeight="1" x14ac:dyDescent="0.2">
      <c r="A136" s="219"/>
      <c r="B136" s="220" t="s">
        <v>860</v>
      </c>
      <c r="C136" s="212">
        <v>1254439.25</v>
      </c>
      <c r="D136" s="212">
        <v>887855.2</v>
      </c>
      <c r="E136" s="212">
        <v>955928.81</v>
      </c>
      <c r="F136" s="212">
        <v>543284.62</v>
      </c>
      <c r="G136" s="212">
        <v>1044178.8</v>
      </c>
      <c r="H136" s="212">
        <v>705084.96</v>
      </c>
      <c r="I136" s="212">
        <v>224849.59</v>
      </c>
      <c r="J136" s="212">
        <v>316778.28999999998</v>
      </c>
      <c r="K136" s="212">
        <v>395846.93</v>
      </c>
      <c r="L136" s="212">
        <v>476389.11</v>
      </c>
      <c r="M136" s="212">
        <v>329204.71000000002</v>
      </c>
      <c r="N136" s="212">
        <v>1831473.76</v>
      </c>
      <c r="O136" s="203">
        <f t="shared" si="31"/>
        <v>8965314.0300000012</v>
      </c>
    </row>
    <row r="137" spans="1:15" s="224" customFormat="1" ht="15.75" customHeight="1" x14ac:dyDescent="0.2">
      <c r="A137" s="228"/>
      <c r="B137" s="228"/>
      <c r="C137" s="203"/>
      <c r="D137" s="203"/>
      <c r="E137" s="203"/>
      <c r="F137" s="203"/>
      <c r="G137" s="203"/>
      <c r="H137" s="203"/>
      <c r="I137" s="203"/>
      <c r="J137" s="203"/>
      <c r="K137" s="203"/>
      <c r="L137" s="203"/>
      <c r="M137" s="203"/>
      <c r="N137" s="203"/>
      <c r="O137" s="203"/>
    </row>
    <row r="138" spans="1:15" s="224" customFormat="1" ht="15.75" customHeight="1" x14ac:dyDescent="0.25">
      <c r="A138" s="216" t="s">
        <v>128</v>
      </c>
      <c r="B138" s="226"/>
      <c r="C138" s="227">
        <f>SUM(C139:C345)</f>
        <v>1890545579.5799994</v>
      </c>
      <c r="D138" s="227">
        <f t="shared" ref="D138:O138" si="32">SUM(D139:D345)</f>
        <v>128842463.86999999</v>
      </c>
      <c r="E138" s="227">
        <f t="shared" si="32"/>
        <v>140124039.38999999</v>
      </c>
      <c r="F138" s="227">
        <f t="shared" si="32"/>
        <v>84486170.929999992</v>
      </c>
      <c r="G138" s="227">
        <f t="shared" si="32"/>
        <v>93500740.530000001</v>
      </c>
      <c r="H138" s="227">
        <f t="shared" si="32"/>
        <v>91509196.049999997</v>
      </c>
      <c r="I138" s="227">
        <f t="shared" si="32"/>
        <v>67601057.060000002</v>
      </c>
      <c r="J138" s="227">
        <f t="shared" si="32"/>
        <v>80568732.379999995</v>
      </c>
      <c r="K138" s="227">
        <f t="shared" si="32"/>
        <v>70220909.469999984</v>
      </c>
      <c r="L138" s="227">
        <f t="shared" si="32"/>
        <v>61526283.910000004</v>
      </c>
      <c r="M138" s="227">
        <f t="shared" si="32"/>
        <v>121596800.35000001</v>
      </c>
      <c r="N138" s="227">
        <f t="shared" si="32"/>
        <v>556613907.21999979</v>
      </c>
      <c r="O138" s="227">
        <f t="shared" si="32"/>
        <v>3387135880.7400007</v>
      </c>
    </row>
    <row r="139" spans="1:15" s="242" customFormat="1" ht="15.75" customHeight="1" x14ac:dyDescent="0.2">
      <c r="A139" s="228"/>
      <c r="B139" s="228" t="s">
        <v>765</v>
      </c>
      <c r="C139" s="202">
        <v>1815258975.4100001</v>
      </c>
      <c r="D139" s="221">
        <v>841514.09</v>
      </c>
      <c r="E139" s="221">
        <v>1372999.51</v>
      </c>
      <c r="F139" s="202">
        <v>6874110.79</v>
      </c>
      <c r="G139" s="202">
        <v>8030446.1500000004</v>
      </c>
      <c r="H139" s="202">
        <v>10692451.960000001</v>
      </c>
      <c r="I139" s="202">
        <v>17512296.48</v>
      </c>
      <c r="J139" s="202">
        <v>17838246.699999999</v>
      </c>
      <c r="K139" s="202">
        <v>18420200.379999999</v>
      </c>
      <c r="L139" s="202">
        <v>19301951.25</v>
      </c>
      <c r="M139" s="202">
        <v>20621116.289999999</v>
      </c>
      <c r="N139" s="202">
        <v>57546013.170000002</v>
      </c>
      <c r="O139" s="203">
        <f t="shared" ref="O139:O202" si="33">SUM(C139:N139)</f>
        <v>1994310322.1800003</v>
      </c>
    </row>
    <row r="140" spans="1:15" s="242" customFormat="1" ht="15.75" customHeight="1" x14ac:dyDescent="0.2">
      <c r="A140" s="228"/>
      <c r="B140" s="228" t="s">
        <v>861</v>
      </c>
      <c r="C140" s="203">
        <v>189810</v>
      </c>
      <c r="D140" s="203">
        <v>457519.81</v>
      </c>
      <c r="E140" s="203">
        <v>844799.2</v>
      </c>
      <c r="F140" s="203">
        <v>913867.73</v>
      </c>
      <c r="G140" s="203">
        <v>1149658.3500000001</v>
      </c>
      <c r="H140" s="203">
        <v>1373617.73</v>
      </c>
      <c r="I140" s="203">
        <v>1569265.35</v>
      </c>
      <c r="J140" s="203">
        <v>1789862.73</v>
      </c>
      <c r="K140" s="203">
        <v>2135785.35</v>
      </c>
      <c r="L140" s="203">
        <v>2052315.19</v>
      </c>
      <c r="M140" s="203">
        <v>2563406.2000000002</v>
      </c>
      <c r="N140" s="203">
        <v>4330375.1900000004</v>
      </c>
      <c r="O140" s="203">
        <f t="shared" si="33"/>
        <v>19370282.830000002</v>
      </c>
    </row>
    <row r="141" spans="1:15" s="242" customFormat="1" ht="15.75" customHeight="1" x14ac:dyDescent="0.2">
      <c r="A141" s="228"/>
      <c r="B141" s="243" t="s">
        <v>862</v>
      </c>
      <c r="C141" s="203">
        <v>12328.61</v>
      </c>
      <c r="D141" s="203">
        <v>34103.1</v>
      </c>
      <c r="E141" s="203">
        <v>17303.73</v>
      </c>
      <c r="F141" s="203">
        <v>38652.47</v>
      </c>
      <c r="G141" s="203">
        <v>8586.7199999999993</v>
      </c>
      <c r="H141" s="203">
        <v>23493.34</v>
      </c>
      <c r="I141" s="203">
        <v>20027.509999999998</v>
      </c>
      <c r="J141" s="203">
        <v>40406.86</v>
      </c>
      <c r="K141" s="203">
        <v>39534.21</v>
      </c>
      <c r="L141" s="203">
        <v>30694.81</v>
      </c>
      <c r="M141" s="203">
        <v>5167.09</v>
      </c>
      <c r="N141" s="203">
        <v>7468739.3899999997</v>
      </c>
      <c r="O141" s="203">
        <f t="shared" si="33"/>
        <v>7739037.8399999999</v>
      </c>
    </row>
    <row r="142" spans="1:15" s="242" customFormat="1" ht="15.75" customHeight="1" x14ac:dyDescent="0.2">
      <c r="A142" s="228"/>
      <c r="B142" s="243" t="s">
        <v>863</v>
      </c>
      <c r="C142" s="203">
        <v>59681.43</v>
      </c>
      <c r="D142" s="203">
        <v>6791.4</v>
      </c>
      <c r="E142" s="203">
        <v>22382.21</v>
      </c>
      <c r="F142" s="203">
        <v>1322.52</v>
      </c>
      <c r="G142" s="203">
        <v>35767.129999999997</v>
      </c>
      <c r="H142" s="203">
        <v>20773.03</v>
      </c>
      <c r="I142" s="203">
        <v>7409.97</v>
      </c>
      <c r="J142" s="203">
        <v>9765.01</v>
      </c>
      <c r="K142" s="203">
        <v>27168.58</v>
      </c>
      <c r="L142" s="203">
        <v>25512.13</v>
      </c>
      <c r="M142" s="203">
        <v>3196.6</v>
      </c>
      <c r="N142" s="203">
        <v>8622000</v>
      </c>
      <c r="O142" s="203">
        <f t="shared" si="33"/>
        <v>8841770.0099999998</v>
      </c>
    </row>
    <row r="143" spans="1:15" s="242" customFormat="1" ht="15.75" customHeight="1" x14ac:dyDescent="0.2">
      <c r="A143" s="228"/>
      <c r="B143" s="243" t="s">
        <v>864</v>
      </c>
      <c r="C143" s="203">
        <v>125780.52</v>
      </c>
      <c r="D143" s="203">
        <v>432599.42</v>
      </c>
      <c r="E143" s="203">
        <v>340662.14</v>
      </c>
      <c r="F143" s="203">
        <v>216454.18</v>
      </c>
      <c r="G143" s="203">
        <v>652971.65</v>
      </c>
      <c r="H143" s="203">
        <v>1354437.3</v>
      </c>
      <c r="I143" s="203">
        <v>377996.75</v>
      </c>
      <c r="J143" s="203">
        <v>9120072.1500000004</v>
      </c>
      <c r="K143" s="203">
        <v>195946.82</v>
      </c>
      <c r="L143" s="203">
        <v>542982.37</v>
      </c>
      <c r="M143" s="203">
        <v>269876.61</v>
      </c>
      <c r="N143" s="203">
        <v>800372.19</v>
      </c>
      <c r="O143" s="203">
        <f t="shared" si="33"/>
        <v>14430152.099999998</v>
      </c>
    </row>
    <row r="144" spans="1:15" s="242" customFormat="1" ht="15.75" customHeight="1" x14ac:dyDescent="0.2">
      <c r="A144" s="228"/>
      <c r="B144" s="243" t="s">
        <v>865</v>
      </c>
      <c r="C144" s="203">
        <f>750+18250.8</f>
        <v>19000.8</v>
      </c>
      <c r="D144" s="203">
        <f>1500+141451.89</f>
        <v>142951.89000000001</v>
      </c>
      <c r="E144" s="203">
        <f>1800+421369.96</f>
        <v>423169.96</v>
      </c>
      <c r="F144" s="203">
        <f>1350+108711.97</f>
        <v>110061.97</v>
      </c>
      <c r="G144" s="203">
        <f>600+67464.11</f>
        <v>68064.11</v>
      </c>
      <c r="H144" s="203">
        <f>750+107667.45</f>
        <v>108417.45</v>
      </c>
      <c r="I144" s="203">
        <f>750+76826.31</f>
        <v>77576.31</v>
      </c>
      <c r="J144" s="203">
        <f>300+6382.09</f>
        <v>6682.09</v>
      </c>
      <c r="K144" s="203">
        <f>2100+124373.34</f>
        <v>126473.34</v>
      </c>
      <c r="L144" s="203">
        <f>900+191677.91</f>
        <v>192577.91</v>
      </c>
      <c r="M144" s="203">
        <f>750+419197.2</f>
        <v>419947.2</v>
      </c>
      <c r="N144" s="203">
        <f>450+32550.6</f>
        <v>33000.6</v>
      </c>
      <c r="O144" s="203">
        <f t="shared" si="33"/>
        <v>1727923.63</v>
      </c>
    </row>
    <row r="145" spans="1:15" s="242" customFormat="1" ht="15.75" customHeight="1" x14ac:dyDescent="0.2">
      <c r="A145" s="228"/>
      <c r="B145" s="243" t="s">
        <v>866</v>
      </c>
      <c r="C145" s="203">
        <v>725000</v>
      </c>
      <c r="D145" s="203">
        <v>2460000</v>
      </c>
      <c r="E145" s="203">
        <v>1890000</v>
      </c>
      <c r="F145" s="203">
        <v>70000</v>
      </c>
      <c r="G145" s="203">
        <v>765000</v>
      </c>
      <c r="H145" s="203">
        <v>255000</v>
      </c>
      <c r="I145" s="203">
        <v>20000</v>
      </c>
      <c r="J145" s="203"/>
      <c r="K145" s="203">
        <v>30000</v>
      </c>
      <c r="L145" s="203">
        <v>5000</v>
      </c>
      <c r="M145" s="203">
        <v>1064027.55</v>
      </c>
      <c r="N145" s="203">
        <v>1130972.45</v>
      </c>
      <c r="O145" s="203">
        <f t="shared" si="33"/>
        <v>8415000</v>
      </c>
    </row>
    <row r="146" spans="1:15" s="242" customFormat="1" ht="15.75" customHeight="1" x14ac:dyDescent="0.2">
      <c r="A146" s="228"/>
      <c r="B146" s="243" t="s">
        <v>867</v>
      </c>
      <c r="C146" s="203">
        <v>13496.86</v>
      </c>
      <c r="D146" s="203">
        <v>17284.79</v>
      </c>
      <c r="E146" s="203">
        <v>18457.099999999999</v>
      </c>
      <c r="F146" s="203">
        <v>372811.63</v>
      </c>
      <c r="G146" s="203">
        <v>3593.77</v>
      </c>
      <c r="H146" s="203">
        <v>60386.66</v>
      </c>
      <c r="I146" s="203">
        <v>84926.57</v>
      </c>
      <c r="J146" s="203">
        <v>16650</v>
      </c>
      <c r="K146" s="203">
        <v>218493.63</v>
      </c>
      <c r="L146" s="203">
        <v>29318.639999999999</v>
      </c>
      <c r="M146" s="203">
        <v>160488.01999999999</v>
      </c>
      <c r="N146" s="203">
        <v>14328186</v>
      </c>
      <c r="O146" s="203">
        <f t="shared" si="33"/>
        <v>15324093.67</v>
      </c>
    </row>
    <row r="147" spans="1:15" s="242" customFormat="1" ht="15.75" customHeight="1" x14ac:dyDescent="0.2">
      <c r="A147" s="228"/>
      <c r="B147" s="243" t="s">
        <v>868</v>
      </c>
      <c r="C147" s="203">
        <v>4803129.0999999996</v>
      </c>
      <c r="D147" s="203">
        <v>6151118.5700000003</v>
      </c>
      <c r="E147" s="203">
        <v>5242376.01</v>
      </c>
      <c r="F147" s="203">
        <v>3056493.95</v>
      </c>
      <c r="G147" s="203">
        <v>2138576.08</v>
      </c>
      <c r="H147" s="203">
        <v>1161714.06</v>
      </c>
      <c r="I147" s="203">
        <v>39510</v>
      </c>
      <c r="J147" s="203">
        <v>195893.98</v>
      </c>
      <c r="K147" s="203">
        <v>590123.24</v>
      </c>
      <c r="L147" s="203">
        <v>108022.32</v>
      </c>
      <c r="M147" s="203">
        <v>4834225.72</v>
      </c>
      <c r="N147" s="203">
        <v>6692859.0800000001</v>
      </c>
      <c r="O147" s="203">
        <f t="shared" si="33"/>
        <v>35014042.109999999</v>
      </c>
    </row>
    <row r="148" spans="1:15" s="242" customFormat="1" ht="15.75" hidden="1" customHeight="1" x14ac:dyDescent="0.2">
      <c r="A148" s="228"/>
      <c r="B148" s="243" t="s">
        <v>1060</v>
      </c>
      <c r="C148" s="203"/>
      <c r="D148" s="203"/>
      <c r="E148" s="203"/>
      <c r="F148" s="203"/>
      <c r="G148" s="203"/>
      <c r="H148" s="203"/>
      <c r="I148" s="203"/>
      <c r="J148" s="203"/>
      <c r="K148" s="203"/>
      <c r="L148" s="203"/>
      <c r="M148" s="203"/>
      <c r="N148" s="203"/>
      <c r="O148" s="203">
        <f t="shared" si="33"/>
        <v>0</v>
      </c>
    </row>
    <row r="149" spans="1:15" s="242" customFormat="1" ht="15.75" customHeight="1" x14ac:dyDescent="0.2">
      <c r="A149" s="228"/>
      <c r="B149" s="243" t="s">
        <v>869</v>
      </c>
      <c r="C149" s="203">
        <v>8179.38</v>
      </c>
      <c r="D149" s="203">
        <v>53967.98</v>
      </c>
      <c r="E149" s="203">
        <v>32667.94</v>
      </c>
      <c r="F149" s="203">
        <v>7861.77</v>
      </c>
      <c r="G149" s="203">
        <v>23316.15</v>
      </c>
      <c r="H149" s="203">
        <v>16055.42</v>
      </c>
      <c r="I149" s="203">
        <v>63375.19</v>
      </c>
      <c r="J149" s="203">
        <v>78282.350000000006</v>
      </c>
      <c r="K149" s="203">
        <v>67377.320000000007</v>
      </c>
      <c r="L149" s="203">
        <v>109760.72</v>
      </c>
      <c r="M149" s="203">
        <v>96179.79</v>
      </c>
      <c r="N149" s="203">
        <v>14400</v>
      </c>
      <c r="O149" s="203">
        <f t="shared" si="33"/>
        <v>571424.01000000013</v>
      </c>
    </row>
    <row r="150" spans="1:15" s="242" customFormat="1" ht="15.75" customHeight="1" x14ac:dyDescent="0.2">
      <c r="A150" s="228"/>
      <c r="B150" s="243" t="s">
        <v>870</v>
      </c>
      <c r="C150" s="203">
        <v>484360</v>
      </c>
      <c r="D150" s="203">
        <f>780860-484360</f>
        <v>296500</v>
      </c>
      <c r="E150" s="203">
        <f>964170-780860</f>
        <v>183310</v>
      </c>
      <c r="F150" s="203">
        <f>1367975-964170</f>
        <v>403805</v>
      </c>
      <c r="G150" s="203">
        <f>1438225-1367975</f>
        <v>70250</v>
      </c>
      <c r="H150" s="203">
        <f>1882995-1438225</f>
        <v>444770</v>
      </c>
      <c r="I150" s="203">
        <f>2505640-1882995</f>
        <v>622645</v>
      </c>
      <c r="J150" s="203">
        <f>3092895-2505640</f>
        <v>587255</v>
      </c>
      <c r="K150" s="203">
        <f>3600290-3092895</f>
        <v>507395</v>
      </c>
      <c r="L150" s="203">
        <f>3792160-3600290</f>
        <v>191870</v>
      </c>
      <c r="M150" s="203">
        <f>3929365-3792160</f>
        <v>137205</v>
      </c>
      <c r="N150" s="203">
        <f>4606240-3929365</f>
        <v>676875</v>
      </c>
      <c r="O150" s="203">
        <f t="shared" si="33"/>
        <v>4606240</v>
      </c>
    </row>
    <row r="151" spans="1:15" s="242" customFormat="1" ht="15.75" customHeight="1" x14ac:dyDescent="0.2">
      <c r="A151" s="228"/>
      <c r="B151" s="243" t="s">
        <v>871</v>
      </c>
      <c r="C151" s="203">
        <v>61850</v>
      </c>
      <c r="D151" s="203">
        <v>73380</v>
      </c>
      <c r="E151" s="203">
        <v>96630</v>
      </c>
      <c r="F151" s="203">
        <v>38950</v>
      </c>
      <c r="G151" s="203">
        <v>148100</v>
      </c>
      <c r="H151" s="203">
        <v>75120</v>
      </c>
      <c r="I151" s="203">
        <v>81730</v>
      </c>
      <c r="J151" s="203">
        <v>415460</v>
      </c>
      <c r="K151" s="203">
        <v>2723.4</v>
      </c>
      <c r="L151" s="203">
        <v>58810</v>
      </c>
      <c r="M151" s="203">
        <v>102100</v>
      </c>
      <c r="N151" s="203">
        <v>561315.06000000006</v>
      </c>
      <c r="O151" s="203">
        <f t="shared" si="33"/>
        <v>1716168.46</v>
      </c>
    </row>
    <row r="152" spans="1:15" s="242" customFormat="1" ht="15.75" customHeight="1" x14ac:dyDescent="0.2">
      <c r="A152" s="228"/>
      <c r="B152" s="243" t="s">
        <v>875</v>
      </c>
      <c r="C152" s="203">
        <v>99524.63</v>
      </c>
      <c r="D152" s="203">
        <v>427073.99</v>
      </c>
      <c r="E152" s="203">
        <v>844879.37</v>
      </c>
      <c r="F152" s="203">
        <v>206857.72</v>
      </c>
      <c r="G152" s="203">
        <v>116191.22</v>
      </c>
      <c r="H152" s="203">
        <v>81555.55</v>
      </c>
      <c r="I152" s="203">
        <v>538304.72</v>
      </c>
      <c r="J152" s="203">
        <v>437498.35</v>
      </c>
      <c r="K152" s="203">
        <v>837022.34</v>
      </c>
      <c r="L152" s="203">
        <v>614468.88</v>
      </c>
      <c r="M152" s="203">
        <v>282523.32</v>
      </c>
      <c r="N152" s="203">
        <v>719330.42</v>
      </c>
      <c r="O152" s="203">
        <f t="shared" si="33"/>
        <v>5205230.5100000007</v>
      </c>
    </row>
    <row r="153" spans="1:15" s="242" customFormat="1" ht="15.75" customHeight="1" x14ac:dyDescent="0.2">
      <c r="A153" s="228"/>
      <c r="B153" s="243" t="s">
        <v>872</v>
      </c>
      <c r="C153" s="203">
        <v>45490</v>
      </c>
      <c r="D153" s="203">
        <v>60670</v>
      </c>
      <c r="E153" s="203">
        <v>211280</v>
      </c>
      <c r="F153" s="203">
        <v>90490</v>
      </c>
      <c r="G153" s="203">
        <v>110670</v>
      </c>
      <c r="H153" s="203">
        <v>298280</v>
      </c>
      <c r="I153" s="203">
        <v>833146.54</v>
      </c>
      <c r="J153" s="203">
        <v>118240</v>
      </c>
      <c r="K153" s="203">
        <v>190460</v>
      </c>
      <c r="L153" s="203">
        <v>129640</v>
      </c>
      <c r="M153" s="203">
        <v>8720</v>
      </c>
      <c r="N153" s="203">
        <v>145000</v>
      </c>
      <c r="O153" s="203">
        <f t="shared" si="33"/>
        <v>2242086.54</v>
      </c>
    </row>
    <row r="154" spans="1:15" s="242" customFormat="1" ht="15.75" customHeight="1" x14ac:dyDescent="0.2">
      <c r="A154" s="228"/>
      <c r="B154" s="243" t="s">
        <v>873</v>
      </c>
      <c r="C154" s="206">
        <v>85030</v>
      </c>
      <c r="D154" s="206">
        <v>411390</v>
      </c>
      <c r="E154" s="206">
        <v>1275930</v>
      </c>
      <c r="F154" s="206">
        <v>1119000</v>
      </c>
      <c r="G154" s="206">
        <v>317760</v>
      </c>
      <c r="H154" s="206">
        <v>707570</v>
      </c>
      <c r="I154" s="206">
        <v>462060</v>
      </c>
      <c r="J154" s="206">
        <v>157880</v>
      </c>
      <c r="K154" s="206">
        <v>69270</v>
      </c>
      <c r="L154" s="206">
        <v>339470</v>
      </c>
      <c r="M154" s="206">
        <v>356340</v>
      </c>
      <c r="N154" s="203">
        <v>277140</v>
      </c>
      <c r="O154" s="206">
        <f t="shared" si="33"/>
        <v>5578840</v>
      </c>
    </row>
    <row r="155" spans="1:15" s="242" customFormat="1" ht="15.75" customHeight="1" x14ac:dyDescent="0.2">
      <c r="A155" s="228"/>
      <c r="B155" s="243" t="s">
        <v>874</v>
      </c>
      <c r="C155" s="203">
        <v>223330</v>
      </c>
      <c r="D155" s="203">
        <v>4065540.36</v>
      </c>
      <c r="E155" s="203">
        <v>616567.74</v>
      </c>
      <c r="F155" s="203">
        <v>499013.81</v>
      </c>
      <c r="G155" s="203">
        <v>215639.48</v>
      </c>
      <c r="H155" s="203">
        <v>286313.69</v>
      </c>
      <c r="I155" s="203">
        <v>149320</v>
      </c>
      <c r="J155" s="203">
        <v>223167.83</v>
      </c>
      <c r="K155" s="203">
        <v>188752.82</v>
      </c>
      <c r="L155" s="203">
        <v>229072.27</v>
      </c>
      <c r="M155" s="203">
        <v>124182.27</v>
      </c>
      <c r="N155" s="203">
        <v>179703.23</v>
      </c>
      <c r="O155" s="203">
        <f t="shared" si="33"/>
        <v>7000603.5</v>
      </c>
    </row>
    <row r="156" spans="1:15" s="242" customFormat="1" ht="15.75" hidden="1" customHeight="1" x14ac:dyDescent="0.2">
      <c r="A156" s="228"/>
      <c r="B156" s="243" t="s">
        <v>1061</v>
      </c>
      <c r="C156" s="203"/>
      <c r="D156" s="203"/>
      <c r="E156" s="203"/>
      <c r="F156" s="203"/>
      <c r="G156" s="203"/>
      <c r="H156" s="203"/>
      <c r="I156" s="203"/>
      <c r="J156" s="203"/>
      <c r="K156" s="203"/>
      <c r="L156" s="203"/>
      <c r="M156" s="203"/>
      <c r="N156" s="203"/>
      <c r="O156" s="203">
        <f t="shared" si="33"/>
        <v>0</v>
      </c>
    </row>
    <row r="157" spans="1:15" s="242" customFormat="1" ht="15.75" customHeight="1" x14ac:dyDescent="0.2">
      <c r="A157" s="228"/>
      <c r="B157" s="243" t="s">
        <v>876</v>
      </c>
      <c r="C157" s="206">
        <v>36390.959999999999</v>
      </c>
      <c r="D157" s="206">
        <v>259346.35</v>
      </c>
      <c r="E157" s="206">
        <v>24210.400000000001</v>
      </c>
      <c r="F157" s="206">
        <v>61347.56</v>
      </c>
      <c r="G157" s="206">
        <v>74952.83</v>
      </c>
      <c r="H157" s="206">
        <v>138679.26999999999</v>
      </c>
      <c r="I157" s="206">
        <v>52830</v>
      </c>
      <c r="J157" s="206">
        <v>62547.91</v>
      </c>
      <c r="K157" s="206">
        <v>125454.36</v>
      </c>
      <c r="L157" s="206">
        <v>125206.38</v>
      </c>
      <c r="M157" s="206">
        <v>529282.68999999994</v>
      </c>
      <c r="N157" s="206">
        <v>43374.28</v>
      </c>
      <c r="O157" s="206">
        <f t="shared" si="33"/>
        <v>1533622.99</v>
      </c>
    </row>
    <row r="158" spans="1:15" s="242" customFormat="1" ht="15.75" customHeight="1" x14ac:dyDescent="0.2">
      <c r="A158" s="228"/>
      <c r="B158" s="243" t="s">
        <v>877</v>
      </c>
      <c r="C158" s="203">
        <v>108885</v>
      </c>
      <c r="D158" s="202">
        <v>120598.54</v>
      </c>
      <c r="E158" s="203">
        <v>134750</v>
      </c>
      <c r="F158" s="203">
        <v>257880</v>
      </c>
      <c r="G158" s="203">
        <v>134350</v>
      </c>
      <c r="H158" s="203">
        <v>312400.45</v>
      </c>
      <c r="I158" s="203">
        <v>222494.07999999999</v>
      </c>
      <c r="J158" s="203">
        <v>115689.23</v>
      </c>
      <c r="K158" s="203">
        <v>129585</v>
      </c>
      <c r="L158" s="203">
        <v>80470</v>
      </c>
      <c r="M158" s="203">
        <v>35490</v>
      </c>
      <c r="N158" s="203">
        <v>335079.96000000002</v>
      </c>
      <c r="O158" s="203">
        <f t="shared" si="33"/>
        <v>1987672.26</v>
      </c>
    </row>
    <row r="159" spans="1:15" s="242" customFormat="1" ht="15.75" customHeight="1" x14ac:dyDescent="0.2">
      <c r="A159" s="228"/>
      <c r="B159" s="243" t="s">
        <v>878</v>
      </c>
      <c r="C159" s="202">
        <v>337126.78</v>
      </c>
      <c r="D159" s="202">
        <v>308766.96000000002</v>
      </c>
      <c r="E159" s="202">
        <f>308312.93</f>
        <v>308312.93</v>
      </c>
      <c r="F159" s="202">
        <v>840434.58</v>
      </c>
      <c r="G159" s="202">
        <v>437245.16</v>
      </c>
      <c r="H159" s="202">
        <f>955484.33+236.07</f>
        <v>955720.39999999991</v>
      </c>
      <c r="I159" s="202">
        <v>1167929.98</v>
      </c>
      <c r="J159" s="202">
        <v>203941.33</v>
      </c>
      <c r="K159" s="202">
        <f>234750.82+225.68</f>
        <v>234976.5</v>
      </c>
      <c r="L159" s="202">
        <f>194317.23-1991.33</f>
        <v>192325.90000000002</v>
      </c>
      <c r="M159" s="202">
        <v>523792.99</v>
      </c>
      <c r="N159" s="202">
        <f>1581845.78+ 214.54</f>
        <v>1582060.32</v>
      </c>
      <c r="O159" s="203">
        <f t="shared" si="33"/>
        <v>7092633.830000001</v>
      </c>
    </row>
    <row r="160" spans="1:15" s="242" customFormat="1" ht="15.75" hidden="1" customHeight="1" x14ac:dyDescent="0.2">
      <c r="A160" s="228"/>
      <c r="B160" s="243" t="s">
        <v>1062</v>
      </c>
      <c r="C160" s="203"/>
      <c r="D160" s="203"/>
      <c r="E160" s="203"/>
      <c r="F160" s="203"/>
      <c r="G160" s="203"/>
      <c r="H160" s="203"/>
      <c r="I160" s="203"/>
      <c r="J160" s="203"/>
      <c r="K160" s="203"/>
      <c r="L160" s="203"/>
      <c r="M160" s="203"/>
      <c r="N160" s="203"/>
      <c r="O160" s="203">
        <f t="shared" si="33"/>
        <v>0</v>
      </c>
    </row>
    <row r="161" spans="1:15" s="242" customFormat="1" ht="15.75" customHeight="1" x14ac:dyDescent="0.2">
      <c r="A161" s="228"/>
      <c r="B161" s="243" t="s">
        <v>879</v>
      </c>
      <c r="C161" s="203">
        <v>9310</v>
      </c>
      <c r="D161" s="203">
        <v>81364.399999999994</v>
      </c>
      <c r="E161" s="203">
        <v>506017.98</v>
      </c>
      <c r="F161" s="203">
        <v>187840</v>
      </c>
      <c r="G161" s="203">
        <v>320931.05</v>
      </c>
      <c r="H161" s="203">
        <v>188380</v>
      </c>
      <c r="I161" s="203">
        <v>221533</v>
      </c>
      <c r="J161" s="203">
        <v>171717.39</v>
      </c>
      <c r="K161" s="203">
        <v>146990</v>
      </c>
      <c r="L161" s="203">
        <v>125940</v>
      </c>
      <c r="M161" s="203">
        <v>118100</v>
      </c>
      <c r="N161" s="203">
        <v>145589.22</v>
      </c>
      <c r="O161" s="203">
        <f t="shared" si="33"/>
        <v>2223713.04</v>
      </c>
    </row>
    <row r="162" spans="1:15" s="242" customFormat="1" ht="12.75" hidden="1" customHeight="1" x14ac:dyDescent="0.2">
      <c r="A162" s="244"/>
      <c r="B162" s="244"/>
      <c r="C162" s="213"/>
      <c r="D162" s="213"/>
      <c r="E162" s="213"/>
      <c r="F162" s="213"/>
      <c r="G162" s="213"/>
      <c r="H162" s="213"/>
      <c r="I162" s="213"/>
      <c r="J162" s="213"/>
      <c r="K162" s="213"/>
      <c r="L162" s="213"/>
      <c r="M162" s="213"/>
      <c r="N162" s="213"/>
      <c r="O162" s="213">
        <f t="shared" si="33"/>
        <v>0</v>
      </c>
    </row>
    <row r="163" spans="1:15" s="242" customFormat="1" ht="15.75" hidden="1" customHeight="1" x14ac:dyDescent="0.2">
      <c r="A163" s="228"/>
      <c r="B163" s="243" t="s">
        <v>1063</v>
      </c>
      <c r="C163" s="203"/>
      <c r="D163" s="203"/>
      <c r="E163" s="203"/>
      <c r="F163" s="203"/>
      <c r="G163" s="203"/>
      <c r="H163" s="203"/>
      <c r="I163" s="203"/>
      <c r="J163" s="203"/>
      <c r="K163" s="203"/>
      <c r="L163" s="203"/>
      <c r="M163" s="203"/>
      <c r="N163" s="203"/>
      <c r="O163" s="203">
        <f t="shared" si="33"/>
        <v>0</v>
      </c>
    </row>
    <row r="164" spans="1:15" s="242" customFormat="1" ht="15.75" customHeight="1" x14ac:dyDescent="0.2">
      <c r="A164" s="228"/>
      <c r="B164" s="243" t="s">
        <v>880</v>
      </c>
      <c r="C164" s="203">
        <v>36900</v>
      </c>
      <c r="D164" s="203">
        <v>86310</v>
      </c>
      <c r="E164" s="203">
        <v>140140</v>
      </c>
      <c r="F164" s="203">
        <v>181460</v>
      </c>
      <c r="G164" s="203">
        <v>75740</v>
      </c>
      <c r="H164" s="203">
        <v>231750</v>
      </c>
      <c r="I164" s="203">
        <v>186080</v>
      </c>
      <c r="J164" s="203">
        <v>182460</v>
      </c>
      <c r="K164" s="203">
        <v>81360</v>
      </c>
      <c r="L164" s="203">
        <v>96250</v>
      </c>
      <c r="M164" s="203">
        <v>39990</v>
      </c>
      <c r="N164" s="203">
        <v>42220</v>
      </c>
      <c r="O164" s="203">
        <f t="shared" si="33"/>
        <v>1380660</v>
      </c>
    </row>
    <row r="165" spans="1:15" s="242" customFormat="1" ht="15.75" customHeight="1" x14ac:dyDescent="0.2">
      <c r="A165" s="228"/>
      <c r="B165" s="243" t="s">
        <v>881</v>
      </c>
      <c r="C165" s="203">
        <v>89250</v>
      </c>
      <c r="D165" s="203">
        <v>279458.38</v>
      </c>
      <c r="E165" s="203">
        <v>214927.33</v>
      </c>
      <c r="F165" s="203">
        <v>226950.86</v>
      </c>
      <c r="G165" s="203">
        <v>197068.78</v>
      </c>
      <c r="H165" s="203">
        <v>146040</v>
      </c>
      <c r="I165" s="203">
        <v>215590</v>
      </c>
      <c r="J165" s="203">
        <v>442498.3</v>
      </c>
      <c r="K165" s="203">
        <v>474748.55</v>
      </c>
      <c r="L165" s="203">
        <v>337260</v>
      </c>
      <c r="M165" s="203">
        <v>277790</v>
      </c>
      <c r="N165" s="203">
        <v>136550</v>
      </c>
      <c r="O165" s="203">
        <f t="shared" si="33"/>
        <v>3038132.2</v>
      </c>
    </row>
    <row r="166" spans="1:15" s="242" customFormat="1" ht="15.75" hidden="1" customHeight="1" x14ac:dyDescent="0.2">
      <c r="A166" s="228"/>
      <c r="B166" s="243" t="s">
        <v>1064</v>
      </c>
      <c r="C166" s="203"/>
      <c r="D166" s="203"/>
      <c r="E166" s="203"/>
      <c r="F166" s="203"/>
      <c r="G166" s="203"/>
      <c r="H166" s="203"/>
      <c r="I166" s="203"/>
      <c r="J166" s="203"/>
      <c r="K166" s="203"/>
      <c r="L166" s="203"/>
      <c r="M166" s="203"/>
      <c r="N166" s="203"/>
      <c r="O166" s="203">
        <f t="shared" si="33"/>
        <v>0</v>
      </c>
    </row>
    <row r="167" spans="1:15" s="242" customFormat="1" ht="15.75" customHeight="1" x14ac:dyDescent="0.2">
      <c r="A167" s="228"/>
      <c r="B167" s="243" t="s">
        <v>882</v>
      </c>
      <c r="C167" s="203">
        <v>73894</v>
      </c>
      <c r="D167" s="203">
        <v>59647.3</v>
      </c>
      <c r="E167" s="203">
        <v>141700</v>
      </c>
      <c r="F167" s="203">
        <v>44580</v>
      </c>
      <c r="G167" s="203">
        <v>180836</v>
      </c>
      <c r="H167" s="203">
        <v>91870</v>
      </c>
      <c r="I167" s="203">
        <v>92140</v>
      </c>
      <c r="J167" s="203">
        <v>114068.99</v>
      </c>
      <c r="K167" s="203">
        <v>116700.98</v>
      </c>
      <c r="L167" s="203">
        <v>90613.6</v>
      </c>
      <c r="M167" s="203">
        <v>59420</v>
      </c>
      <c r="N167" s="203">
        <v>3052857.5</v>
      </c>
      <c r="O167" s="203">
        <f t="shared" si="33"/>
        <v>4118328.37</v>
      </c>
    </row>
    <row r="168" spans="1:15" s="242" customFormat="1" ht="15.75" hidden="1" customHeight="1" x14ac:dyDescent="0.2">
      <c r="A168" s="228"/>
      <c r="B168" s="243" t="s">
        <v>1065</v>
      </c>
      <c r="C168" s="203"/>
      <c r="D168" s="203"/>
      <c r="E168" s="203"/>
      <c r="F168" s="203"/>
      <c r="G168" s="203"/>
      <c r="H168" s="203"/>
      <c r="I168" s="203"/>
      <c r="J168" s="203"/>
      <c r="K168" s="203"/>
      <c r="L168" s="203"/>
      <c r="M168" s="203"/>
      <c r="N168" s="203"/>
      <c r="O168" s="203">
        <f t="shared" si="33"/>
        <v>0</v>
      </c>
    </row>
    <row r="169" spans="1:15" s="242" customFormat="1" ht="15.75" hidden="1" customHeight="1" x14ac:dyDescent="0.2">
      <c r="A169" s="228"/>
      <c r="B169" s="243" t="s">
        <v>1066</v>
      </c>
      <c r="C169" s="203"/>
      <c r="D169" s="203"/>
      <c r="E169" s="203"/>
      <c r="F169" s="203"/>
      <c r="G169" s="203"/>
      <c r="H169" s="203"/>
      <c r="I169" s="203"/>
      <c r="J169" s="203"/>
      <c r="K169" s="203"/>
      <c r="L169" s="203"/>
      <c r="M169" s="203"/>
      <c r="N169" s="203"/>
      <c r="O169" s="203">
        <f t="shared" si="33"/>
        <v>0</v>
      </c>
    </row>
    <row r="170" spans="1:15" s="242" customFormat="1" ht="15.75" customHeight="1" x14ac:dyDescent="0.2">
      <c r="A170" s="228"/>
      <c r="B170" s="243" t="s">
        <v>883</v>
      </c>
      <c r="C170" s="203">
        <v>18832.29</v>
      </c>
      <c r="D170" s="203">
        <v>2090.7199999999998</v>
      </c>
      <c r="E170" s="203">
        <v>131967.70000000001</v>
      </c>
      <c r="F170" s="203">
        <v>55553.279999999999</v>
      </c>
      <c r="G170" s="203">
        <v>40005.14</v>
      </c>
      <c r="H170" s="203">
        <v>115470.46</v>
      </c>
      <c r="I170" s="203">
        <v>69442.009999999995</v>
      </c>
      <c r="J170" s="203">
        <v>62847.8</v>
      </c>
      <c r="K170" s="203">
        <v>9870</v>
      </c>
      <c r="L170" s="203">
        <v>10326.370000000001</v>
      </c>
      <c r="M170" s="203">
        <v>80792.679999999993</v>
      </c>
      <c r="N170" s="203">
        <v>31560</v>
      </c>
      <c r="O170" s="203">
        <f t="shared" si="33"/>
        <v>628758.44999999995</v>
      </c>
    </row>
    <row r="171" spans="1:15" s="242" customFormat="1" ht="15.75" customHeight="1" x14ac:dyDescent="0.2">
      <c r="A171" s="228"/>
      <c r="B171" s="243" t="s">
        <v>884</v>
      </c>
      <c r="C171" s="203">
        <v>15948.12</v>
      </c>
      <c r="D171" s="203">
        <v>60299</v>
      </c>
      <c r="E171" s="203">
        <v>303705</v>
      </c>
      <c r="F171" s="203">
        <v>107690</v>
      </c>
      <c r="G171" s="203">
        <v>287815</v>
      </c>
      <c r="H171" s="203">
        <v>156740</v>
      </c>
      <c r="I171" s="203">
        <v>189928</v>
      </c>
      <c r="J171" s="203"/>
      <c r="K171" s="203">
        <v>218.9</v>
      </c>
      <c r="L171" s="203">
        <v>109</v>
      </c>
      <c r="M171" s="203"/>
      <c r="N171" s="203">
        <v>3375</v>
      </c>
      <c r="O171" s="203">
        <f t="shared" si="33"/>
        <v>1125828.02</v>
      </c>
    </row>
    <row r="172" spans="1:15" s="242" customFormat="1" ht="15.75" customHeight="1" x14ac:dyDescent="0.2">
      <c r="A172" s="228"/>
      <c r="B172" s="243" t="s">
        <v>885</v>
      </c>
      <c r="C172" s="203">
        <v>671034.74</v>
      </c>
      <c r="D172" s="203">
        <v>573770.43000000005</v>
      </c>
      <c r="E172" s="203">
        <v>2298983.2599999998</v>
      </c>
      <c r="F172" s="203">
        <v>68090.89</v>
      </c>
      <c r="G172" s="203">
        <v>173310.14</v>
      </c>
      <c r="H172" s="203">
        <v>395983.35999999999</v>
      </c>
      <c r="I172" s="203">
        <v>64682.96</v>
      </c>
      <c r="J172" s="203">
        <v>96337.74</v>
      </c>
      <c r="K172" s="203">
        <v>303546.13</v>
      </c>
      <c r="L172" s="203">
        <v>30444.21</v>
      </c>
      <c r="M172" s="203">
        <v>231000</v>
      </c>
      <c r="N172" s="203">
        <v>1209130</v>
      </c>
      <c r="O172" s="203">
        <f t="shared" si="33"/>
        <v>6116313.8600000003</v>
      </c>
    </row>
    <row r="173" spans="1:15" s="242" customFormat="1" ht="15.75" hidden="1" customHeight="1" x14ac:dyDescent="0.2">
      <c r="A173" s="228"/>
      <c r="B173" s="243" t="s">
        <v>1067</v>
      </c>
      <c r="C173" s="203"/>
      <c r="D173" s="203"/>
      <c r="E173" s="203"/>
      <c r="F173" s="203"/>
      <c r="G173" s="203"/>
      <c r="H173" s="203"/>
      <c r="I173" s="203"/>
      <c r="J173" s="203"/>
      <c r="K173" s="203"/>
      <c r="L173" s="203"/>
      <c r="M173" s="203"/>
      <c r="N173" s="203"/>
      <c r="O173" s="203">
        <f t="shared" si="33"/>
        <v>0</v>
      </c>
    </row>
    <row r="174" spans="1:15" s="242" customFormat="1" ht="15.75" customHeight="1" x14ac:dyDescent="0.2">
      <c r="A174" s="228"/>
      <c r="B174" s="243" t="s">
        <v>886</v>
      </c>
      <c r="C174" s="203">
        <v>40261.769999999997</v>
      </c>
      <c r="D174" s="203">
        <v>67667.47</v>
      </c>
      <c r="E174" s="203">
        <v>359424.69</v>
      </c>
      <c r="F174" s="203">
        <v>775159.06</v>
      </c>
      <c r="G174" s="203">
        <v>616301.31000000006</v>
      </c>
      <c r="H174" s="203">
        <v>243425.55</v>
      </c>
      <c r="I174" s="203">
        <v>533162.92000000004</v>
      </c>
      <c r="J174" s="203">
        <v>251864.91</v>
      </c>
      <c r="K174" s="203">
        <v>40790</v>
      </c>
      <c r="L174" s="203">
        <v>26440</v>
      </c>
      <c r="M174" s="203">
        <v>811120.12</v>
      </c>
      <c r="N174" s="203">
        <v>201321</v>
      </c>
      <c r="O174" s="203">
        <f t="shared" si="33"/>
        <v>3966938.8000000003</v>
      </c>
    </row>
    <row r="175" spans="1:15" s="242" customFormat="1" ht="15.75" customHeight="1" x14ac:dyDescent="0.2">
      <c r="A175" s="228"/>
      <c r="B175" s="243" t="s">
        <v>887</v>
      </c>
      <c r="C175" s="203">
        <v>162380</v>
      </c>
      <c r="D175" s="203">
        <v>192520</v>
      </c>
      <c r="E175" s="203">
        <v>577330</v>
      </c>
      <c r="F175" s="203">
        <v>315600</v>
      </c>
      <c r="G175" s="203">
        <v>311990</v>
      </c>
      <c r="H175" s="203">
        <v>316050</v>
      </c>
      <c r="I175" s="203">
        <v>305150</v>
      </c>
      <c r="J175" s="203">
        <v>280190</v>
      </c>
      <c r="K175" s="203">
        <v>424480</v>
      </c>
      <c r="L175" s="203">
        <v>212820</v>
      </c>
      <c r="M175" s="203">
        <v>224970</v>
      </c>
      <c r="N175" s="203">
        <v>215430</v>
      </c>
      <c r="O175" s="203">
        <f t="shared" si="33"/>
        <v>3538910</v>
      </c>
    </row>
    <row r="176" spans="1:15" s="242" customFormat="1" ht="15.75" customHeight="1" x14ac:dyDescent="0.2">
      <c r="A176" s="228"/>
      <c r="B176" s="243" t="s">
        <v>888</v>
      </c>
      <c r="C176" s="203">
        <v>7380</v>
      </c>
      <c r="D176" s="203">
        <v>13110</v>
      </c>
      <c r="E176" s="203">
        <v>166810</v>
      </c>
      <c r="F176" s="202">
        <v>235530</v>
      </c>
      <c r="G176" s="202">
        <v>77160</v>
      </c>
      <c r="H176" s="202">
        <v>158060</v>
      </c>
      <c r="I176" s="202">
        <v>62740</v>
      </c>
      <c r="J176" s="202">
        <v>29140</v>
      </c>
      <c r="K176" s="202">
        <v>62520</v>
      </c>
      <c r="L176" s="202">
        <v>82270</v>
      </c>
      <c r="M176" s="202">
        <v>12020</v>
      </c>
      <c r="N176" s="202">
        <v>111490</v>
      </c>
      <c r="O176" s="203">
        <f t="shared" si="33"/>
        <v>1018230</v>
      </c>
    </row>
    <row r="177" spans="1:15" s="242" customFormat="1" ht="15.75" customHeight="1" x14ac:dyDescent="0.2">
      <c r="A177" s="228"/>
      <c r="B177" s="243" t="s">
        <v>889</v>
      </c>
      <c r="C177" s="203">
        <v>13760</v>
      </c>
      <c r="D177" s="203">
        <v>10070</v>
      </c>
      <c r="E177" s="203">
        <v>65540</v>
      </c>
      <c r="F177" s="203">
        <v>76250</v>
      </c>
      <c r="G177" s="203">
        <v>30730</v>
      </c>
      <c r="H177" s="203">
        <v>89450</v>
      </c>
      <c r="I177" s="203">
        <v>88920</v>
      </c>
      <c r="J177" s="203">
        <v>65030</v>
      </c>
      <c r="K177" s="203">
        <v>31090</v>
      </c>
      <c r="L177" s="203">
        <v>9490.4699999999993</v>
      </c>
      <c r="M177" s="203">
        <v>26900</v>
      </c>
      <c r="N177" s="203">
        <v>630</v>
      </c>
      <c r="O177" s="203">
        <f t="shared" si="33"/>
        <v>507860.47</v>
      </c>
    </row>
    <row r="178" spans="1:15" s="242" customFormat="1" ht="15.75" customHeight="1" x14ac:dyDescent="0.2">
      <c r="A178" s="228"/>
      <c r="B178" s="243" t="s">
        <v>890</v>
      </c>
      <c r="C178" s="203">
        <v>149542.12</v>
      </c>
      <c r="D178" s="203">
        <v>236600</v>
      </c>
      <c r="E178" s="203">
        <v>102470</v>
      </c>
      <c r="F178" s="203">
        <v>148590</v>
      </c>
      <c r="G178" s="203">
        <v>188531.09</v>
      </c>
      <c r="H178" s="203">
        <v>238080</v>
      </c>
      <c r="I178" s="203">
        <v>236191.72</v>
      </c>
      <c r="J178" s="203">
        <v>1015284.57</v>
      </c>
      <c r="K178" s="203">
        <v>759980</v>
      </c>
      <c r="L178" s="203">
        <v>69190</v>
      </c>
      <c r="M178" s="203">
        <v>69800</v>
      </c>
      <c r="N178" s="203">
        <v>167040</v>
      </c>
      <c r="O178" s="203">
        <f t="shared" si="33"/>
        <v>3381299.5</v>
      </c>
    </row>
    <row r="179" spans="1:15" s="242" customFormat="1" ht="15.75" customHeight="1" x14ac:dyDescent="0.2">
      <c r="A179" s="228"/>
      <c r="B179" s="243" t="s">
        <v>891</v>
      </c>
      <c r="C179" s="203">
        <v>1920</v>
      </c>
      <c r="D179" s="203">
        <v>52820</v>
      </c>
      <c r="E179" s="203">
        <v>66540</v>
      </c>
      <c r="F179" s="203">
        <v>150810</v>
      </c>
      <c r="G179" s="203">
        <v>15220</v>
      </c>
      <c r="H179" s="203">
        <v>22660</v>
      </c>
      <c r="I179" s="203">
        <v>24900</v>
      </c>
      <c r="J179" s="203">
        <v>5600</v>
      </c>
      <c r="K179" s="203">
        <v>43180</v>
      </c>
      <c r="L179" s="203">
        <v>6890</v>
      </c>
      <c r="M179" s="203">
        <v>3220</v>
      </c>
      <c r="N179" s="203">
        <v>19420</v>
      </c>
      <c r="O179" s="203">
        <f t="shared" si="33"/>
        <v>413180</v>
      </c>
    </row>
    <row r="180" spans="1:15" s="242" customFormat="1" ht="15.75" customHeight="1" x14ac:dyDescent="0.2">
      <c r="A180" s="228"/>
      <c r="B180" s="243" t="s">
        <v>892</v>
      </c>
      <c r="C180" s="203">
        <v>86430</v>
      </c>
      <c r="D180" s="203">
        <v>29850.63</v>
      </c>
      <c r="E180" s="203">
        <v>220483.94</v>
      </c>
      <c r="F180" s="203">
        <v>129760</v>
      </c>
      <c r="G180" s="203">
        <v>77080</v>
      </c>
      <c r="H180" s="203">
        <v>314680</v>
      </c>
      <c r="I180" s="203">
        <v>155030</v>
      </c>
      <c r="J180" s="203">
        <v>160450</v>
      </c>
      <c r="K180" s="203">
        <v>249075</v>
      </c>
      <c r="L180" s="203">
        <v>15120</v>
      </c>
      <c r="M180" s="203">
        <v>22030</v>
      </c>
      <c r="N180" s="203">
        <v>19690</v>
      </c>
      <c r="O180" s="203">
        <f t="shared" si="33"/>
        <v>1479679.57</v>
      </c>
    </row>
    <row r="181" spans="1:15" s="242" customFormat="1" ht="15.75" customHeight="1" x14ac:dyDescent="0.2">
      <c r="A181" s="228"/>
      <c r="B181" s="243" t="s">
        <v>893</v>
      </c>
      <c r="C181" s="203">
        <v>5390</v>
      </c>
      <c r="D181" s="203">
        <v>170840</v>
      </c>
      <c r="E181" s="203">
        <v>203650</v>
      </c>
      <c r="F181" s="203">
        <v>200890</v>
      </c>
      <c r="G181" s="203">
        <v>86890</v>
      </c>
      <c r="H181" s="203">
        <v>212390</v>
      </c>
      <c r="I181" s="203">
        <v>31580</v>
      </c>
      <c r="J181" s="203">
        <v>6320</v>
      </c>
      <c r="K181" s="203">
        <v>22520</v>
      </c>
      <c r="L181" s="203">
        <v>52970</v>
      </c>
      <c r="M181" s="203">
        <v>0</v>
      </c>
      <c r="N181" s="203">
        <v>3510</v>
      </c>
      <c r="O181" s="203">
        <f t="shared" si="33"/>
        <v>996950</v>
      </c>
    </row>
    <row r="182" spans="1:15" s="242" customFormat="1" ht="15.75" customHeight="1" x14ac:dyDescent="0.2">
      <c r="A182" s="228"/>
      <c r="B182" s="243" t="s">
        <v>894</v>
      </c>
      <c r="C182" s="203">
        <v>33840</v>
      </c>
      <c r="D182" s="203">
        <v>161460</v>
      </c>
      <c r="E182" s="203">
        <v>477911.48</v>
      </c>
      <c r="F182" s="203">
        <v>397210</v>
      </c>
      <c r="G182" s="203">
        <v>289730</v>
      </c>
      <c r="H182" s="203">
        <v>224220</v>
      </c>
      <c r="I182" s="203">
        <v>183150</v>
      </c>
      <c r="J182" s="203">
        <v>260980</v>
      </c>
      <c r="K182" s="203">
        <v>190150</v>
      </c>
      <c r="L182" s="203">
        <v>294440</v>
      </c>
      <c r="M182" s="203">
        <v>191380</v>
      </c>
      <c r="N182" s="203">
        <v>193470</v>
      </c>
      <c r="O182" s="203">
        <f t="shared" si="33"/>
        <v>2897941.48</v>
      </c>
    </row>
    <row r="183" spans="1:15" s="242" customFormat="1" ht="15.75" customHeight="1" x14ac:dyDescent="0.2">
      <c r="A183" s="228"/>
      <c r="B183" s="243" t="s">
        <v>895</v>
      </c>
      <c r="C183" s="203">
        <v>79040</v>
      </c>
      <c r="D183" s="203">
        <v>36210</v>
      </c>
      <c r="E183" s="203">
        <v>329740</v>
      </c>
      <c r="F183" s="203">
        <v>30710</v>
      </c>
      <c r="G183" s="203">
        <v>46480</v>
      </c>
      <c r="H183" s="203"/>
      <c r="I183" s="203"/>
      <c r="J183" s="203"/>
      <c r="K183" s="203">
        <v>30690</v>
      </c>
      <c r="L183" s="203"/>
      <c r="M183" s="203"/>
      <c r="N183" s="203"/>
      <c r="O183" s="203">
        <f t="shared" si="33"/>
        <v>552870</v>
      </c>
    </row>
    <row r="184" spans="1:15" s="242" customFormat="1" ht="15.75" customHeight="1" x14ac:dyDescent="0.2">
      <c r="A184" s="228"/>
      <c r="B184" s="243" t="s">
        <v>896</v>
      </c>
      <c r="C184" s="203">
        <v>39750</v>
      </c>
      <c r="D184" s="203">
        <v>29008.52</v>
      </c>
      <c r="E184" s="203">
        <v>98550</v>
      </c>
      <c r="F184" s="203">
        <v>77310</v>
      </c>
      <c r="G184" s="203">
        <v>140970</v>
      </c>
      <c r="H184" s="203">
        <v>246100</v>
      </c>
      <c r="I184" s="203">
        <v>579234.47</v>
      </c>
      <c r="J184" s="203">
        <v>650788.14</v>
      </c>
      <c r="K184" s="203">
        <v>624000</v>
      </c>
      <c r="L184" s="203">
        <v>260157.54</v>
      </c>
      <c r="M184" s="203">
        <v>287683.24</v>
      </c>
      <c r="N184" s="203">
        <v>135600</v>
      </c>
      <c r="O184" s="203">
        <f t="shared" si="33"/>
        <v>3169151.91</v>
      </c>
    </row>
    <row r="185" spans="1:15" s="242" customFormat="1" ht="15.75" hidden="1" customHeight="1" x14ac:dyDescent="0.2">
      <c r="A185" s="228"/>
      <c r="B185" s="243" t="s">
        <v>1068</v>
      </c>
      <c r="C185" s="203"/>
      <c r="D185" s="203"/>
      <c r="E185" s="203"/>
      <c r="F185" s="203"/>
      <c r="G185" s="203"/>
      <c r="H185" s="203"/>
      <c r="I185" s="203"/>
      <c r="J185" s="203"/>
      <c r="K185" s="203"/>
      <c r="L185" s="203"/>
      <c r="M185" s="203"/>
      <c r="N185" s="203"/>
      <c r="O185" s="203">
        <f t="shared" si="33"/>
        <v>0</v>
      </c>
    </row>
    <row r="186" spans="1:15" s="242" customFormat="1" ht="15.75" customHeight="1" x14ac:dyDescent="0.2">
      <c r="A186" s="228"/>
      <c r="B186" s="243" t="s">
        <v>897</v>
      </c>
      <c r="C186" s="203">
        <v>3600</v>
      </c>
      <c r="D186" s="203">
        <v>801500</v>
      </c>
      <c r="E186" s="203">
        <v>76710</v>
      </c>
      <c r="F186" s="203">
        <v>403840</v>
      </c>
      <c r="G186" s="203">
        <v>79020</v>
      </c>
      <c r="H186" s="203">
        <v>377040</v>
      </c>
      <c r="I186" s="203">
        <v>97050</v>
      </c>
      <c r="J186" s="203">
        <v>185820</v>
      </c>
      <c r="K186" s="203">
        <v>91940</v>
      </c>
      <c r="L186" s="203">
        <v>203940</v>
      </c>
      <c r="M186" s="203">
        <v>62460</v>
      </c>
      <c r="N186" s="203">
        <v>129150</v>
      </c>
      <c r="O186" s="203">
        <f t="shared" si="33"/>
        <v>2512070</v>
      </c>
    </row>
    <row r="187" spans="1:15" s="242" customFormat="1" ht="15.75" hidden="1" customHeight="1" x14ac:dyDescent="0.2">
      <c r="A187" s="228"/>
      <c r="B187" s="243" t="s">
        <v>1069</v>
      </c>
      <c r="C187" s="203"/>
      <c r="D187" s="203"/>
      <c r="E187" s="203"/>
      <c r="F187" s="203"/>
      <c r="G187" s="203"/>
      <c r="H187" s="203"/>
      <c r="I187" s="203"/>
      <c r="J187" s="203"/>
      <c r="K187" s="203"/>
      <c r="L187" s="203"/>
      <c r="M187" s="203"/>
      <c r="N187" s="203"/>
      <c r="O187" s="203">
        <f t="shared" si="33"/>
        <v>0</v>
      </c>
    </row>
    <row r="188" spans="1:15" s="242" customFormat="1" ht="15.75" customHeight="1" x14ac:dyDescent="0.2">
      <c r="A188" s="228"/>
      <c r="B188" s="243" t="s">
        <v>898</v>
      </c>
      <c r="C188" s="203">
        <v>138690</v>
      </c>
      <c r="D188" s="203">
        <v>173210</v>
      </c>
      <c r="E188" s="203">
        <v>274910</v>
      </c>
      <c r="F188" s="203">
        <v>392900</v>
      </c>
      <c r="G188" s="203">
        <v>257460</v>
      </c>
      <c r="H188" s="203">
        <v>272110</v>
      </c>
      <c r="I188" s="203">
        <v>323100</v>
      </c>
      <c r="J188" s="203">
        <v>133020</v>
      </c>
      <c r="K188" s="203">
        <v>353630</v>
      </c>
      <c r="L188" s="203">
        <v>287290</v>
      </c>
      <c r="M188" s="203">
        <v>115370</v>
      </c>
      <c r="N188" s="203">
        <v>5248052.05</v>
      </c>
      <c r="O188" s="203">
        <f t="shared" si="33"/>
        <v>7969742.0499999998</v>
      </c>
    </row>
    <row r="189" spans="1:15" s="242" customFormat="1" ht="15.75" customHeight="1" x14ac:dyDescent="0.2">
      <c r="A189" s="228"/>
      <c r="B189" s="243" t="s">
        <v>899</v>
      </c>
      <c r="C189" s="203">
        <v>553700</v>
      </c>
      <c r="D189" s="203">
        <v>668885.93999999994</v>
      </c>
      <c r="E189" s="203">
        <v>1273931.6399999999</v>
      </c>
      <c r="F189" s="203">
        <v>400101.78</v>
      </c>
      <c r="G189" s="203">
        <v>1046881.39</v>
      </c>
      <c r="H189" s="203">
        <v>1024802.39</v>
      </c>
      <c r="I189" s="203">
        <v>194940</v>
      </c>
      <c r="J189" s="203">
        <v>394451.97</v>
      </c>
      <c r="K189" s="203">
        <v>264089.44</v>
      </c>
      <c r="L189" s="203">
        <v>202783.88</v>
      </c>
      <c r="M189" s="203">
        <v>849466.22</v>
      </c>
      <c r="N189" s="203">
        <v>525075.6</v>
      </c>
      <c r="O189" s="203">
        <f t="shared" si="33"/>
        <v>7399110.25</v>
      </c>
    </row>
    <row r="190" spans="1:15" s="242" customFormat="1" ht="15.75" customHeight="1" x14ac:dyDescent="0.2">
      <c r="A190" s="228"/>
      <c r="B190" s="243" t="s">
        <v>900</v>
      </c>
      <c r="C190" s="203">
        <v>955010</v>
      </c>
      <c r="D190" s="203">
        <v>108400</v>
      </c>
      <c r="E190" s="203">
        <v>1576270</v>
      </c>
      <c r="F190" s="203">
        <v>116610</v>
      </c>
      <c r="G190" s="203">
        <v>122010</v>
      </c>
      <c r="H190" s="203">
        <v>85000</v>
      </c>
      <c r="I190" s="203">
        <v>64330</v>
      </c>
      <c r="J190" s="203">
        <v>237470</v>
      </c>
      <c r="K190" s="203">
        <v>159190</v>
      </c>
      <c r="L190" s="203">
        <v>552500</v>
      </c>
      <c r="M190" s="203">
        <v>11500</v>
      </c>
      <c r="N190" s="203">
        <v>1586000</v>
      </c>
      <c r="O190" s="203">
        <f t="shared" si="33"/>
        <v>5574290</v>
      </c>
    </row>
    <row r="191" spans="1:15" s="242" customFormat="1" ht="15.75" hidden="1" customHeight="1" x14ac:dyDescent="0.2">
      <c r="A191" s="228"/>
      <c r="B191" s="243" t="s">
        <v>1070</v>
      </c>
      <c r="C191" s="203"/>
      <c r="D191" s="203"/>
      <c r="E191" s="203"/>
      <c r="F191" s="203"/>
      <c r="G191" s="203"/>
      <c r="H191" s="203"/>
      <c r="I191" s="203"/>
      <c r="J191" s="203"/>
      <c r="K191" s="203"/>
      <c r="L191" s="203"/>
      <c r="M191" s="203"/>
      <c r="N191" s="203"/>
      <c r="O191" s="203">
        <f t="shared" si="33"/>
        <v>0</v>
      </c>
    </row>
    <row r="192" spans="1:15" s="242" customFormat="1" ht="15.75" hidden="1" customHeight="1" x14ac:dyDescent="0.2">
      <c r="A192" s="228"/>
      <c r="B192" s="243" t="s">
        <v>1071</v>
      </c>
      <c r="C192" s="203"/>
      <c r="D192" s="203"/>
      <c r="E192" s="203"/>
      <c r="F192" s="203"/>
      <c r="G192" s="203"/>
      <c r="H192" s="203"/>
      <c r="I192" s="203"/>
      <c r="J192" s="203"/>
      <c r="K192" s="203"/>
      <c r="L192" s="203"/>
      <c r="M192" s="203"/>
      <c r="N192" s="203"/>
      <c r="O192" s="203">
        <f t="shared" si="33"/>
        <v>0</v>
      </c>
    </row>
    <row r="193" spans="1:15" s="242" customFormat="1" ht="15.75" customHeight="1" x14ac:dyDescent="0.2">
      <c r="A193" s="228"/>
      <c r="B193" s="243" t="s">
        <v>901</v>
      </c>
      <c r="C193" s="203">
        <f>1275000+84440</f>
        <v>1359440</v>
      </c>
      <c r="D193" s="203">
        <f>3245500+788160+23020.17</f>
        <v>4056680.17</v>
      </c>
      <c r="E193" s="203">
        <f>928000+657550+10059.55</f>
        <v>1595609.55</v>
      </c>
      <c r="F193" s="203">
        <f>688800+2604.05</f>
        <v>691404.05</v>
      </c>
      <c r="G193" s="203">
        <f>82500+375220+3288</f>
        <v>461008</v>
      </c>
      <c r="H193" s="203">
        <f>5000+121200+1843.77</f>
        <v>128043.77</v>
      </c>
      <c r="I193" s="203">
        <f>20000+36530+8215.57</f>
        <v>64745.57</v>
      </c>
      <c r="J193" s="203">
        <f>26000+34120+465.79</f>
        <v>60585.79</v>
      </c>
      <c r="K193" s="203">
        <f>8500+1350+10575.93</f>
        <v>20425.93</v>
      </c>
      <c r="L193" s="203">
        <f>278500+282.32</f>
        <v>278782.32</v>
      </c>
      <c r="M193" s="203">
        <f>3647500+900+1468.24</f>
        <v>3649868.24</v>
      </c>
      <c r="N193" s="203">
        <f>2472000+22080+695.72</f>
        <v>2494775.7200000002</v>
      </c>
      <c r="O193" s="203">
        <f t="shared" si="33"/>
        <v>14861369.109999999</v>
      </c>
    </row>
    <row r="194" spans="1:15" s="242" customFormat="1" ht="15.75" customHeight="1" x14ac:dyDescent="0.2">
      <c r="A194" s="228"/>
      <c r="B194" s="243" t="s">
        <v>902</v>
      </c>
      <c r="C194" s="203">
        <v>84370</v>
      </c>
      <c r="D194" s="203">
        <v>78160</v>
      </c>
      <c r="E194" s="203">
        <v>41840</v>
      </c>
      <c r="F194" s="203">
        <v>42010</v>
      </c>
      <c r="G194" s="203">
        <v>56100</v>
      </c>
      <c r="H194" s="203">
        <v>53110</v>
      </c>
      <c r="I194" s="203">
        <v>45000</v>
      </c>
      <c r="J194" s="203">
        <v>97950</v>
      </c>
      <c r="K194" s="203">
        <v>64650</v>
      </c>
      <c r="L194" s="203">
        <v>71650</v>
      </c>
      <c r="M194" s="203">
        <v>45180</v>
      </c>
      <c r="N194" s="203">
        <v>4405897</v>
      </c>
      <c r="O194" s="203">
        <f t="shared" si="33"/>
        <v>5085917</v>
      </c>
    </row>
    <row r="195" spans="1:15" s="242" customFormat="1" ht="15.75" customHeight="1" x14ac:dyDescent="0.2">
      <c r="A195" s="228"/>
      <c r="B195" s="243" t="s">
        <v>903</v>
      </c>
      <c r="C195" s="203">
        <f>62180+1840.34</f>
        <v>64020.34</v>
      </c>
      <c r="D195" s="203">
        <f>250800</f>
        <v>250800</v>
      </c>
      <c r="E195" s="203">
        <f>596600</f>
        <v>596600</v>
      </c>
      <c r="F195" s="203">
        <f>552520+1505.27+6000</f>
        <v>560025.27</v>
      </c>
      <c r="G195" s="203">
        <f>512780</f>
        <v>512780</v>
      </c>
      <c r="H195" s="203">
        <f>730960</f>
        <v>730960</v>
      </c>
      <c r="I195" s="203">
        <f>561340+1365.24+51384.25</f>
        <v>614089.49</v>
      </c>
      <c r="J195" s="203">
        <f>624150+2000</f>
        <v>626150</v>
      </c>
      <c r="K195" s="203">
        <f>841040</f>
        <v>841040</v>
      </c>
      <c r="L195" s="203">
        <f>494970+1380.25+2.65</f>
        <v>496352.9</v>
      </c>
      <c r="M195" s="203">
        <f>435880</f>
        <v>435880</v>
      </c>
      <c r="N195" s="203">
        <f>7195748.62+1380.24+4.05</f>
        <v>7197132.9100000001</v>
      </c>
      <c r="O195" s="203">
        <f t="shared" si="33"/>
        <v>12925830.91</v>
      </c>
    </row>
    <row r="196" spans="1:15" s="242" customFormat="1" ht="15.75" customHeight="1" x14ac:dyDescent="0.2">
      <c r="A196" s="228"/>
      <c r="B196" s="243" t="s">
        <v>904</v>
      </c>
      <c r="C196" s="203">
        <v>1683720</v>
      </c>
      <c r="D196" s="203">
        <v>1986435.58</v>
      </c>
      <c r="E196" s="203">
        <v>2834260</v>
      </c>
      <c r="F196" s="203">
        <v>1221190</v>
      </c>
      <c r="G196" s="203">
        <v>822090</v>
      </c>
      <c r="H196" s="203">
        <v>250380</v>
      </c>
      <c r="I196" s="203">
        <v>254038.55</v>
      </c>
      <c r="J196" s="203">
        <v>386439.19</v>
      </c>
      <c r="K196" s="203">
        <v>104053.75</v>
      </c>
      <c r="L196" s="203">
        <v>48674.5</v>
      </c>
      <c r="M196" s="203">
        <v>1137470</v>
      </c>
      <c r="N196" s="203">
        <v>2813095.35</v>
      </c>
      <c r="O196" s="203">
        <f t="shared" si="33"/>
        <v>13541846.92</v>
      </c>
    </row>
    <row r="197" spans="1:15" s="242" customFormat="1" ht="15.75" customHeight="1" x14ac:dyDescent="0.2">
      <c r="A197" s="228"/>
      <c r="B197" s="243" t="s">
        <v>905</v>
      </c>
      <c r="C197" s="203">
        <v>81380</v>
      </c>
      <c r="D197" s="203">
        <v>3053936.8</v>
      </c>
      <c r="E197" s="203">
        <v>2608356.7999999998</v>
      </c>
      <c r="F197" s="203">
        <v>307310</v>
      </c>
      <c r="G197" s="203">
        <v>102330</v>
      </c>
      <c r="H197" s="203">
        <v>62693.46</v>
      </c>
      <c r="I197" s="203">
        <v>35900</v>
      </c>
      <c r="J197" s="203">
        <v>96061.38</v>
      </c>
      <c r="K197" s="203">
        <v>25000</v>
      </c>
      <c r="L197" s="203">
        <v>113047.62</v>
      </c>
      <c r="M197" s="203">
        <v>125095.85</v>
      </c>
      <c r="N197" s="203">
        <v>230000</v>
      </c>
      <c r="O197" s="203">
        <f t="shared" si="33"/>
        <v>6841111.9099999992</v>
      </c>
    </row>
    <row r="198" spans="1:15" s="242" customFormat="1" ht="15.75" customHeight="1" x14ac:dyDescent="0.2">
      <c r="A198" s="228"/>
      <c r="B198" s="243" t="s">
        <v>906</v>
      </c>
      <c r="C198" s="203">
        <v>1631550</v>
      </c>
      <c r="D198" s="203">
        <v>4874267</v>
      </c>
      <c r="E198" s="203">
        <v>1857526</v>
      </c>
      <c r="F198" s="203">
        <v>342740</v>
      </c>
      <c r="G198" s="203">
        <v>249260</v>
      </c>
      <c r="H198" s="203">
        <v>513206.5</v>
      </c>
      <c r="I198" s="203">
        <v>245676.79999999999</v>
      </c>
      <c r="J198" s="203">
        <v>137775</v>
      </c>
      <c r="K198" s="203">
        <v>810919.26</v>
      </c>
      <c r="L198" s="203">
        <v>567800.61</v>
      </c>
      <c r="M198" s="202">
        <v>4344286.03</v>
      </c>
      <c r="N198" s="203">
        <v>4037950</v>
      </c>
      <c r="O198" s="203">
        <f t="shared" si="33"/>
        <v>19612957.199999999</v>
      </c>
    </row>
    <row r="199" spans="1:15" s="242" customFormat="1" ht="15.75" customHeight="1" x14ac:dyDescent="0.2">
      <c r="A199" s="228"/>
      <c r="B199" s="243" t="s">
        <v>907</v>
      </c>
      <c r="C199" s="203">
        <v>728140</v>
      </c>
      <c r="D199" s="203">
        <v>8864686.1300000008</v>
      </c>
      <c r="E199" s="203">
        <v>5258943.49</v>
      </c>
      <c r="F199" s="203">
        <v>741015.33</v>
      </c>
      <c r="G199" s="203">
        <v>457940</v>
      </c>
      <c r="H199" s="203">
        <v>847657.62</v>
      </c>
      <c r="I199" s="203">
        <v>308955.33</v>
      </c>
      <c r="J199" s="203">
        <v>383812.19</v>
      </c>
      <c r="K199" s="203">
        <v>707120</v>
      </c>
      <c r="L199" s="203">
        <v>602598.84</v>
      </c>
      <c r="M199" s="203">
        <v>5347705.33</v>
      </c>
      <c r="N199" s="203">
        <f>5316000+408160</f>
        <v>5724160</v>
      </c>
      <c r="O199" s="203">
        <f t="shared" si="33"/>
        <v>29972734.259999998</v>
      </c>
    </row>
    <row r="200" spans="1:15" s="242" customFormat="1" ht="15.75" customHeight="1" x14ac:dyDescent="0.2">
      <c r="A200" s="228"/>
      <c r="B200" s="243" t="s">
        <v>908</v>
      </c>
      <c r="C200" s="203">
        <v>4460</v>
      </c>
      <c r="D200" s="203">
        <v>21890</v>
      </c>
      <c r="E200" s="203">
        <v>15240</v>
      </c>
      <c r="F200" s="203">
        <v>66950</v>
      </c>
      <c r="G200" s="203">
        <v>76080</v>
      </c>
      <c r="H200" s="203">
        <v>19020</v>
      </c>
      <c r="I200" s="203">
        <v>64510</v>
      </c>
      <c r="J200" s="203">
        <v>110430</v>
      </c>
      <c r="K200" s="203">
        <v>250540</v>
      </c>
      <c r="L200" s="203">
        <v>35640</v>
      </c>
      <c r="M200" s="203">
        <v>90400</v>
      </c>
      <c r="N200" s="203">
        <f>8550+2754960</f>
        <v>2763510</v>
      </c>
      <c r="O200" s="203">
        <f t="shared" si="33"/>
        <v>3518670</v>
      </c>
    </row>
    <row r="201" spans="1:15" s="242" customFormat="1" ht="15.75" customHeight="1" x14ac:dyDescent="0.2">
      <c r="A201" s="228"/>
      <c r="B201" s="243" t="s">
        <v>909</v>
      </c>
      <c r="C201" s="203">
        <v>0</v>
      </c>
      <c r="D201" s="203">
        <v>0</v>
      </c>
      <c r="E201" s="203">
        <v>233280</v>
      </c>
      <c r="F201" s="203">
        <v>98530</v>
      </c>
      <c r="G201" s="203">
        <v>109540</v>
      </c>
      <c r="H201" s="203">
        <v>52140</v>
      </c>
      <c r="I201" s="203">
        <v>89410</v>
      </c>
      <c r="J201" s="203">
        <v>0</v>
      </c>
      <c r="K201" s="203">
        <v>58090</v>
      </c>
      <c r="L201" s="203">
        <v>23220</v>
      </c>
      <c r="M201" s="203">
        <v>11250</v>
      </c>
      <c r="N201" s="203">
        <v>389072.25</v>
      </c>
      <c r="O201" s="203">
        <f t="shared" si="33"/>
        <v>1064532.25</v>
      </c>
    </row>
    <row r="202" spans="1:15" s="242" customFormat="1" ht="15.75" customHeight="1" x14ac:dyDescent="0.2">
      <c r="A202" s="228"/>
      <c r="B202" s="243" t="s">
        <v>910</v>
      </c>
      <c r="C202" s="203">
        <v>184030</v>
      </c>
      <c r="D202" s="203">
        <v>7330</v>
      </c>
      <c r="E202" s="203">
        <v>9330</v>
      </c>
      <c r="F202" s="203">
        <v>8720</v>
      </c>
      <c r="G202" s="203">
        <v>4000</v>
      </c>
      <c r="H202" s="203">
        <v>23950</v>
      </c>
      <c r="I202" s="203">
        <v>1980</v>
      </c>
      <c r="J202" s="203">
        <v>111400</v>
      </c>
      <c r="K202" s="203">
        <v>62440</v>
      </c>
      <c r="L202" s="203">
        <v>40330</v>
      </c>
      <c r="M202" s="203">
        <v>41300</v>
      </c>
      <c r="N202" s="203">
        <v>9982033.75</v>
      </c>
      <c r="O202" s="203">
        <f t="shared" si="33"/>
        <v>10476843.75</v>
      </c>
    </row>
    <row r="203" spans="1:15" s="242" customFormat="1" ht="15.75" customHeight="1" x14ac:dyDescent="0.2">
      <c r="A203" s="228"/>
      <c r="B203" s="243" t="s">
        <v>911</v>
      </c>
      <c r="C203" s="203">
        <v>37400</v>
      </c>
      <c r="D203" s="203">
        <v>62540</v>
      </c>
      <c r="E203" s="203">
        <v>174710</v>
      </c>
      <c r="F203" s="203">
        <v>238514.11</v>
      </c>
      <c r="G203" s="203">
        <v>104516.31</v>
      </c>
      <c r="H203" s="203">
        <v>82357.64</v>
      </c>
      <c r="I203" s="203">
        <v>61120</v>
      </c>
      <c r="J203" s="203">
        <v>38015.85</v>
      </c>
      <c r="K203" s="203">
        <v>1710</v>
      </c>
      <c r="L203" s="203">
        <v>20231.63</v>
      </c>
      <c r="M203" s="203">
        <v>22390</v>
      </c>
      <c r="N203" s="203">
        <v>5301929.75</v>
      </c>
      <c r="O203" s="203">
        <f t="shared" ref="O203:O266" si="34">SUM(C203:N203)</f>
        <v>6145435.29</v>
      </c>
    </row>
    <row r="204" spans="1:15" s="242" customFormat="1" ht="15.75" customHeight="1" x14ac:dyDescent="0.2">
      <c r="A204" s="228"/>
      <c r="B204" s="243" t="s">
        <v>912</v>
      </c>
      <c r="C204" s="203">
        <v>35460</v>
      </c>
      <c r="D204" s="203">
        <v>23580</v>
      </c>
      <c r="E204" s="203">
        <v>70180</v>
      </c>
      <c r="F204" s="203">
        <v>116530</v>
      </c>
      <c r="G204" s="203">
        <v>161870</v>
      </c>
      <c r="H204" s="203">
        <f>789.57+153470+12844.53</f>
        <v>167104.1</v>
      </c>
      <c r="I204" s="203">
        <v>176040</v>
      </c>
      <c r="J204" s="203">
        <v>117510</v>
      </c>
      <c r="K204" s="203">
        <v>213250</v>
      </c>
      <c r="L204" s="203">
        <v>125040</v>
      </c>
      <c r="M204" s="203">
        <v>67423</v>
      </c>
      <c r="N204" s="203">
        <v>6495063.5300000003</v>
      </c>
      <c r="O204" s="203">
        <f t="shared" si="34"/>
        <v>7769050.6300000008</v>
      </c>
    </row>
    <row r="205" spans="1:15" s="242" customFormat="1" ht="15.75" customHeight="1" x14ac:dyDescent="0.2">
      <c r="A205" s="228"/>
      <c r="B205" s="243" t="s">
        <v>913</v>
      </c>
      <c r="C205" s="206">
        <v>20080</v>
      </c>
      <c r="D205" s="203">
        <v>198990</v>
      </c>
      <c r="E205" s="203">
        <v>243910</v>
      </c>
      <c r="F205" s="203">
        <v>100570</v>
      </c>
      <c r="G205" s="203">
        <v>91220</v>
      </c>
      <c r="H205" s="203">
        <v>148160</v>
      </c>
      <c r="I205" s="203">
        <v>69550</v>
      </c>
      <c r="J205" s="203">
        <v>66720</v>
      </c>
      <c r="K205" s="203">
        <v>77323.210000000006</v>
      </c>
      <c r="L205" s="203">
        <v>35450</v>
      </c>
      <c r="M205" s="203">
        <v>23360</v>
      </c>
      <c r="N205" s="203">
        <v>5522338.75</v>
      </c>
      <c r="O205" s="203">
        <f t="shared" si="34"/>
        <v>6597671.96</v>
      </c>
    </row>
    <row r="206" spans="1:15" s="242" customFormat="1" ht="15.75" customHeight="1" x14ac:dyDescent="0.2">
      <c r="A206" s="228"/>
      <c r="B206" s="243" t="s">
        <v>914</v>
      </c>
      <c r="C206" s="203">
        <v>974618.25</v>
      </c>
      <c r="D206" s="203">
        <v>3570094</v>
      </c>
      <c r="E206" s="203">
        <v>3063188.4</v>
      </c>
      <c r="F206" s="203">
        <v>1747390</v>
      </c>
      <c r="G206" s="203">
        <v>392940</v>
      </c>
      <c r="H206" s="203">
        <v>407982.78</v>
      </c>
      <c r="I206" s="203">
        <v>117932.5</v>
      </c>
      <c r="J206" s="203">
        <v>178031.89</v>
      </c>
      <c r="K206" s="203">
        <v>92565</v>
      </c>
      <c r="L206" s="203">
        <v>1470103</v>
      </c>
      <c r="M206" s="203">
        <v>1383216.81</v>
      </c>
      <c r="N206" s="203">
        <v>939520</v>
      </c>
      <c r="O206" s="203">
        <f t="shared" si="34"/>
        <v>14337582.630000001</v>
      </c>
    </row>
    <row r="207" spans="1:15" s="242" customFormat="1" ht="15.75" customHeight="1" x14ac:dyDescent="0.2">
      <c r="A207" s="228"/>
      <c r="B207" s="243" t="s">
        <v>915</v>
      </c>
      <c r="C207" s="203">
        <v>76793.600000000006</v>
      </c>
      <c r="D207" s="203">
        <v>102215.69</v>
      </c>
      <c r="E207" s="203">
        <v>96030.58</v>
      </c>
      <c r="F207" s="202">
        <v>106836.99</v>
      </c>
      <c r="G207" s="203">
        <v>110860.08</v>
      </c>
      <c r="H207" s="203">
        <v>72117.66</v>
      </c>
      <c r="I207" s="203">
        <v>119666.86</v>
      </c>
      <c r="J207" s="203">
        <v>163549.85999999999</v>
      </c>
      <c r="K207" s="203">
        <v>143544.29</v>
      </c>
      <c r="L207" s="203">
        <v>56774.03</v>
      </c>
      <c r="M207" s="203">
        <v>96435.58</v>
      </c>
      <c r="N207" s="203">
        <v>16030262.57</v>
      </c>
      <c r="O207" s="203">
        <f t="shared" si="34"/>
        <v>17175087.789999999</v>
      </c>
    </row>
    <row r="208" spans="1:15" s="242" customFormat="1" ht="15.75" customHeight="1" x14ac:dyDescent="0.2">
      <c r="A208" s="228"/>
      <c r="B208" s="243" t="s">
        <v>916</v>
      </c>
      <c r="C208" s="203">
        <v>117214.98</v>
      </c>
      <c r="D208" s="203">
        <v>38560.75</v>
      </c>
      <c r="E208" s="203">
        <v>66790</v>
      </c>
      <c r="F208" s="203">
        <v>40730</v>
      </c>
      <c r="G208" s="203">
        <v>49274.55</v>
      </c>
      <c r="H208" s="203">
        <v>16088.54</v>
      </c>
      <c r="I208" s="203">
        <v>96924.17</v>
      </c>
      <c r="J208" s="203">
        <v>39711.760000000002</v>
      </c>
      <c r="K208" s="203">
        <v>52752.92</v>
      </c>
      <c r="L208" s="203">
        <v>33805.17</v>
      </c>
      <c r="M208" s="203">
        <v>86868.06</v>
      </c>
      <c r="N208" s="203">
        <v>5890002.7800000003</v>
      </c>
      <c r="O208" s="203">
        <f t="shared" si="34"/>
        <v>6528723.6799999997</v>
      </c>
    </row>
    <row r="209" spans="1:15" s="242" customFormat="1" ht="15.75" customHeight="1" x14ac:dyDescent="0.2">
      <c r="A209" s="228"/>
      <c r="B209" s="243" t="s">
        <v>917</v>
      </c>
      <c r="C209" s="203">
        <v>33416.06</v>
      </c>
      <c r="D209" s="203">
        <v>149732.45000000001</v>
      </c>
      <c r="E209" s="203">
        <v>189784</v>
      </c>
      <c r="F209" s="203">
        <v>324477.61</v>
      </c>
      <c r="G209" s="203">
        <v>124352.68</v>
      </c>
      <c r="H209" s="203">
        <v>196524.04</v>
      </c>
      <c r="I209" s="203">
        <v>75911.25</v>
      </c>
      <c r="J209" s="203">
        <v>138123.79999999999</v>
      </c>
      <c r="K209" s="203">
        <v>59599.07</v>
      </c>
      <c r="L209" s="203">
        <v>347654.97</v>
      </c>
      <c r="M209" s="203">
        <v>81862.83</v>
      </c>
      <c r="N209" s="203">
        <v>73714.740000000005</v>
      </c>
      <c r="O209" s="203">
        <f t="shared" si="34"/>
        <v>1795153.5000000002</v>
      </c>
    </row>
    <row r="210" spans="1:15" s="242" customFormat="1" ht="15.75" customHeight="1" x14ac:dyDescent="0.2">
      <c r="A210" s="228"/>
      <c r="B210" s="243" t="s">
        <v>918</v>
      </c>
      <c r="C210" s="203">
        <v>6255.52</v>
      </c>
      <c r="D210" s="203">
        <v>40804.410000000003</v>
      </c>
      <c r="E210" s="203">
        <v>14127.03</v>
      </c>
      <c r="F210" s="203">
        <v>5040</v>
      </c>
      <c r="G210" s="203">
        <v>0</v>
      </c>
      <c r="H210" s="203">
        <v>140852.4</v>
      </c>
      <c r="I210" s="203">
        <v>36351.85</v>
      </c>
      <c r="J210" s="203">
        <v>6336.13</v>
      </c>
      <c r="K210" s="203">
        <v>120800</v>
      </c>
      <c r="L210" s="203">
        <v>0</v>
      </c>
      <c r="M210" s="203">
        <v>10410.77</v>
      </c>
      <c r="N210" s="203">
        <f>5159.23+6518868.75-213131.78</f>
        <v>6310896.2000000002</v>
      </c>
      <c r="O210" s="203">
        <f t="shared" si="34"/>
        <v>6691874.3100000005</v>
      </c>
    </row>
    <row r="211" spans="1:15" s="242" customFormat="1" ht="15.75" customHeight="1" x14ac:dyDescent="0.2">
      <c r="A211" s="228"/>
      <c r="B211" s="243" t="s">
        <v>919</v>
      </c>
      <c r="C211" s="203">
        <v>87292.46</v>
      </c>
      <c r="D211" s="203">
        <v>79806.97</v>
      </c>
      <c r="E211" s="203">
        <v>112284.3</v>
      </c>
      <c r="F211" s="203">
        <v>334752.87</v>
      </c>
      <c r="G211" s="203">
        <v>72530</v>
      </c>
      <c r="H211" s="203">
        <v>40510</v>
      </c>
      <c r="I211" s="203">
        <v>60410</v>
      </c>
      <c r="J211" s="203">
        <v>244635.11</v>
      </c>
      <c r="K211" s="203">
        <v>206500</v>
      </c>
      <c r="L211" s="203">
        <v>176880</v>
      </c>
      <c r="M211" s="203">
        <v>107930</v>
      </c>
      <c r="N211" s="203">
        <v>6031557.1900000004</v>
      </c>
      <c r="O211" s="203">
        <f t="shared" si="34"/>
        <v>7555088.9000000004</v>
      </c>
    </row>
    <row r="212" spans="1:15" s="242" customFormat="1" ht="15.75" customHeight="1" x14ac:dyDescent="0.2">
      <c r="A212" s="228"/>
      <c r="B212" s="243" t="s">
        <v>920</v>
      </c>
      <c r="C212" s="203">
        <v>4740</v>
      </c>
      <c r="D212" s="203">
        <v>31940.38</v>
      </c>
      <c r="E212" s="203">
        <v>19041.849999999999</v>
      </c>
      <c r="F212" s="203">
        <v>10640</v>
      </c>
      <c r="G212" s="203">
        <v>35150.93</v>
      </c>
      <c r="H212" s="203">
        <v>45324.73</v>
      </c>
      <c r="I212" s="203">
        <v>14732.92</v>
      </c>
      <c r="J212" s="203">
        <v>7970</v>
      </c>
      <c r="K212" s="203">
        <v>15505.48</v>
      </c>
      <c r="L212" s="203">
        <v>16990.86</v>
      </c>
      <c r="M212" s="203">
        <v>6080</v>
      </c>
      <c r="N212" s="203">
        <f>5045.21+1190682.25</f>
        <v>1195727.46</v>
      </c>
      <c r="O212" s="203">
        <f t="shared" si="34"/>
        <v>1403844.6099999999</v>
      </c>
    </row>
    <row r="213" spans="1:15" s="242" customFormat="1" ht="15.75" customHeight="1" x14ac:dyDescent="0.2">
      <c r="A213" s="228"/>
      <c r="B213" s="243" t="s">
        <v>921</v>
      </c>
      <c r="C213" s="202">
        <v>25070</v>
      </c>
      <c r="D213" s="202">
        <v>113646.8</v>
      </c>
      <c r="E213" s="202">
        <v>291323.36</v>
      </c>
      <c r="F213" s="202">
        <v>119435.27</v>
      </c>
      <c r="G213" s="202">
        <v>62693.1</v>
      </c>
      <c r="H213" s="202">
        <v>161494.12</v>
      </c>
      <c r="I213" s="202">
        <v>376157.48</v>
      </c>
      <c r="J213" s="202">
        <v>259357.48</v>
      </c>
      <c r="K213" s="202">
        <v>246096.5</v>
      </c>
      <c r="L213" s="202">
        <v>84133.28</v>
      </c>
      <c r="M213" s="202">
        <v>137228.32</v>
      </c>
      <c r="N213" s="202">
        <v>9533921.0999999996</v>
      </c>
      <c r="O213" s="203">
        <f t="shared" si="34"/>
        <v>11410556.809999999</v>
      </c>
    </row>
    <row r="214" spans="1:15" s="242" customFormat="1" ht="15.75" customHeight="1" x14ac:dyDescent="0.2">
      <c r="A214" s="228"/>
      <c r="B214" s="243" t="s">
        <v>922</v>
      </c>
      <c r="C214" s="203">
        <v>75285.600000000006</v>
      </c>
      <c r="D214" s="203">
        <v>39882.57</v>
      </c>
      <c r="E214" s="203">
        <v>63098.86</v>
      </c>
      <c r="F214" s="203">
        <v>118265.2</v>
      </c>
      <c r="G214" s="203">
        <v>176636.85</v>
      </c>
      <c r="H214" s="203">
        <v>241896.92</v>
      </c>
      <c r="I214" s="203">
        <v>350876.79</v>
      </c>
      <c r="J214" s="203">
        <v>206118.7</v>
      </c>
      <c r="K214" s="203">
        <v>175841.18</v>
      </c>
      <c r="L214" s="203">
        <v>278424.18</v>
      </c>
      <c r="M214" s="203">
        <v>54255.79</v>
      </c>
      <c r="N214" s="203">
        <f>29720.59+6428951.5</f>
        <v>6458672.0899999999</v>
      </c>
      <c r="O214" s="203">
        <f t="shared" si="34"/>
        <v>8239254.7299999995</v>
      </c>
    </row>
    <row r="215" spans="1:15" s="242" customFormat="1" ht="15.75" customHeight="1" x14ac:dyDescent="0.2">
      <c r="A215" s="228"/>
      <c r="B215" s="243" t="s">
        <v>923</v>
      </c>
      <c r="C215" s="203">
        <v>32317.43</v>
      </c>
      <c r="D215" s="203">
        <v>26300</v>
      </c>
      <c r="E215" s="203">
        <v>280580</v>
      </c>
      <c r="F215" s="203">
        <v>185750</v>
      </c>
      <c r="G215" s="203">
        <v>286160</v>
      </c>
      <c r="H215" s="203">
        <v>696660</v>
      </c>
      <c r="I215" s="203">
        <v>654599.30000000005</v>
      </c>
      <c r="J215" s="203">
        <v>521100</v>
      </c>
      <c r="K215" s="203">
        <v>162730</v>
      </c>
      <c r="L215" s="203">
        <v>208540</v>
      </c>
      <c r="M215" s="203">
        <v>134650</v>
      </c>
      <c r="N215" s="203">
        <v>101320</v>
      </c>
      <c r="O215" s="203">
        <f t="shared" si="34"/>
        <v>3290706.73</v>
      </c>
    </row>
    <row r="216" spans="1:15" s="242" customFormat="1" ht="15.75" customHeight="1" x14ac:dyDescent="0.2">
      <c r="A216" s="228"/>
      <c r="B216" s="243" t="s">
        <v>924</v>
      </c>
      <c r="C216" s="203">
        <v>65345</v>
      </c>
      <c r="D216" s="203">
        <v>109823.85</v>
      </c>
      <c r="E216" s="203">
        <v>235273.74</v>
      </c>
      <c r="F216" s="203">
        <v>148427.5</v>
      </c>
      <c r="G216" s="203">
        <v>116783.8</v>
      </c>
      <c r="H216" s="203">
        <v>17352.5</v>
      </c>
      <c r="I216" s="203">
        <v>45110.62</v>
      </c>
      <c r="J216" s="203">
        <v>51635.08</v>
      </c>
      <c r="K216" s="203">
        <v>13744.5</v>
      </c>
      <c r="L216" s="203">
        <v>30910</v>
      </c>
      <c r="M216" s="203">
        <v>41640.080000000002</v>
      </c>
      <c r="N216" s="203">
        <v>12599996.75</v>
      </c>
      <c r="O216" s="203">
        <f t="shared" si="34"/>
        <v>13476043.42</v>
      </c>
    </row>
    <row r="217" spans="1:15" s="242" customFormat="1" ht="15.75" customHeight="1" x14ac:dyDescent="0.2">
      <c r="A217" s="228"/>
      <c r="B217" s="243" t="s">
        <v>925</v>
      </c>
      <c r="C217" s="203">
        <v>179245</v>
      </c>
      <c r="D217" s="203">
        <v>498717.33</v>
      </c>
      <c r="E217" s="203">
        <v>285770</v>
      </c>
      <c r="F217" s="203">
        <v>568153.15</v>
      </c>
      <c r="G217" s="203">
        <v>326640</v>
      </c>
      <c r="H217" s="203">
        <v>305720</v>
      </c>
      <c r="I217" s="203">
        <v>320907.5</v>
      </c>
      <c r="J217" s="203">
        <v>344210</v>
      </c>
      <c r="K217" s="203">
        <v>271181.84000000003</v>
      </c>
      <c r="L217" s="203">
        <v>242830</v>
      </c>
      <c r="M217" s="203">
        <v>225920</v>
      </c>
      <c r="N217" s="203">
        <v>9920475</v>
      </c>
      <c r="O217" s="203">
        <f t="shared" si="34"/>
        <v>13489769.82</v>
      </c>
    </row>
    <row r="218" spans="1:15" s="242" customFormat="1" ht="15.75" customHeight="1" x14ac:dyDescent="0.2">
      <c r="A218" s="228"/>
      <c r="B218" s="243" t="s">
        <v>926</v>
      </c>
      <c r="C218" s="202">
        <v>69826.87</v>
      </c>
      <c r="D218" s="202">
        <v>131419.28</v>
      </c>
      <c r="E218" s="202">
        <v>409506.56</v>
      </c>
      <c r="F218" s="202">
        <v>148135.06</v>
      </c>
      <c r="G218" s="202">
        <v>141779.25</v>
      </c>
      <c r="H218" s="202">
        <v>200240</v>
      </c>
      <c r="I218" s="202">
        <v>87102.32</v>
      </c>
      <c r="J218" s="202">
        <v>49812.76</v>
      </c>
      <c r="K218" s="202">
        <v>54706.559999999998</v>
      </c>
      <c r="L218" s="202">
        <v>235461.82</v>
      </c>
      <c r="M218" s="202">
        <v>234238.61</v>
      </c>
      <c r="N218" s="202">
        <v>5039592.0199999996</v>
      </c>
      <c r="O218" s="203">
        <f t="shared" si="34"/>
        <v>6801821.1099999994</v>
      </c>
    </row>
    <row r="219" spans="1:15" s="242" customFormat="1" ht="15.75" customHeight="1" x14ac:dyDescent="0.2">
      <c r="A219" s="228"/>
      <c r="B219" s="243" t="s">
        <v>927</v>
      </c>
      <c r="C219" s="202">
        <v>164750</v>
      </c>
      <c r="D219" s="202">
        <v>744200</v>
      </c>
      <c r="E219" s="202">
        <v>9796727.4199999999</v>
      </c>
      <c r="F219" s="202">
        <v>1877940</v>
      </c>
      <c r="G219" s="202">
        <v>4989769.7</v>
      </c>
      <c r="H219" s="202">
        <v>824632.8</v>
      </c>
      <c r="I219" s="202">
        <v>457300.36</v>
      </c>
      <c r="J219" s="202">
        <v>560940</v>
      </c>
      <c r="K219" s="202">
        <v>404310</v>
      </c>
      <c r="L219" s="202">
        <v>1685196.63</v>
      </c>
      <c r="M219" s="202">
        <v>3915520</v>
      </c>
      <c r="N219" s="202">
        <v>10905681.800000001</v>
      </c>
      <c r="O219" s="203">
        <f t="shared" si="34"/>
        <v>36326968.710000001</v>
      </c>
    </row>
    <row r="220" spans="1:15" s="242" customFormat="1" ht="15.75" customHeight="1" x14ac:dyDescent="0.2">
      <c r="A220" s="228"/>
      <c r="B220" s="243" t="s">
        <v>928</v>
      </c>
      <c r="C220" s="203">
        <v>110758.47</v>
      </c>
      <c r="D220" s="203">
        <v>162760</v>
      </c>
      <c r="E220" s="203">
        <v>79510</v>
      </c>
      <c r="F220" s="203">
        <v>65600</v>
      </c>
      <c r="G220" s="203">
        <v>52551</v>
      </c>
      <c r="H220" s="203">
        <v>125120</v>
      </c>
      <c r="I220" s="203">
        <v>7200</v>
      </c>
      <c r="J220" s="203">
        <v>57290</v>
      </c>
      <c r="K220" s="203">
        <v>36600</v>
      </c>
      <c r="L220" s="203">
        <v>81692.929999999993</v>
      </c>
      <c r="M220" s="203">
        <v>75877.919999999998</v>
      </c>
      <c r="N220" s="203">
        <v>200950</v>
      </c>
      <c r="O220" s="203">
        <f t="shared" si="34"/>
        <v>1055910.3199999998</v>
      </c>
    </row>
    <row r="221" spans="1:15" s="242" customFormat="1" ht="15.75" hidden="1" customHeight="1" x14ac:dyDescent="0.2">
      <c r="A221" s="228"/>
      <c r="B221" s="243" t="s">
        <v>1072</v>
      </c>
      <c r="C221" s="203"/>
      <c r="D221" s="203"/>
      <c r="E221" s="203"/>
      <c r="F221" s="203"/>
      <c r="G221" s="203"/>
      <c r="H221" s="203"/>
      <c r="I221" s="203"/>
      <c r="J221" s="203"/>
      <c r="K221" s="203"/>
      <c r="L221" s="203"/>
      <c r="M221" s="203"/>
      <c r="N221" s="203"/>
      <c r="O221" s="203">
        <f t="shared" si="34"/>
        <v>0</v>
      </c>
    </row>
    <row r="222" spans="1:15" s="242" customFormat="1" ht="15.75" hidden="1" customHeight="1" x14ac:dyDescent="0.2">
      <c r="A222" s="228"/>
      <c r="B222" s="243" t="s">
        <v>1073</v>
      </c>
      <c r="C222" s="203"/>
      <c r="D222" s="203"/>
      <c r="E222" s="203"/>
      <c r="F222" s="203"/>
      <c r="G222" s="203"/>
      <c r="H222" s="203"/>
      <c r="I222" s="203"/>
      <c r="J222" s="203"/>
      <c r="K222" s="203"/>
      <c r="L222" s="203"/>
      <c r="M222" s="203"/>
      <c r="N222" s="203"/>
      <c r="O222" s="203">
        <f t="shared" si="34"/>
        <v>0</v>
      </c>
    </row>
    <row r="223" spans="1:15" s="242" customFormat="1" ht="15.75" hidden="1" customHeight="1" x14ac:dyDescent="0.2">
      <c r="A223" s="228"/>
      <c r="B223" s="243" t="s">
        <v>1074</v>
      </c>
      <c r="C223" s="203"/>
      <c r="D223" s="203"/>
      <c r="E223" s="203"/>
      <c r="F223" s="203"/>
      <c r="G223" s="203"/>
      <c r="H223" s="203"/>
      <c r="I223" s="203"/>
      <c r="J223" s="203"/>
      <c r="K223" s="203"/>
      <c r="L223" s="203"/>
      <c r="M223" s="203"/>
      <c r="N223" s="203"/>
      <c r="O223" s="203">
        <f t="shared" si="34"/>
        <v>0</v>
      </c>
    </row>
    <row r="224" spans="1:15" s="242" customFormat="1" ht="15.75" hidden="1" customHeight="1" x14ac:dyDescent="0.2">
      <c r="A224" s="228"/>
      <c r="B224" s="243" t="s">
        <v>1075</v>
      </c>
      <c r="C224" s="203"/>
      <c r="D224" s="203"/>
      <c r="E224" s="203"/>
      <c r="F224" s="203"/>
      <c r="G224" s="203"/>
      <c r="H224" s="203"/>
      <c r="I224" s="203"/>
      <c r="J224" s="203"/>
      <c r="K224" s="203"/>
      <c r="L224" s="203"/>
      <c r="M224" s="203"/>
      <c r="N224" s="203"/>
      <c r="O224" s="203">
        <f t="shared" si="34"/>
        <v>0</v>
      </c>
    </row>
    <row r="225" spans="1:15" s="242" customFormat="1" ht="15.75" hidden="1" customHeight="1" x14ac:dyDescent="0.2">
      <c r="A225" s="228"/>
      <c r="B225" s="243" t="s">
        <v>1076</v>
      </c>
      <c r="C225" s="203"/>
      <c r="D225" s="203"/>
      <c r="E225" s="203"/>
      <c r="F225" s="203"/>
      <c r="G225" s="203"/>
      <c r="H225" s="203"/>
      <c r="I225" s="203"/>
      <c r="J225" s="203"/>
      <c r="K225" s="203"/>
      <c r="L225" s="203"/>
      <c r="M225" s="203"/>
      <c r="N225" s="203"/>
      <c r="O225" s="203">
        <f t="shared" si="34"/>
        <v>0</v>
      </c>
    </row>
    <row r="226" spans="1:15" s="242" customFormat="1" ht="15.75" customHeight="1" x14ac:dyDescent="0.2">
      <c r="A226" s="228"/>
      <c r="B226" s="243" t="s">
        <v>929</v>
      </c>
      <c r="C226" s="203">
        <v>63930</v>
      </c>
      <c r="D226" s="203">
        <v>109380</v>
      </c>
      <c r="E226" s="203">
        <v>146970</v>
      </c>
      <c r="F226" s="203">
        <v>128255.3</v>
      </c>
      <c r="G226" s="203">
        <v>133390</v>
      </c>
      <c r="H226" s="203">
        <v>269680</v>
      </c>
      <c r="I226" s="203">
        <v>113871.17</v>
      </c>
      <c r="J226" s="203">
        <v>289250</v>
      </c>
      <c r="K226" s="203">
        <v>372843.48</v>
      </c>
      <c r="L226" s="203">
        <v>199150</v>
      </c>
      <c r="M226" s="203">
        <v>229670</v>
      </c>
      <c r="N226" s="203">
        <v>162700</v>
      </c>
      <c r="O226" s="203">
        <f t="shared" si="34"/>
        <v>2219089.9500000002</v>
      </c>
    </row>
    <row r="227" spans="1:15" s="242" customFormat="1" ht="15.75" hidden="1" customHeight="1" x14ac:dyDescent="0.2">
      <c r="A227" s="228"/>
      <c r="B227" s="243" t="s">
        <v>1077</v>
      </c>
      <c r="C227" s="203"/>
      <c r="D227" s="203"/>
      <c r="E227" s="203"/>
      <c r="F227" s="203"/>
      <c r="G227" s="203"/>
      <c r="H227" s="203"/>
      <c r="I227" s="203"/>
      <c r="J227" s="203"/>
      <c r="K227" s="203"/>
      <c r="L227" s="203"/>
      <c r="M227" s="203"/>
      <c r="N227" s="203"/>
      <c r="O227" s="203">
        <f t="shared" si="34"/>
        <v>0</v>
      </c>
    </row>
    <row r="228" spans="1:15" s="242" customFormat="1" ht="16.5" customHeight="1" x14ac:dyDescent="0.2">
      <c r="A228" s="228"/>
      <c r="B228" s="243" t="s">
        <v>930</v>
      </c>
      <c r="C228" s="203">
        <v>2434365</v>
      </c>
      <c r="D228" s="203">
        <v>1851985</v>
      </c>
      <c r="E228" s="203">
        <v>2171190</v>
      </c>
      <c r="F228" s="203">
        <v>2650300</v>
      </c>
      <c r="G228" s="203">
        <v>1098645</v>
      </c>
      <c r="H228" s="203">
        <v>2369650</v>
      </c>
      <c r="I228" s="203">
        <v>2107010</v>
      </c>
      <c r="J228" s="203">
        <v>2157950</v>
      </c>
      <c r="K228" s="203">
        <v>2577730</v>
      </c>
      <c r="L228" s="203">
        <v>2899510</v>
      </c>
      <c r="M228" s="203">
        <v>1769070</v>
      </c>
      <c r="N228" s="203">
        <v>169867305</v>
      </c>
      <c r="O228" s="203">
        <f t="shared" si="34"/>
        <v>193954710</v>
      </c>
    </row>
    <row r="229" spans="1:15" s="242" customFormat="1" ht="15.75" customHeight="1" x14ac:dyDescent="0.2">
      <c r="A229" s="228"/>
      <c r="B229" s="243" t="s">
        <v>931</v>
      </c>
      <c r="C229" s="203">
        <v>2235650</v>
      </c>
      <c r="D229" s="203">
        <v>3679080</v>
      </c>
      <c r="E229" s="203">
        <v>4511020</v>
      </c>
      <c r="F229" s="203">
        <v>14602480</v>
      </c>
      <c r="G229" s="203">
        <v>12624700</v>
      </c>
      <c r="H229" s="203">
        <v>3434040</v>
      </c>
      <c r="I229" s="203">
        <v>3162980</v>
      </c>
      <c r="J229" s="203">
        <v>1927660</v>
      </c>
      <c r="K229" s="203">
        <v>1403830</v>
      </c>
      <c r="L229" s="203">
        <v>2523630</v>
      </c>
      <c r="M229" s="203">
        <v>6515910</v>
      </c>
      <c r="N229" s="203">
        <v>3597660</v>
      </c>
      <c r="O229" s="203">
        <f t="shared" si="34"/>
        <v>60218640</v>
      </c>
    </row>
    <row r="230" spans="1:15" s="242" customFormat="1" ht="15.75" customHeight="1" x14ac:dyDescent="0.2">
      <c r="A230" s="228"/>
      <c r="B230" s="243" t="s">
        <v>932</v>
      </c>
      <c r="C230" s="203">
        <v>3180825.96</v>
      </c>
      <c r="D230" s="203">
        <v>24355762</v>
      </c>
      <c r="E230" s="203">
        <v>8988728.5800000001</v>
      </c>
      <c r="F230" s="203">
        <v>6095344.4000000004</v>
      </c>
      <c r="G230" s="203">
        <v>14319705.029999999</v>
      </c>
      <c r="H230" s="203">
        <v>19814595.789999999</v>
      </c>
      <c r="I230" s="203">
        <v>2114941.35</v>
      </c>
      <c r="J230" s="203">
        <v>780257.11</v>
      </c>
      <c r="K230" s="203">
        <v>741047.79</v>
      </c>
      <c r="L230" s="203">
        <v>528051.17000000004</v>
      </c>
      <c r="M230" s="203">
        <v>18896611.350000001</v>
      </c>
      <c r="N230" s="203">
        <v>16498223.52</v>
      </c>
      <c r="O230" s="203">
        <f t="shared" si="34"/>
        <v>116314094.05</v>
      </c>
    </row>
    <row r="231" spans="1:15" s="242" customFormat="1" ht="15.75" customHeight="1" x14ac:dyDescent="0.2">
      <c r="A231" s="228"/>
      <c r="B231" s="243" t="s">
        <v>933</v>
      </c>
      <c r="C231" s="203">
        <v>60600</v>
      </c>
      <c r="D231" s="203">
        <v>33271.949999999997</v>
      </c>
      <c r="E231" s="203">
        <v>75250</v>
      </c>
      <c r="F231" s="203">
        <v>46860</v>
      </c>
      <c r="G231" s="203">
        <v>151380</v>
      </c>
      <c r="H231" s="203">
        <v>111560</v>
      </c>
      <c r="I231" s="203">
        <v>127560</v>
      </c>
      <c r="J231" s="203">
        <v>134490</v>
      </c>
      <c r="K231" s="203">
        <v>125880</v>
      </c>
      <c r="L231" s="203">
        <v>4830</v>
      </c>
      <c r="M231" s="203">
        <v>136950</v>
      </c>
      <c r="N231" s="203">
        <v>27920</v>
      </c>
      <c r="O231" s="203">
        <f t="shared" si="34"/>
        <v>1036551.95</v>
      </c>
    </row>
    <row r="232" spans="1:15" s="242" customFormat="1" ht="15.75" customHeight="1" x14ac:dyDescent="0.2">
      <c r="A232" s="228"/>
      <c r="B232" s="243" t="s">
        <v>934</v>
      </c>
      <c r="C232" s="203">
        <v>0</v>
      </c>
      <c r="D232" s="221">
        <v>33390</v>
      </c>
      <c r="E232" s="203">
        <v>799860</v>
      </c>
      <c r="F232" s="203">
        <v>190114.05</v>
      </c>
      <c r="G232" s="203">
        <v>799190</v>
      </c>
      <c r="H232" s="203">
        <v>196860</v>
      </c>
      <c r="I232" s="203">
        <v>206404.1</v>
      </c>
      <c r="J232" s="203">
        <v>72550</v>
      </c>
      <c r="K232" s="203">
        <v>33110</v>
      </c>
      <c r="L232" s="203">
        <v>17140</v>
      </c>
      <c r="M232" s="203">
        <v>2700</v>
      </c>
      <c r="N232" s="203">
        <v>1620</v>
      </c>
      <c r="O232" s="203">
        <f t="shared" si="34"/>
        <v>2352938.15</v>
      </c>
    </row>
    <row r="233" spans="1:15" s="242" customFormat="1" ht="15.75" customHeight="1" x14ac:dyDescent="0.2">
      <c r="A233" s="228"/>
      <c r="B233" s="243" t="s">
        <v>935</v>
      </c>
      <c r="C233" s="203">
        <v>29390</v>
      </c>
      <c r="D233" s="203">
        <v>46265</v>
      </c>
      <c r="E233" s="203">
        <v>308491.55</v>
      </c>
      <c r="F233" s="203">
        <v>520398.57</v>
      </c>
      <c r="G233" s="203">
        <v>190580</v>
      </c>
      <c r="H233" s="203">
        <v>296455</v>
      </c>
      <c r="I233" s="203">
        <v>24150</v>
      </c>
      <c r="J233" s="203">
        <v>209545</v>
      </c>
      <c r="K233" s="203">
        <v>111550</v>
      </c>
      <c r="L233" s="203">
        <v>104500</v>
      </c>
      <c r="M233" s="203">
        <v>68120.09</v>
      </c>
      <c r="N233" s="203">
        <v>21280</v>
      </c>
      <c r="O233" s="203">
        <f t="shared" si="34"/>
        <v>1930725.2100000002</v>
      </c>
    </row>
    <row r="234" spans="1:15" s="242" customFormat="1" ht="15.75" customHeight="1" x14ac:dyDescent="0.2">
      <c r="A234" s="228"/>
      <c r="B234" s="243" t="s">
        <v>936</v>
      </c>
      <c r="C234" s="203">
        <v>0</v>
      </c>
      <c r="D234" s="203">
        <v>41449.050000000003</v>
      </c>
      <c r="E234" s="203">
        <v>259410</v>
      </c>
      <c r="F234" s="203">
        <v>89331.7</v>
      </c>
      <c r="G234" s="203">
        <v>0</v>
      </c>
      <c r="H234" s="203">
        <v>6350</v>
      </c>
      <c r="I234" s="203">
        <v>35680</v>
      </c>
      <c r="J234" s="203">
        <v>38017.870000000003</v>
      </c>
      <c r="K234" s="203">
        <v>101840</v>
      </c>
      <c r="L234" s="203">
        <v>170360</v>
      </c>
      <c r="M234" s="203">
        <v>7996</v>
      </c>
      <c r="N234" s="203">
        <v>4060</v>
      </c>
      <c r="O234" s="203">
        <f t="shared" si="34"/>
        <v>754494.62</v>
      </c>
    </row>
    <row r="235" spans="1:15" s="242" customFormat="1" ht="15.75" customHeight="1" x14ac:dyDescent="0.2">
      <c r="A235" s="228"/>
      <c r="B235" s="243" t="s">
        <v>937</v>
      </c>
      <c r="C235" s="203">
        <v>1800.96</v>
      </c>
      <c r="D235" s="203">
        <v>40601.06</v>
      </c>
      <c r="E235" s="203">
        <v>92291.58</v>
      </c>
      <c r="F235" s="203">
        <v>127586</v>
      </c>
      <c r="G235" s="203">
        <v>143472.92000000001</v>
      </c>
      <c r="H235" s="203">
        <v>123881.27</v>
      </c>
      <c r="I235" s="203">
        <v>229418.57</v>
      </c>
      <c r="J235" s="203">
        <v>153871.95000000001</v>
      </c>
      <c r="K235" s="203">
        <v>141364.03</v>
      </c>
      <c r="L235" s="203">
        <v>113620.97</v>
      </c>
      <c r="M235" s="203">
        <v>62671.24</v>
      </c>
      <c r="N235" s="203">
        <v>9070.57</v>
      </c>
      <c r="O235" s="203">
        <f t="shared" si="34"/>
        <v>1239651.1200000001</v>
      </c>
    </row>
    <row r="236" spans="1:15" s="242" customFormat="1" ht="15.75" customHeight="1" x14ac:dyDescent="0.2">
      <c r="A236" s="228"/>
      <c r="B236" s="243" t="s">
        <v>938</v>
      </c>
      <c r="C236" s="203">
        <v>109360</v>
      </c>
      <c r="D236" s="203">
        <v>31953.21</v>
      </c>
      <c r="E236" s="203">
        <v>37520</v>
      </c>
      <c r="F236" s="203">
        <v>38540</v>
      </c>
      <c r="G236" s="203">
        <v>88660</v>
      </c>
      <c r="H236" s="203">
        <v>134080</v>
      </c>
      <c r="I236" s="203">
        <v>589431</v>
      </c>
      <c r="J236" s="203">
        <v>128530</v>
      </c>
      <c r="K236" s="203">
        <v>92960</v>
      </c>
      <c r="L236" s="203">
        <v>0</v>
      </c>
      <c r="M236" s="203">
        <v>2640</v>
      </c>
      <c r="N236" s="203">
        <v>52420</v>
      </c>
      <c r="O236" s="203">
        <f t="shared" si="34"/>
        <v>1306094.21</v>
      </c>
    </row>
    <row r="237" spans="1:15" s="242" customFormat="1" ht="15.75" customHeight="1" x14ac:dyDescent="0.2">
      <c r="A237" s="228"/>
      <c r="B237" s="243" t="s">
        <v>939</v>
      </c>
      <c r="C237" s="206">
        <v>60370</v>
      </c>
      <c r="D237" s="206">
        <v>115390</v>
      </c>
      <c r="E237" s="206">
        <v>124500</v>
      </c>
      <c r="F237" s="206">
        <v>108100</v>
      </c>
      <c r="G237" s="206">
        <v>246520</v>
      </c>
      <c r="H237" s="206">
        <v>110300</v>
      </c>
      <c r="I237" s="206">
        <v>64050</v>
      </c>
      <c r="J237" s="206">
        <v>82140</v>
      </c>
      <c r="K237" s="206">
        <v>41740</v>
      </c>
      <c r="L237" s="206">
        <v>31290</v>
      </c>
      <c r="M237" s="206">
        <v>81850</v>
      </c>
      <c r="N237" s="206">
        <v>52190</v>
      </c>
      <c r="O237" s="203">
        <f t="shared" si="34"/>
        <v>1118440</v>
      </c>
    </row>
    <row r="238" spans="1:15" s="242" customFormat="1" ht="15.75" customHeight="1" x14ac:dyDescent="0.2">
      <c r="A238" s="228"/>
      <c r="B238" s="243" t="s">
        <v>940</v>
      </c>
      <c r="C238" s="203">
        <v>55110</v>
      </c>
      <c r="D238" s="203">
        <v>83740</v>
      </c>
      <c r="E238" s="203">
        <v>150500</v>
      </c>
      <c r="F238" s="203">
        <v>271400</v>
      </c>
      <c r="G238" s="203">
        <v>189960</v>
      </c>
      <c r="H238" s="203">
        <v>257250</v>
      </c>
      <c r="I238" s="203">
        <v>134220</v>
      </c>
      <c r="J238" s="203">
        <v>187635.4</v>
      </c>
      <c r="K238" s="203">
        <v>216950</v>
      </c>
      <c r="L238" s="203">
        <v>131040</v>
      </c>
      <c r="M238" s="203">
        <v>181430</v>
      </c>
      <c r="N238" s="203">
        <v>151760</v>
      </c>
      <c r="O238" s="203">
        <f t="shared" si="34"/>
        <v>2010995.4</v>
      </c>
    </row>
    <row r="239" spans="1:15" s="242" customFormat="1" ht="15.75" customHeight="1" x14ac:dyDescent="0.2">
      <c r="A239" s="228"/>
      <c r="B239" s="243" t="s">
        <v>941</v>
      </c>
      <c r="C239" s="203">
        <v>18930</v>
      </c>
      <c r="D239" s="203">
        <v>47500</v>
      </c>
      <c r="E239" s="203">
        <v>70545</v>
      </c>
      <c r="F239" s="203">
        <v>111980</v>
      </c>
      <c r="G239" s="203">
        <v>112985</v>
      </c>
      <c r="H239" s="203">
        <v>0</v>
      </c>
      <c r="I239" s="203">
        <v>31890</v>
      </c>
      <c r="J239" s="203">
        <v>38390</v>
      </c>
      <c r="K239" s="203">
        <v>170610</v>
      </c>
      <c r="L239" s="203">
        <v>6600</v>
      </c>
      <c r="M239" s="203">
        <v>0</v>
      </c>
      <c r="N239" s="203">
        <v>112020</v>
      </c>
      <c r="O239" s="203">
        <f t="shared" si="34"/>
        <v>721450</v>
      </c>
    </row>
    <row r="240" spans="1:15" s="242" customFormat="1" ht="15.75" customHeight="1" x14ac:dyDescent="0.2">
      <c r="A240" s="228"/>
      <c r="B240" s="243" t="s">
        <v>942</v>
      </c>
      <c r="C240" s="203">
        <v>4653</v>
      </c>
      <c r="D240" s="203">
        <v>1122</v>
      </c>
      <c r="E240" s="203">
        <v>32153</v>
      </c>
      <c r="F240" s="203">
        <v>34573</v>
      </c>
      <c r="G240" s="203">
        <v>10164</v>
      </c>
      <c r="H240" s="203">
        <v>99924</v>
      </c>
      <c r="I240" s="203">
        <v>35178</v>
      </c>
      <c r="J240" s="203">
        <v>46794</v>
      </c>
      <c r="K240" s="203">
        <v>23672</v>
      </c>
      <c r="L240" s="203">
        <v>42273</v>
      </c>
      <c r="M240" s="203">
        <v>21802</v>
      </c>
      <c r="N240" s="203">
        <v>22726</v>
      </c>
      <c r="O240" s="203">
        <f t="shared" si="34"/>
        <v>375034</v>
      </c>
    </row>
    <row r="241" spans="1:15" s="242" customFormat="1" ht="15.75" customHeight="1" x14ac:dyDescent="0.2">
      <c r="A241" s="228"/>
      <c r="B241" s="243" t="s">
        <v>943</v>
      </c>
      <c r="C241" s="203">
        <v>15040</v>
      </c>
      <c r="D241" s="203">
        <v>6941.95</v>
      </c>
      <c r="E241" s="203">
        <v>19563.93</v>
      </c>
      <c r="F241" s="203">
        <v>31130</v>
      </c>
      <c r="G241" s="203">
        <v>26280</v>
      </c>
      <c r="H241" s="203">
        <v>22580</v>
      </c>
      <c r="I241" s="203">
        <v>26300</v>
      </c>
      <c r="J241" s="203">
        <v>59120</v>
      </c>
      <c r="K241" s="203">
        <v>32280</v>
      </c>
      <c r="L241" s="203">
        <v>33704.480000000003</v>
      </c>
      <c r="M241" s="203">
        <v>72490</v>
      </c>
      <c r="N241" s="203">
        <v>25855.1</v>
      </c>
      <c r="O241" s="203">
        <f t="shared" si="34"/>
        <v>371285.45999999996</v>
      </c>
    </row>
    <row r="242" spans="1:15" s="242" customFormat="1" ht="15.75" customHeight="1" x14ac:dyDescent="0.2">
      <c r="A242" s="228"/>
      <c r="B242" s="243" t="s">
        <v>944</v>
      </c>
      <c r="C242" s="203">
        <v>273978.42</v>
      </c>
      <c r="D242" s="203">
        <v>362802.35</v>
      </c>
      <c r="E242" s="203">
        <v>274410</v>
      </c>
      <c r="F242" s="203">
        <v>559980</v>
      </c>
      <c r="G242" s="203">
        <v>510364.14</v>
      </c>
      <c r="H242" s="203">
        <v>405981.4</v>
      </c>
      <c r="I242" s="203">
        <v>516510</v>
      </c>
      <c r="J242" s="203">
        <v>815086.1</v>
      </c>
      <c r="K242" s="203">
        <v>927473.93</v>
      </c>
      <c r="L242" s="203">
        <v>714950</v>
      </c>
      <c r="M242" s="203">
        <v>481876.86</v>
      </c>
      <c r="N242" s="203">
        <v>257321.69</v>
      </c>
      <c r="O242" s="203">
        <f t="shared" si="34"/>
        <v>6100734.8900000006</v>
      </c>
    </row>
    <row r="243" spans="1:15" s="242" customFormat="1" ht="15.75" customHeight="1" x14ac:dyDescent="0.2">
      <c r="A243" s="228"/>
      <c r="B243" s="243" t="s">
        <v>945</v>
      </c>
      <c r="C243" s="203">
        <v>197105.71</v>
      </c>
      <c r="D243" s="203">
        <v>426900</v>
      </c>
      <c r="E243" s="203">
        <v>412717.56</v>
      </c>
      <c r="F243" s="203">
        <v>495409.34</v>
      </c>
      <c r="G243" s="203">
        <v>258120</v>
      </c>
      <c r="H243" s="203">
        <v>287200</v>
      </c>
      <c r="I243" s="203">
        <v>290910</v>
      </c>
      <c r="J243" s="203">
        <v>346090</v>
      </c>
      <c r="K243" s="203">
        <v>522840</v>
      </c>
      <c r="L243" s="203">
        <v>416970</v>
      </c>
      <c r="M243" s="203">
        <v>274950</v>
      </c>
      <c r="N243" s="203">
        <v>27216438</v>
      </c>
      <c r="O243" s="203">
        <f t="shared" si="34"/>
        <v>31145650.609999999</v>
      </c>
    </row>
    <row r="244" spans="1:15" s="242" customFormat="1" ht="15.75" customHeight="1" x14ac:dyDescent="0.2">
      <c r="A244" s="228"/>
      <c r="B244" s="243" t="s">
        <v>946</v>
      </c>
      <c r="C244" s="203">
        <v>718020</v>
      </c>
      <c r="D244" s="203">
        <v>1469762.68</v>
      </c>
      <c r="E244" s="203">
        <v>2304910</v>
      </c>
      <c r="F244" s="203">
        <v>2111690</v>
      </c>
      <c r="G244" s="203">
        <v>1888780</v>
      </c>
      <c r="H244" s="203">
        <v>1834310</v>
      </c>
      <c r="I244" s="203">
        <v>1242090</v>
      </c>
      <c r="J244" s="203">
        <v>951510</v>
      </c>
      <c r="K244" s="203">
        <v>1164640</v>
      </c>
      <c r="L244" s="203">
        <v>864340</v>
      </c>
      <c r="M244" s="203">
        <v>880520</v>
      </c>
      <c r="N244" s="203">
        <v>1529503.65</v>
      </c>
      <c r="O244" s="203">
        <f t="shared" si="34"/>
        <v>16960076.329999998</v>
      </c>
    </row>
    <row r="245" spans="1:15" s="242" customFormat="1" ht="15.75" customHeight="1" x14ac:dyDescent="0.2">
      <c r="A245" s="228"/>
      <c r="B245" s="243" t="s">
        <v>947</v>
      </c>
      <c r="C245" s="206">
        <v>49927</v>
      </c>
      <c r="D245" s="203">
        <v>113978</v>
      </c>
      <c r="E245" s="203">
        <v>301329</v>
      </c>
      <c r="F245" s="203">
        <v>379872</v>
      </c>
      <c r="G245" s="206">
        <v>484437</v>
      </c>
      <c r="H245" s="203">
        <v>691380</v>
      </c>
      <c r="I245" s="203">
        <v>832514</v>
      </c>
      <c r="J245" s="203">
        <v>977390.56</v>
      </c>
      <c r="K245" s="203">
        <v>1199210.56</v>
      </c>
      <c r="L245" s="203">
        <v>1311435.56</v>
      </c>
      <c r="M245" s="203">
        <v>1547582.56</v>
      </c>
      <c r="N245" s="203">
        <v>1837182.56</v>
      </c>
      <c r="O245" s="203">
        <f t="shared" si="34"/>
        <v>9726238.8000000007</v>
      </c>
    </row>
    <row r="246" spans="1:15" s="242" customFormat="1" ht="15.75" customHeight="1" x14ac:dyDescent="0.2">
      <c r="A246" s="228"/>
      <c r="B246" s="243" t="s">
        <v>948</v>
      </c>
      <c r="C246" s="203">
        <v>364748.84</v>
      </c>
      <c r="D246" s="206">
        <v>2002461.65</v>
      </c>
      <c r="E246" s="206">
        <v>2622009.6800000002</v>
      </c>
      <c r="F246" s="206">
        <v>393526.05</v>
      </c>
      <c r="G246" s="206">
        <v>357063.33</v>
      </c>
      <c r="H246" s="206">
        <v>453129.34</v>
      </c>
      <c r="I246" s="206">
        <v>936691.45</v>
      </c>
      <c r="J246" s="206">
        <v>743416.23</v>
      </c>
      <c r="K246" s="206">
        <v>3984390.01</v>
      </c>
      <c r="L246" s="206">
        <v>229394.5</v>
      </c>
      <c r="M246" s="206">
        <v>1842635.06</v>
      </c>
      <c r="N246" s="206">
        <v>1676765.81</v>
      </c>
      <c r="O246" s="203">
        <f t="shared" si="34"/>
        <v>15606231.950000001</v>
      </c>
    </row>
    <row r="247" spans="1:15" s="242" customFormat="1" ht="15.75" customHeight="1" x14ac:dyDescent="0.2">
      <c r="A247" s="228"/>
      <c r="B247" s="243" t="s">
        <v>949</v>
      </c>
      <c r="C247" s="203">
        <v>25210</v>
      </c>
      <c r="D247" s="203">
        <v>96510</v>
      </c>
      <c r="E247" s="203">
        <v>274420</v>
      </c>
      <c r="F247" s="203">
        <v>135188.78</v>
      </c>
      <c r="G247" s="203">
        <v>342122.21</v>
      </c>
      <c r="H247" s="203">
        <v>319488.13</v>
      </c>
      <c r="I247" s="203">
        <v>194080</v>
      </c>
      <c r="J247" s="203">
        <v>141536.38</v>
      </c>
      <c r="K247" s="203">
        <v>185410</v>
      </c>
      <c r="L247" s="203">
        <v>114224.31</v>
      </c>
      <c r="M247" s="203">
        <v>116187.5</v>
      </c>
      <c r="N247" s="203">
        <v>47819.91</v>
      </c>
      <c r="O247" s="203">
        <f t="shared" si="34"/>
        <v>1992197.22</v>
      </c>
    </row>
    <row r="248" spans="1:15" s="242" customFormat="1" ht="15.75" customHeight="1" x14ac:dyDescent="0.2">
      <c r="A248" s="228"/>
      <c r="B248" s="243" t="s">
        <v>950</v>
      </c>
      <c r="C248" s="203">
        <v>129834.6</v>
      </c>
      <c r="D248" s="203">
        <v>190536.26</v>
      </c>
      <c r="E248" s="203">
        <v>124596.39</v>
      </c>
      <c r="F248" s="203">
        <v>86999.02</v>
      </c>
      <c r="G248" s="203">
        <v>110275.2</v>
      </c>
      <c r="H248" s="203">
        <v>196353</v>
      </c>
      <c r="I248" s="203">
        <v>214731.65</v>
      </c>
      <c r="J248" s="203">
        <v>141911.6</v>
      </c>
      <c r="K248" s="203">
        <v>160099.32</v>
      </c>
      <c r="L248" s="203">
        <v>167371.99</v>
      </c>
      <c r="M248" s="203">
        <v>108664</v>
      </c>
      <c r="N248" s="203">
        <v>248130</v>
      </c>
      <c r="O248" s="203">
        <f t="shared" si="34"/>
        <v>1879503.03</v>
      </c>
    </row>
    <row r="249" spans="1:15" s="242" customFormat="1" ht="15.75" customHeight="1" x14ac:dyDescent="0.2">
      <c r="A249" s="228"/>
      <c r="B249" s="243" t="s">
        <v>951</v>
      </c>
      <c r="C249" s="203">
        <v>76298</v>
      </c>
      <c r="D249" s="203">
        <v>15842.57</v>
      </c>
      <c r="E249" s="203">
        <v>10502</v>
      </c>
      <c r="F249" s="203">
        <v>17324</v>
      </c>
      <c r="G249" s="203">
        <v>5251</v>
      </c>
      <c r="H249" s="203">
        <v>3795</v>
      </c>
      <c r="I249" s="203">
        <v>51129</v>
      </c>
      <c r="J249" s="203">
        <v>6180</v>
      </c>
      <c r="K249" s="203">
        <v>45798</v>
      </c>
      <c r="L249" s="203">
        <v>398.7</v>
      </c>
      <c r="M249" s="203">
        <v>65693</v>
      </c>
      <c r="N249" s="203">
        <v>37140</v>
      </c>
      <c r="O249" s="203">
        <f t="shared" si="34"/>
        <v>335351.27</v>
      </c>
    </row>
    <row r="250" spans="1:15" s="242" customFormat="1" ht="15.75" customHeight="1" x14ac:dyDescent="0.2">
      <c r="A250" s="228"/>
      <c r="B250" s="243" t="s">
        <v>952</v>
      </c>
      <c r="C250" s="203">
        <v>100770</v>
      </c>
      <c r="D250" s="203">
        <v>31220</v>
      </c>
      <c r="E250" s="203">
        <v>202100</v>
      </c>
      <c r="F250" s="203">
        <v>140000</v>
      </c>
      <c r="G250" s="203">
        <v>130790</v>
      </c>
      <c r="H250" s="203">
        <v>43620</v>
      </c>
      <c r="I250" s="203">
        <v>46130</v>
      </c>
      <c r="J250" s="203">
        <v>11720</v>
      </c>
      <c r="K250" s="203">
        <v>15750</v>
      </c>
      <c r="L250" s="203">
        <v>25760</v>
      </c>
      <c r="M250" s="203">
        <v>700</v>
      </c>
      <c r="N250" s="203">
        <v>26910</v>
      </c>
      <c r="O250" s="203">
        <f t="shared" si="34"/>
        <v>775470</v>
      </c>
    </row>
    <row r="251" spans="1:15" s="242" customFormat="1" ht="15.75" customHeight="1" x14ac:dyDescent="0.2">
      <c r="A251" s="228"/>
      <c r="B251" s="243" t="s">
        <v>953</v>
      </c>
      <c r="C251" s="203">
        <f>1970.98+52770</f>
        <v>54740.98</v>
      </c>
      <c r="D251" s="203">
        <f>702.62+26640</f>
        <v>27342.62</v>
      </c>
      <c r="E251" s="203">
        <f>75.76+24480</f>
        <v>24555.759999999998</v>
      </c>
      <c r="F251" s="203">
        <f>175.5+86280</f>
        <v>86455.5</v>
      </c>
      <c r="G251" s="203">
        <f>25998.9+22350</f>
        <v>48348.9</v>
      </c>
      <c r="H251" s="203">
        <f>23.4+52430</f>
        <v>52453.4</v>
      </c>
      <c r="I251" s="203">
        <f>1801.12+99030</f>
        <v>100831.12</v>
      </c>
      <c r="J251" s="203">
        <f>1644.01+132440</f>
        <v>134084.01</v>
      </c>
      <c r="K251" s="203">
        <v>82570</v>
      </c>
      <c r="L251" s="203">
        <f>110510</f>
        <v>110510</v>
      </c>
      <c r="M251" s="203">
        <f>1206.76+101730</f>
        <v>102936.76</v>
      </c>
      <c r="N251" s="203">
        <f>6780.14+50760</f>
        <v>57540.14</v>
      </c>
      <c r="O251" s="203">
        <f t="shared" si="34"/>
        <v>882369.19000000006</v>
      </c>
    </row>
    <row r="252" spans="1:15" s="242" customFormat="1" ht="15.75" customHeight="1" x14ac:dyDescent="0.2">
      <c r="A252" s="228"/>
      <c r="B252" s="243" t="s">
        <v>954</v>
      </c>
      <c r="C252" s="203">
        <v>50798.19</v>
      </c>
      <c r="D252" s="203">
        <v>116127.31</v>
      </c>
      <c r="E252" s="203">
        <v>504370.21</v>
      </c>
      <c r="F252" s="203">
        <v>261866.75</v>
      </c>
      <c r="G252" s="203">
        <v>191937</v>
      </c>
      <c r="H252" s="203">
        <v>356718.14</v>
      </c>
      <c r="I252" s="203">
        <v>365817.33</v>
      </c>
      <c r="J252" s="203">
        <v>779868</v>
      </c>
      <c r="K252" s="203">
        <v>1450217.33</v>
      </c>
      <c r="L252" s="203">
        <v>228053.74</v>
      </c>
      <c r="M252" s="203">
        <v>3049122.78</v>
      </c>
      <c r="N252" s="203">
        <v>1649914.75</v>
      </c>
      <c r="O252" s="203">
        <f t="shared" si="34"/>
        <v>9004811.5299999993</v>
      </c>
    </row>
    <row r="253" spans="1:15" s="242" customFormat="1" ht="15.75" customHeight="1" x14ac:dyDescent="0.2">
      <c r="A253" s="228"/>
      <c r="B253" s="243" t="s">
        <v>955</v>
      </c>
      <c r="C253" s="203">
        <v>39570</v>
      </c>
      <c r="D253" s="203">
        <v>20640</v>
      </c>
      <c r="E253" s="203">
        <v>46534.13</v>
      </c>
      <c r="F253" s="203">
        <v>48225.15</v>
      </c>
      <c r="G253" s="203">
        <v>57980</v>
      </c>
      <c r="H253" s="203">
        <v>123150</v>
      </c>
      <c r="I253" s="203">
        <v>11090</v>
      </c>
      <c r="J253" s="203">
        <v>94010</v>
      </c>
      <c r="K253" s="203">
        <v>80710</v>
      </c>
      <c r="L253" s="203">
        <v>15840</v>
      </c>
      <c r="M253" s="203">
        <v>7620</v>
      </c>
      <c r="N253" s="203">
        <v>63520</v>
      </c>
      <c r="O253" s="203">
        <f t="shared" si="34"/>
        <v>608889.28</v>
      </c>
    </row>
    <row r="254" spans="1:15" s="242" customFormat="1" ht="15.75" customHeight="1" x14ac:dyDescent="0.2">
      <c r="A254" s="228"/>
      <c r="B254" s="243" t="s">
        <v>956</v>
      </c>
      <c r="C254" s="203">
        <v>33468</v>
      </c>
      <c r="D254" s="203">
        <v>60629.120000000003</v>
      </c>
      <c r="E254" s="203">
        <v>133805.23000000001</v>
      </c>
      <c r="F254" s="203">
        <v>65223.64</v>
      </c>
      <c r="G254" s="203">
        <v>72527.5</v>
      </c>
      <c r="H254" s="203">
        <v>144603.79</v>
      </c>
      <c r="I254" s="203">
        <v>137548.92000000001</v>
      </c>
      <c r="J254" s="203">
        <v>70348.92</v>
      </c>
      <c r="K254" s="203">
        <v>109505.23</v>
      </c>
      <c r="L254" s="203">
        <v>45032.33</v>
      </c>
      <c r="M254" s="203">
        <v>28820</v>
      </c>
      <c r="N254" s="203">
        <v>114140</v>
      </c>
      <c r="O254" s="203">
        <f t="shared" si="34"/>
        <v>1015652.68</v>
      </c>
    </row>
    <row r="255" spans="1:15" s="242" customFormat="1" ht="15.75" customHeight="1" x14ac:dyDescent="0.2">
      <c r="A255" s="228"/>
      <c r="B255" s="243" t="s">
        <v>957</v>
      </c>
      <c r="C255" s="203">
        <v>77817.37</v>
      </c>
      <c r="D255" s="203">
        <v>73058.28</v>
      </c>
      <c r="E255" s="203">
        <v>142135.43</v>
      </c>
      <c r="F255" s="203">
        <v>103810.98</v>
      </c>
      <c r="G255" s="203">
        <v>40656.720000000001</v>
      </c>
      <c r="H255" s="203">
        <v>93556.19</v>
      </c>
      <c r="I255" s="203">
        <v>78159.929999999993</v>
      </c>
      <c r="J255" s="203">
        <v>8799.84</v>
      </c>
      <c r="K255" s="203">
        <v>17019.75</v>
      </c>
      <c r="L255" s="203">
        <v>27785</v>
      </c>
      <c r="M255" s="203">
        <v>27900.19</v>
      </c>
      <c r="N255" s="203">
        <v>1026130.65</v>
      </c>
      <c r="O255" s="203">
        <f t="shared" si="34"/>
        <v>1716830.3299999998</v>
      </c>
    </row>
    <row r="256" spans="1:15" s="242" customFormat="1" ht="15.75" customHeight="1" x14ac:dyDescent="0.2">
      <c r="A256" s="228"/>
      <c r="B256" s="243" t="s">
        <v>958</v>
      </c>
      <c r="C256" s="203">
        <v>204286.75</v>
      </c>
      <c r="D256" s="203">
        <v>248340.86</v>
      </c>
      <c r="E256" s="203">
        <v>451863.95</v>
      </c>
      <c r="F256" s="203">
        <v>143501</v>
      </c>
      <c r="G256" s="203">
        <v>154555.97</v>
      </c>
      <c r="H256" s="203">
        <v>513324.39</v>
      </c>
      <c r="I256" s="203">
        <v>196845.89</v>
      </c>
      <c r="J256" s="203">
        <v>416387.17</v>
      </c>
      <c r="K256" s="203">
        <v>241259.51</v>
      </c>
      <c r="L256" s="203">
        <v>123522</v>
      </c>
      <c r="M256" s="203">
        <v>170461.08</v>
      </c>
      <c r="N256" s="203">
        <v>152860</v>
      </c>
      <c r="O256" s="203">
        <f t="shared" si="34"/>
        <v>3017208.5700000003</v>
      </c>
    </row>
    <row r="257" spans="1:15" s="242" customFormat="1" ht="15.75" customHeight="1" x14ac:dyDescent="0.2">
      <c r="A257" s="228"/>
      <c r="B257" s="243" t="s">
        <v>959</v>
      </c>
      <c r="C257" s="203">
        <v>29110</v>
      </c>
      <c r="D257" s="203">
        <v>24940</v>
      </c>
      <c r="E257" s="203">
        <v>26147.200000000001</v>
      </c>
      <c r="F257" s="203">
        <v>58861.68</v>
      </c>
      <c r="G257" s="203">
        <v>101410.74</v>
      </c>
      <c r="H257" s="203">
        <v>57303.360000000001</v>
      </c>
      <c r="I257" s="203">
        <v>14360</v>
      </c>
      <c r="J257" s="203">
        <v>18490</v>
      </c>
      <c r="K257" s="203">
        <v>35280</v>
      </c>
      <c r="L257" s="203">
        <v>38400</v>
      </c>
      <c r="M257" s="203">
        <v>44470</v>
      </c>
      <c r="N257" s="203">
        <v>40180</v>
      </c>
      <c r="O257" s="203">
        <f t="shared" si="34"/>
        <v>488952.98</v>
      </c>
    </row>
    <row r="258" spans="1:15" s="242" customFormat="1" ht="15.75" customHeight="1" x14ac:dyDescent="0.2">
      <c r="A258" s="228"/>
      <c r="B258" s="243" t="s">
        <v>960</v>
      </c>
      <c r="C258" s="203">
        <v>39150</v>
      </c>
      <c r="D258" s="203">
        <v>31822.54</v>
      </c>
      <c r="E258" s="203">
        <v>72410</v>
      </c>
      <c r="F258" s="203">
        <v>127860</v>
      </c>
      <c r="G258" s="203">
        <v>74670</v>
      </c>
      <c r="H258" s="203">
        <v>100870</v>
      </c>
      <c r="I258" s="203">
        <v>77990</v>
      </c>
      <c r="J258" s="203">
        <v>147190</v>
      </c>
      <c r="K258" s="203">
        <v>123780</v>
      </c>
      <c r="L258" s="203">
        <v>42789.29</v>
      </c>
      <c r="M258" s="203">
        <v>81810</v>
      </c>
      <c r="N258" s="203">
        <v>112900</v>
      </c>
      <c r="O258" s="203">
        <f t="shared" si="34"/>
        <v>1033241.8300000001</v>
      </c>
    </row>
    <row r="259" spans="1:15" s="242" customFormat="1" ht="15.75" customHeight="1" x14ac:dyDescent="0.2">
      <c r="A259" s="228"/>
      <c r="B259" s="243" t="s">
        <v>961</v>
      </c>
      <c r="C259" s="203">
        <v>13160</v>
      </c>
      <c r="D259" s="203">
        <v>31542.78</v>
      </c>
      <c r="E259" s="203">
        <v>88215</v>
      </c>
      <c r="F259" s="203">
        <v>63307.34</v>
      </c>
      <c r="G259" s="203">
        <v>9160</v>
      </c>
      <c r="H259" s="203">
        <v>54547.56</v>
      </c>
      <c r="I259" s="203">
        <v>5070</v>
      </c>
      <c r="J259" s="203">
        <v>9250</v>
      </c>
      <c r="K259" s="203">
        <v>35620</v>
      </c>
      <c r="L259" s="203">
        <v>41230</v>
      </c>
      <c r="M259" s="203">
        <v>38550</v>
      </c>
      <c r="N259" s="203">
        <v>5940</v>
      </c>
      <c r="O259" s="203">
        <f t="shared" si="34"/>
        <v>395592.68</v>
      </c>
    </row>
    <row r="260" spans="1:15" s="242" customFormat="1" ht="15.75" customHeight="1" x14ac:dyDescent="0.2">
      <c r="A260" s="228"/>
      <c r="B260" s="243" t="s">
        <v>962</v>
      </c>
      <c r="C260" s="203">
        <v>26660</v>
      </c>
      <c r="D260" s="203">
        <v>249466.26</v>
      </c>
      <c r="E260" s="203">
        <v>569192.02</v>
      </c>
      <c r="F260" s="203">
        <v>351410</v>
      </c>
      <c r="G260" s="203">
        <v>410809</v>
      </c>
      <c r="H260" s="203">
        <v>293410</v>
      </c>
      <c r="I260" s="203">
        <v>257225.34</v>
      </c>
      <c r="J260" s="203">
        <v>261270</v>
      </c>
      <c r="K260" s="203">
        <v>328151.82</v>
      </c>
      <c r="L260" s="203">
        <v>1195535.56</v>
      </c>
      <c r="M260" s="203">
        <v>184158.45</v>
      </c>
      <c r="N260" s="203">
        <v>9882546.75</v>
      </c>
      <c r="O260" s="203">
        <f t="shared" si="34"/>
        <v>14009835.199999999</v>
      </c>
    </row>
    <row r="261" spans="1:15" s="242" customFormat="1" ht="15.75" customHeight="1" x14ac:dyDescent="0.2">
      <c r="A261" s="228"/>
      <c r="B261" s="243" t="s">
        <v>963</v>
      </c>
      <c r="C261" s="203">
        <v>7540904.1900000004</v>
      </c>
      <c r="D261" s="203">
        <v>104042.92</v>
      </c>
      <c r="E261" s="203">
        <v>55723.19</v>
      </c>
      <c r="F261" s="203">
        <v>89668.92</v>
      </c>
      <c r="G261" s="203">
        <v>27642.2</v>
      </c>
      <c r="H261" s="203">
        <v>96230</v>
      </c>
      <c r="I261" s="203">
        <v>158426.98000000001</v>
      </c>
      <c r="J261" s="203">
        <v>140370</v>
      </c>
      <c r="K261" s="203">
        <v>235880.42</v>
      </c>
      <c r="L261" s="203">
        <v>120720.97</v>
      </c>
      <c r="M261" s="203">
        <v>47930.05</v>
      </c>
      <c r="N261" s="203">
        <v>114210</v>
      </c>
      <c r="O261" s="203">
        <f t="shared" si="34"/>
        <v>8731749.8400000036</v>
      </c>
    </row>
    <row r="262" spans="1:15" s="242" customFormat="1" ht="15.75" customHeight="1" x14ac:dyDescent="0.2">
      <c r="A262" s="228"/>
      <c r="B262" s="243" t="s">
        <v>964</v>
      </c>
      <c r="C262" s="203">
        <v>28260</v>
      </c>
      <c r="D262" s="203">
        <v>18340</v>
      </c>
      <c r="E262" s="203">
        <v>1350</v>
      </c>
      <c r="F262" s="203">
        <v>15000</v>
      </c>
      <c r="G262" s="203">
        <v>1980</v>
      </c>
      <c r="H262" s="203">
        <v>30480</v>
      </c>
      <c r="I262" s="203">
        <v>3150</v>
      </c>
      <c r="J262" s="203">
        <v>8160</v>
      </c>
      <c r="K262" s="203">
        <v>25554.799999999999</v>
      </c>
      <c r="L262" s="203">
        <v>19940</v>
      </c>
      <c r="M262" s="203">
        <v>11280</v>
      </c>
      <c r="N262" s="203">
        <v>6120</v>
      </c>
      <c r="O262" s="203">
        <f t="shared" si="34"/>
        <v>169614.8</v>
      </c>
    </row>
    <row r="263" spans="1:15" s="242" customFormat="1" ht="15.75" customHeight="1" x14ac:dyDescent="0.2">
      <c r="A263" s="228"/>
      <c r="B263" s="243" t="s">
        <v>965</v>
      </c>
      <c r="C263" s="203">
        <v>2740</v>
      </c>
      <c r="D263" s="203">
        <v>54659.95</v>
      </c>
      <c r="E263" s="203">
        <v>175546.2</v>
      </c>
      <c r="F263" s="203">
        <v>359120</v>
      </c>
      <c r="G263" s="203">
        <v>361780</v>
      </c>
      <c r="H263" s="203">
        <v>487740</v>
      </c>
      <c r="I263" s="203">
        <v>229778.18</v>
      </c>
      <c r="J263" s="203">
        <v>408241.64</v>
      </c>
      <c r="K263" s="203">
        <v>413960.26</v>
      </c>
      <c r="L263" s="203">
        <v>45215.42</v>
      </c>
      <c r="M263" s="203">
        <v>125340</v>
      </c>
      <c r="N263" s="203">
        <v>7419021.75</v>
      </c>
      <c r="O263" s="203">
        <f t="shared" si="34"/>
        <v>10083143.399999999</v>
      </c>
    </row>
    <row r="264" spans="1:15" s="242" customFormat="1" ht="15.75" customHeight="1" x14ac:dyDescent="0.2">
      <c r="A264" s="228"/>
      <c r="B264" s="243" t="s">
        <v>966</v>
      </c>
      <c r="C264" s="203">
        <v>16280596.640000001</v>
      </c>
      <c r="D264" s="203">
        <v>13281.08</v>
      </c>
      <c r="E264" s="203">
        <v>26927.56</v>
      </c>
      <c r="F264" s="203">
        <v>88395.76</v>
      </c>
      <c r="G264" s="203">
        <v>172516.48000000001</v>
      </c>
      <c r="H264" s="203">
        <v>114661</v>
      </c>
      <c r="I264" s="203">
        <v>48004.4</v>
      </c>
      <c r="J264" s="203">
        <v>19497</v>
      </c>
      <c r="K264" s="203">
        <v>50216.78</v>
      </c>
      <c r="L264" s="203">
        <v>22604.31</v>
      </c>
      <c r="M264" s="203">
        <v>36545.17</v>
      </c>
      <c r="N264" s="203">
        <v>10123</v>
      </c>
      <c r="O264" s="203">
        <f t="shared" si="34"/>
        <v>16883369.180000003</v>
      </c>
    </row>
    <row r="265" spans="1:15" s="242" customFormat="1" ht="15.75" customHeight="1" x14ac:dyDescent="0.2">
      <c r="A265" s="228"/>
      <c r="B265" s="243" t="s">
        <v>967</v>
      </c>
      <c r="C265" s="203">
        <v>1410</v>
      </c>
      <c r="D265" s="203">
        <v>431880</v>
      </c>
      <c r="E265" s="203">
        <v>163400</v>
      </c>
      <c r="F265" s="203">
        <v>28690</v>
      </c>
      <c r="G265" s="203">
        <v>136130</v>
      </c>
      <c r="H265" s="203">
        <v>3000</v>
      </c>
      <c r="I265" s="203">
        <v>370280</v>
      </c>
      <c r="J265" s="203">
        <v>70170</v>
      </c>
      <c r="K265" s="203">
        <v>63670</v>
      </c>
      <c r="L265" s="203">
        <v>750</v>
      </c>
      <c r="M265" s="203">
        <v>1058220</v>
      </c>
      <c r="N265" s="203">
        <v>3743810</v>
      </c>
      <c r="O265" s="203">
        <f t="shared" si="34"/>
        <v>6071410</v>
      </c>
    </row>
    <row r="266" spans="1:15" s="242" customFormat="1" ht="15.75" customHeight="1" x14ac:dyDescent="0.2">
      <c r="A266" s="228"/>
      <c r="B266" s="243" t="s">
        <v>968</v>
      </c>
      <c r="C266" s="203">
        <v>52204</v>
      </c>
      <c r="D266" s="203">
        <v>4555</v>
      </c>
      <c r="E266" s="203">
        <v>26190</v>
      </c>
      <c r="F266" s="203">
        <v>19536.439999999999</v>
      </c>
      <c r="G266" s="203">
        <v>33024</v>
      </c>
      <c r="H266" s="203">
        <v>15060</v>
      </c>
      <c r="I266" s="203">
        <v>74600.89</v>
      </c>
      <c r="J266" s="203">
        <v>74940</v>
      </c>
      <c r="K266" s="203">
        <v>17940</v>
      </c>
      <c r="L266" s="203">
        <v>79590</v>
      </c>
      <c r="M266" s="203">
        <v>5850</v>
      </c>
      <c r="N266" s="203">
        <v>35316</v>
      </c>
      <c r="O266" s="203">
        <f t="shared" si="34"/>
        <v>438806.33</v>
      </c>
    </row>
    <row r="267" spans="1:15" s="242" customFormat="1" ht="15.75" customHeight="1" x14ac:dyDescent="0.2">
      <c r="A267" s="228"/>
      <c r="B267" s="243" t="s">
        <v>969</v>
      </c>
      <c r="C267" s="203">
        <v>22638.09</v>
      </c>
      <c r="D267" s="203">
        <v>50779.22</v>
      </c>
      <c r="E267" s="203">
        <v>91480.16</v>
      </c>
      <c r="F267" s="203">
        <v>80152</v>
      </c>
      <c r="G267" s="203">
        <v>57270</v>
      </c>
      <c r="H267" s="203">
        <v>43245.68</v>
      </c>
      <c r="I267" s="203">
        <v>54650</v>
      </c>
      <c r="J267" s="203">
        <v>128470</v>
      </c>
      <c r="K267" s="203">
        <v>40880</v>
      </c>
      <c r="L267" s="203">
        <v>83548.5</v>
      </c>
      <c r="M267" s="203">
        <v>7228.68</v>
      </c>
      <c r="N267" s="203">
        <v>3499</v>
      </c>
      <c r="O267" s="203">
        <f t="shared" ref="O267:O330" si="35">SUM(C267:N267)</f>
        <v>663841.32999999996</v>
      </c>
    </row>
    <row r="268" spans="1:15" s="242" customFormat="1" ht="15.75" customHeight="1" x14ac:dyDescent="0.2">
      <c r="A268" s="228"/>
      <c r="B268" s="243" t="s">
        <v>970</v>
      </c>
      <c r="C268" s="203">
        <v>28128.7</v>
      </c>
      <c r="D268" s="203">
        <v>232260</v>
      </c>
      <c r="E268" s="203">
        <v>216200</v>
      </c>
      <c r="F268" s="203">
        <v>86700</v>
      </c>
      <c r="G268" s="203">
        <v>264990</v>
      </c>
      <c r="H268" s="203">
        <v>267380</v>
      </c>
      <c r="I268" s="203">
        <v>144180</v>
      </c>
      <c r="J268" s="203">
        <v>11490</v>
      </c>
      <c r="K268" s="203">
        <v>0</v>
      </c>
      <c r="L268" s="203">
        <v>11052</v>
      </c>
      <c r="M268" s="203">
        <v>709035.64</v>
      </c>
      <c r="N268" s="203">
        <v>1260</v>
      </c>
      <c r="O268" s="203">
        <f t="shared" si="35"/>
        <v>1972676.3399999999</v>
      </c>
    </row>
    <row r="269" spans="1:15" s="242" customFormat="1" ht="15.75" customHeight="1" x14ac:dyDescent="0.2">
      <c r="A269" s="228"/>
      <c r="B269" s="243" t="s">
        <v>971</v>
      </c>
      <c r="C269" s="203">
        <v>8400</v>
      </c>
      <c r="D269" s="203">
        <v>119028.35</v>
      </c>
      <c r="E269" s="203">
        <v>30435</v>
      </c>
      <c r="F269" s="203">
        <v>38487.730000000003</v>
      </c>
      <c r="G269" s="203">
        <v>12572.68</v>
      </c>
      <c r="H269" s="203">
        <v>12270</v>
      </c>
      <c r="I269" s="203">
        <v>22920</v>
      </c>
      <c r="J269" s="203">
        <v>18468</v>
      </c>
      <c r="K269" s="203">
        <v>5520</v>
      </c>
      <c r="L269" s="203">
        <v>14671.16</v>
      </c>
      <c r="M269" s="203">
        <v>8609.99</v>
      </c>
      <c r="N269" s="203">
        <v>7617.33</v>
      </c>
      <c r="O269" s="203">
        <f t="shared" si="35"/>
        <v>299000.24</v>
      </c>
    </row>
    <row r="270" spans="1:15" s="242" customFormat="1" ht="15.75" customHeight="1" x14ac:dyDescent="0.2">
      <c r="A270" s="228"/>
      <c r="B270" s="243" t="s">
        <v>972</v>
      </c>
      <c r="C270" s="203">
        <v>85000</v>
      </c>
      <c r="D270" s="203">
        <v>58950</v>
      </c>
      <c r="E270" s="203">
        <v>106277.07</v>
      </c>
      <c r="F270" s="203">
        <v>78482.320000000007</v>
      </c>
      <c r="G270" s="203">
        <v>68859.17</v>
      </c>
      <c r="H270" s="203">
        <v>75062.58</v>
      </c>
      <c r="I270" s="203">
        <v>41520</v>
      </c>
      <c r="J270" s="203">
        <v>184410</v>
      </c>
      <c r="K270" s="203">
        <v>90481.16</v>
      </c>
      <c r="L270" s="203">
        <v>14401.73</v>
      </c>
      <c r="M270" s="203">
        <v>14270</v>
      </c>
      <c r="N270" s="203">
        <v>10840</v>
      </c>
      <c r="O270" s="203">
        <f t="shared" si="35"/>
        <v>828554.03</v>
      </c>
    </row>
    <row r="271" spans="1:15" s="242" customFormat="1" ht="15.75" hidden="1" customHeight="1" x14ac:dyDescent="0.2">
      <c r="A271" s="228"/>
      <c r="B271" s="243" t="s">
        <v>973</v>
      </c>
      <c r="C271" s="203"/>
      <c r="D271" s="203"/>
      <c r="E271" s="203"/>
      <c r="F271" s="203"/>
      <c r="G271" s="203"/>
      <c r="H271" s="203"/>
      <c r="I271" s="203"/>
      <c r="J271" s="203"/>
      <c r="K271" s="203">
        <v>945</v>
      </c>
      <c r="L271" s="203"/>
      <c r="M271" s="203"/>
      <c r="N271" s="203"/>
      <c r="O271" s="203">
        <f t="shared" si="35"/>
        <v>945</v>
      </c>
    </row>
    <row r="272" spans="1:15" s="242" customFormat="1" ht="15.75" customHeight="1" x14ac:dyDescent="0.2">
      <c r="A272" s="228"/>
      <c r="B272" s="243" t="s">
        <v>974</v>
      </c>
      <c r="C272" s="203">
        <v>43040</v>
      </c>
      <c r="D272" s="203">
        <v>80230</v>
      </c>
      <c r="E272" s="203">
        <v>138516.85</v>
      </c>
      <c r="F272" s="203">
        <v>61170</v>
      </c>
      <c r="G272" s="203">
        <v>190050</v>
      </c>
      <c r="H272" s="203">
        <v>116170</v>
      </c>
      <c r="I272" s="203">
        <v>148390</v>
      </c>
      <c r="J272" s="203">
        <v>201590</v>
      </c>
      <c r="K272" s="203">
        <v>8600</v>
      </c>
      <c r="L272" s="203">
        <v>32010</v>
      </c>
      <c r="M272" s="203">
        <v>0</v>
      </c>
      <c r="N272" s="203">
        <v>31820</v>
      </c>
      <c r="O272" s="203">
        <f t="shared" si="35"/>
        <v>1051586.8500000001</v>
      </c>
    </row>
    <row r="273" spans="1:15" s="242" customFormat="1" ht="15.75" customHeight="1" x14ac:dyDescent="0.2">
      <c r="A273" s="228"/>
      <c r="B273" s="243" t="s">
        <v>975</v>
      </c>
      <c r="C273" s="206">
        <v>18740</v>
      </c>
      <c r="D273" s="206">
        <v>48700</v>
      </c>
      <c r="E273" s="206">
        <v>177070</v>
      </c>
      <c r="F273" s="206">
        <v>109468.12</v>
      </c>
      <c r="G273" s="206">
        <v>164299.06</v>
      </c>
      <c r="H273" s="206">
        <v>128688.06</v>
      </c>
      <c r="I273" s="206">
        <v>34160.32</v>
      </c>
      <c r="J273" s="206">
        <v>47185.38</v>
      </c>
      <c r="K273" s="206">
        <v>83923.12</v>
      </c>
      <c r="L273" s="206">
        <v>41619.18</v>
      </c>
      <c r="M273" s="206">
        <v>6820</v>
      </c>
      <c r="N273" s="206">
        <v>51480</v>
      </c>
      <c r="O273" s="203">
        <f t="shared" si="35"/>
        <v>912153.24</v>
      </c>
    </row>
    <row r="274" spans="1:15" s="242" customFormat="1" ht="15.75" customHeight="1" x14ac:dyDescent="0.2">
      <c r="A274" s="228"/>
      <c r="B274" s="243" t="s">
        <v>976</v>
      </c>
      <c r="C274" s="203">
        <v>9161091.5</v>
      </c>
      <c r="D274" s="203">
        <v>76180</v>
      </c>
      <c r="E274" s="203">
        <v>135540.24</v>
      </c>
      <c r="F274" s="203">
        <v>370238.21</v>
      </c>
      <c r="G274" s="203">
        <v>184964.81</v>
      </c>
      <c r="H274" s="203">
        <v>320389.31</v>
      </c>
      <c r="I274" s="203">
        <v>216580</v>
      </c>
      <c r="J274" s="203">
        <v>79580</v>
      </c>
      <c r="K274" s="203">
        <v>225400</v>
      </c>
      <c r="L274" s="203">
        <v>144074.85</v>
      </c>
      <c r="M274" s="203">
        <v>47290</v>
      </c>
      <c r="N274" s="203">
        <v>126765.2</v>
      </c>
      <c r="O274" s="203">
        <f t="shared" si="35"/>
        <v>11088094.120000001</v>
      </c>
    </row>
    <row r="275" spans="1:15" s="242" customFormat="1" ht="15.75" customHeight="1" x14ac:dyDescent="0.2">
      <c r="A275" s="228"/>
      <c r="B275" s="243" t="s">
        <v>977</v>
      </c>
      <c r="C275" s="203">
        <v>282270</v>
      </c>
      <c r="D275" s="203">
        <v>445020</v>
      </c>
      <c r="E275" s="203">
        <v>137789.79999999999</v>
      </c>
      <c r="F275" s="203">
        <v>44778</v>
      </c>
      <c r="G275" s="203">
        <v>95210</v>
      </c>
      <c r="H275" s="203">
        <v>22778</v>
      </c>
      <c r="I275" s="203">
        <v>33370</v>
      </c>
      <c r="J275" s="203">
        <v>62410</v>
      </c>
      <c r="K275" s="203">
        <v>111519.8</v>
      </c>
      <c r="L275" s="203">
        <v>1201650</v>
      </c>
      <c r="M275" s="203">
        <v>598120</v>
      </c>
      <c r="N275" s="203">
        <v>403590</v>
      </c>
      <c r="O275" s="203">
        <f t="shared" si="35"/>
        <v>3438505.6</v>
      </c>
    </row>
    <row r="276" spans="1:15" s="242" customFormat="1" ht="15.75" customHeight="1" x14ac:dyDescent="0.2">
      <c r="A276" s="228"/>
      <c r="B276" s="243" t="s">
        <v>982</v>
      </c>
      <c r="C276" s="203">
        <v>3150</v>
      </c>
      <c r="D276" s="203">
        <v>38990</v>
      </c>
      <c r="E276" s="203">
        <v>295340</v>
      </c>
      <c r="F276" s="203">
        <v>73340</v>
      </c>
      <c r="G276" s="203">
        <v>157850</v>
      </c>
      <c r="H276" s="203">
        <v>98430</v>
      </c>
      <c r="I276" s="203">
        <v>218610</v>
      </c>
      <c r="J276" s="203">
        <v>115960.84</v>
      </c>
      <c r="K276" s="203">
        <v>210550</v>
      </c>
      <c r="L276" s="203">
        <v>228800</v>
      </c>
      <c r="M276" s="203">
        <v>107432.25</v>
      </c>
      <c r="N276" s="203">
        <v>132117</v>
      </c>
      <c r="O276" s="203">
        <f t="shared" si="35"/>
        <v>1680570.0899999999</v>
      </c>
    </row>
    <row r="277" spans="1:15" s="242" customFormat="1" ht="15.75" customHeight="1" x14ac:dyDescent="0.2">
      <c r="A277" s="228"/>
      <c r="B277" s="243" t="s">
        <v>983</v>
      </c>
      <c r="C277" s="203">
        <v>28980</v>
      </c>
      <c r="D277" s="203">
        <v>14670</v>
      </c>
      <c r="E277" s="203">
        <v>77160</v>
      </c>
      <c r="F277" s="203">
        <v>69420</v>
      </c>
      <c r="G277" s="203">
        <v>60310</v>
      </c>
      <c r="H277" s="203">
        <v>84450</v>
      </c>
      <c r="I277" s="203">
        <v>39760</v>
      </c>
      <c r="J277" s="203">
        <v>90910</v>
      </c>
      <c r="K277" s="203">
        <v>34670</v>
      </c>
      <c r="L277" s="203">
        <v>35605</v>
      </c>
      <c r="M277" s="203">
        <v>54543.76</v>
      </c>
      <c r="N277" s="203">
        <v>34000</v>
      </c>
      <c r="O277" s="203">
        <f t="shared" si="35"/>
        <v>624478.76</v>
      </c>
    </row>
    <row r="278" spans="1:15" s="242" customFormat="1" ht="15.75" customHeight="1" x14ac:dyDescent="0.2">
      <c r="A278" s="228"/>
      <c r="B278" s="243" t="s">
        <v>978</v>
      </c>
      <c r="C278" s="203">
        <v>1661870</v>
      </c>
      <c r="D278" s="203">
        <v>871180</v>
      </c>
      <c r="E278" s="203">
        <v>2546956.7999999998</v>
      </c>
      <c r="F278" s="203">
        <v>846749.5</v>
      </c>
      <c r="G278" s="203">
        <v>608884.57999999996</v>
      </c>
      <c r="H278" s="203">
        <v>1251178</v>
      </c>
      <c r="I278" s="203">
        <v>880010</v>
      </c>
      <c r="J278" s="203">
        <v>4685572.9400000004</v>
      </c>
      <c r="K278" s="203">
        <v>476060</v>
      </c>
      <c r="L278" s="203">
        <v>799790.66</v>
      </c>
      <c r="M278" s="203">
        <v>1410990.1</v>
      </c>
      <c r="N278" s="203">
        <v>2239716.52</v>
      </c>
      <c r="O278" s="203">
        <f t="shared" si="35"/>
        <v>18278959.100000001</v>
      </c>
    </row>
    <row r="279" spans="1:15" s="242" customFormat="1" ht="15.75" customHeight="1" x14ac:dyDescent="0.2">
      <c r="A279" s="228"/>
      <c r="B279" s="243" t="s">
        <v>979</v>
      </c>
      <c r="C279" s="203">
        <v>486540</v>
      </c>
      <c r="D279" s="203">
        <v>494632.55</v>
      </c>
      <c r="E279" s="203">
        <v>301911.71999999997</v>
      </c>
      <c r="F279" s="203">
        <v>95600</v>
      </c>
      <c r="G279" s="203">
        <v>521830</v>
      </c>
      <c r="H279" s="203">
        <v>456831.94</v>
      </c>
      <c r="I279" s="203">
        <v>405605</v>
      </c>
      <c r="J279" s="203">
        <v>49900</v>
      </c>
      <c r="K279" s="203">
        <v>259410</v>
      </c>
      <c r="L279" s="203">
        <v>452781.21</v>
      </c>
      <c r="M279" s="203">
        <v>2688916.37</v>
      </c>
      <c r="N279" s="203">
        <v>1574230.54</v>
      </c>
      <c r="O279" s="203">
        <f t="shared" si="35"/>
        <v>7788189.3300000001</v>
      </c>
    </row>
    <row r="280" spans="1:15" s="242" customFormat="1" ht="15.75" customHeight="1" x14ac:dyDescent="0.2">
      <c r="A280" s="228"/>
      <c r="B280" s="243" t="s">
        <v>980</v>
      </c>
      <c r="C280" s="203">
        <v>72669.350000000006</v>
      </c>
      <c r="D280" s="203">
        <v>141710</v>
      </c>
      <c r="E280" s="203">
        <v>180365.6</v>
      </c>
      <c r="F280" s="203">
        <v>217290</v>
      </c>
      <c r="G280" s="203">
        <v>3840</v>
      </c>
      <c r="H280" s="203">
        <v>16370</v>
      </c>
      <c r="I280" s="203">
        <v>77210</v>
      </c>
      <c r="J280" s="203">
        <v>6319751.8799999999</v>
      </c>
      <c r="K280" s="203">
        <v>76550</v>
      </c>
      <c r="L280" s="203">
        <v>78110</v>
      </c>
      <c r="M280" s="203">
        <v>64315.6</v>
      </c>
      <c r="N280" s="203">
        <v>60480</v>
      </c>
      <c r="O280" s="203">
        <f t="shared" si="35"/>
        <v>7308662.4299999997</v>
      </c>
    </row>
    <row r="281" spans="1:15" s="242" customFormat="1" ht="15.75" customHeight="1" x14ac:dyDescent="0.2">
      <c r="A281" s="228"/>
      <c r="B281" s="243" t="s">
        <v>981</v>
      </c>
      <c r="C281" s="203">
        <v>42110</v>
      </c>
      <c r="D281" s="203">
        <v>6600</v>
      </c>
      <c r="E281" s="203">
        <v>176598.75</v>
      </c>
      <c r="F281" s="203">
        <v>15680</v>
      </c>
      <c r="G281" s="203">
        <v>121418.87</v>
      </c>
      <c r="H281" s="203">
        <v>193903.7</v>
      </c>
      <c r="I281" s="203">
        <v>89209.24</v>
      </c>
      <c r="J281" s="203">
        <v>108000</v>
      </c>
      <c r="K281" s="203">
        <v>38380</v>
      </c>
      <c r="L281" s="203">
        <v>148840.95000000001</v>
      </c>
      <c r="M281" s="203">
        <v>52577.9</v>
      </c>
      <c r="N281" s="203">
        <v>23620</v>
      </c>
      <c r="O281" s="203">
        <f t="shared" si="35"/>
        <v>1016939.41</v>
      </c>
    </row>
    <row r="282" spans="1:15" s="242" customFormat="1" ht="15.75" customHeight="1" x14ac:dyDescent="0.2">
      <c r="A282" s="228"/>
      <c r="B282" s="243" t="s">
        <v>984</v>
      </c>
      <c r="C282" s="203">
        <v>153592.18</v>
      </c>
      <c r="D282" s="203">
        <v>532564.47</v>
      </c>
      <c r="E282" s="203">
        <v>1082506.0900000001</v>
      </c>
      <c r="F282" s="203">
        <v>407241.99</v>
      </c>
      <c r="G282" s="203">
        <v>720063.47</v>
      </c>
      <c r="H282" s="203">
        <v>586679.06000000006</v>
      </c>
      <c r="I282" s="203">
        <v>223647.97</v>
      </c>
      <c r="J282" s="203">
        <v>71910</v>
      </c>
      <c r="K282" s="203">
        <v>97745.33</v>
      </c>
      <c r="L282" s="203">
        <v>98006.07</v>
      </c>
      <c r="M282" s="203">
        <v>2183190</v>
      </c>
      <c r="N282" s="203">
        <v>1372670</v>
      </c>
      <c r="O282" s="203">
        <f t="shared" si="35"/>
        <v>7529816.6300000008</v>
      </c>
    </row>
    <row r="283" spans="1:15" s="242" customFormat="1" ht="15.75" customHeight="1" x14ac:dyDescent="0.2">
      <c r="A283" s="228"/>
      <c r="B283" s="243" t="s">
        <v>985</v>
      </c>
      <c r="C283" s="206">
        <v>34080</v>
      </c>
      <c r="D283" s="206">
        <v>273640</v>
      </c>
      <c r="E283" s="206">
        <v>760100</v>
      </c>
      <c r="F283" s="206">
        <v>516610</v>
      </c>
      <c r="G283" s="206">
        <v>420810</v>
      </c>
      <c r="H283" s="206">
        <v>609149.85</v>
      </c>
      <c r="I283" s="206">
        <v>202280</v>
      </c>
      <c r="J283" s="206">
        <v>323550</v>
      </c>
      <c r="K283" s="206">
        <v>226650</v>
      </c>
      <c r="L283" s="206">
        <v>58967.45</v>
      </c>
      <c r="M283" s="203">
        <v>768570</v>
      </c>
      <c r="N283" s="203">
        <v>3564423.97</v>
      </c>
      <c r="O283" s="203">
        <f t="shared" si="35"/>
        <v>7758831.2700000014</v>
      </c>
    </row>
    <row r="284" spans="1:15" s="242" customFormat="1" ht="15.75" customHeight="1" x14ac:dyDescent="0.2">
      <c r="A284" s="228"/>
      <c r="B284" s="243" t="s">
        <v>986</v>
      </c>
      <c r="C284" s="203">
        <v>17420</v>
      </c>
      <c r="D284" s="203">
        <v>316370</v>
      </c>
      <c r="E284" s="203">
        <v>229990</v>
      </c>
      <c r="F284" s="203">
        <v>13820</v>
      </c>
      <c r="G284" s="203">
        <v>26110</v>
      </c>
      <c r="H284" s="203">
        <v>52930</v>
      </c>
      <c r="I284" s="203">
        <v>93526.8</v>
      </c>
      <c r="J284" s="203">
        <v>3924905.63</v>
      </c>
      <c r="K284" s="203">
        <v>500079.06</v>
      </c>
      <c r="L284" s="203">
        <v>49090</v>
      </c>
      <c r="M284" s="203">
        <v>901870</v>
      </c>
      <c r="N284" s="203">
        <v>1323972.49</v>
      </c>
      <c r="O284" s="203">
        <f t="shared" si="35"/>
        <v>7450083.9799999995</v>
      </c>
    </row>
    <row r="285" spans="1:15" s="242" customFormat="1" ht="15.75" customHeight="1" x14ac:dyDescent="0.2">
      <c r="A285" s="228"/>
      <c r="B285" s="243" t="s">
        <v>987</v>
      </c>
      <c r="C285" s="203">
        <v>489630</v>
      </c>
      <c r="D285" s="203">
        <v>68620</v>
      </c>
      <c r="E285" s="203">
        <v>1131000</v>
      </c>
      <c r="F285" s="203">
        <v>1007000</v>
      </c>
      <c r="G285" s="203">
        <v>543080</v>
      </c>
      <c r="H285" s="203">
        <v>125590</v>
      </c>
      <c r="I285" s="203">
        <v>197310</v>
      </c>
      <c r="J285" s="203">
        <v>253170</v>
      </c>
      <c r="K285" s="203">
        <v>189960</v>
      </c>
      <c r="L285" s="203">
        <v>427290</v>
      </c>
      <c r="M285" s="203">
        <v>896550</v>
      </c>
      <c r="N285" s="203">
        <v>1868310</v>
      </c>
      <c r="O285" s="203">
        <f t="shared" si="35"/>
        <v>7197510</v>
      </c>
    </row>
    <row r="286" spans="1:15" s="242" customFormat="1" ht="15.75" hidden="1" customHeight="1" x14ac:dyDescent="0.2">
      <c r="A286" s="228"/>
      <c r="B286" s="243" t="s">
        <v>1078</v>
      </c>
      <c r="C286" s="203"/>
      <c r="D286" s="203"/>
      <c r="E286" s="203"/>
      <c r="F286" s="203"/>
      <c r="G286" s="203"/>
      <c r="H286" s="203"/>
      <c r="I286" s="203"/>
      <c r="J286" s="203"/>
      <c r="K286" s="203"/>
      <c r="L286" s="203"/>
      <c r="M286" s="203"/>
      <c r="N286" s="203"/>
      <c r="O286" s="203">
        <f t="shared" si="35"/>
        <v>0</v>
      </c>
    </row>
    <row r="287" spans="1:15" s="242" customFormat="1" ht="15.75" hidden="1" customHeight="1" x14ac:dyDescent="0.2">
      <c r="A287" s="228"/>
      <c r="B287" s="243" t="s">
        <v>988</v>
      </c>
      <c r="C287" s="203"/>
      <c r="D287" s="203"/>
      <c r="E287" s="203"/>
      <c r="F287" s="203"/>
      <c r="G287" s="203"/>
      <c r="H287" s="203"/>
      <c r="I287" s="203"/>
      <c r="J287" s="203"/>
      <c r="K287" s="203"/>
      <c r="L287" s="203"/>
      <c r="M287" s="203"/>
      <c r="N287" s="203"/>
      <c r="O287" s="203">
        <f t="shared" si="35"/>
        <v>0</v>
      </c>
    </row>
    <row r="288" spans="1:15" s="242" customFormat="1" ht="15.75" customHeight="1" x14ac:dyDescent="0.2">
      <c r="A288" s="228"/>
      <c r="B288" s="243" t="s">
        <v>989</v>
      </c>
      <c r="C288" s="203"/>
      <c r="D288" s="203"/>
      <c r="E288" s="203"/>
      <c r="F288" s="203"/>
      <c r="G288" s="203"/>
      <c r="H288" s="203">
        <v>3280545.13</v>
      </c>
      <c r="I288" s="203"/>
      <c r="J288" s="203"/>
      <c r="K288" s="203">
        <v>4766714.7</v>
      </c>
      <c r="L288" s="203"/>
      <c r="M288" s="203"/>
      <c r="N288" s="203"/>
      <c r="O288" s="203">
        <f t="shared" si="35"/>
        <v>8047259.8300000001</v>
      </c>
    </row>
    <row r="289" spans="1:15" s="242" customFormat="1" ht="15.75" customHeight="1" x14ac:dyDescent="0.2">
      <c r="A289" s="228"/>
      <c r="B289" s="243" t="s">
        <v>990</v>
      </c>
      <c r="C289" s="203">
        <f>29319</f>
        <v>29319</v>
      </c>
      <c r="D289" s="203">
        <f>24646+20000</f>
        <v>44646</v>
      </c>
      <c r="E289" s="203">
        <f>68556+395000</f>
        <v>463556</v>
      </c>
      <c r="F289" s="203">
        <f>121206+10000</f>
        <v>131206</v>
      </c>
      <c r="G289" s="203">
        <f>171602+627000</f>
        <v>798602</v>
      </c>
      <c r="H289" s="203">
        <v>281985</v>
      </c>
      <c r="I289" s="203">
        <v>219566</v>
      </c>
      <c r="J289" s="203">
        <f>333667+9000</f>
        <v>342667</v>
      </c>
      <c r="K289" s="203">
        <f>318875+35000</f>
        <v>353875</v>
      </c>
      <c r="L289" s="203">
        <f>80544+275000</f>
        <v>355544</v>
      </c>
      <c r="M289" s="203">
        <f>72140+570000</f>
        <v>642140</v>
      </c>
      <c r="N289" s="203">
        <f>175203+1300000</f>
        <v>1475203</v>
      </c>
      <c r="O289" s="203">
        <f t="shared" si="35"/>
        <v>5138309</v>
      </c>
    </row>
    <row r="290" spans="1:15" s="242" customFormat="1" ht="15.75" customHeight="1" x14ac:dyDescent="0.2">
      <c r="A290" s="228"/>
      <c r="B290" s="243" t="s">
        <v>991</v>
      </c>
      <c r="C290" s="203">
        <v>961960</v>
      </c>
      <c r="D290" s="203">
        <v>872664.16</v>
      </c>
      <c r="E290" s="203">
        <v>3128440</v>
      </c>
      <c r="F290" s="203">
        <v>3018850</v>
      </c>
      <c r="G290" s="203">
        <v>1684030</v>
      </c>
      <c r="H290" s="203">
        <v>1114110</v>
      </c>
      <c r="I290" s="203">
        <v>2951150</v>
      </c>
      <c r="J290" s="203">
        <v>2400630</v>
      </c>
      <c r="K290" s="202">
        <v>2054136</v>
      </c>
      <c r="L290" s="203">
        <v>2231790</v>
      </c>
      <c r="M290" s="203">
        <v>871060</v>
      </c>
      <c r="N290" s="203">
        <v>1255760</v>
      </c>
      <c r="O290" s="203">
        <f t="shared" si="35"/>
        <v>22544580.16</v>
      </c>
    </row>
    <row r="291" spans="1:15" s="242" customFormat="1" ht="15.75" customHeight="1" x14ac:dyDescent="0.2">
      <c r="A291" s="228"/>
      <c r="B291" s="243" t="s">
        <v>992</v>
      </c>
      <c r="C291" s="203"/>
      <c r="D291" s="203"/>
      <c r="E291" s="203"/>
      <c r="F291" s="203">
        <v>250320</v>
      </c>
      <c r="G291" s="203">
        <v>382020</v>
      </c>
      <c r="H291" s="203">
        <v>101.24</v>
      </c>
      <c r="I291" s="203"/>
      <c r="J291" s="203">
        <v>14030</v>
      </c>
      <c r="K291" s="203">
        <v>23827.040000000001</v>
      </c>
      <c r="L291" s="203">
        <v>95370</v>
      </c>
      <c r="M291" s="203"/>
      <c r="N291" s="203">
        <v>8280</v>
      </c>
      <c r="O291" s="203">
        <f t="shared" si="35"/>
        <v>773948.28</v>
      </c>
    </row>
    <row r="292" spans="1:15" s="242" customFormat="1" ht="15.75" customHeight="1" x14ac:dyDescent="0.2">
      <c r="A292" s="228"/>
      <c r="B292" s="243" t="s">
        <v>993</v>
      </c>
      <c r="C292" s="203">
        <v>58890</v>
      </c>
      <c r="D292" s="203">
        <v>205180.76</v>
      </c>
      <c r="E292" s="203">
        <v>341990.41</v>
      </c>
      <c r="F292" s="203">
        <v>391640</v>
      </c>
      <c r="G292" s="203">
        <v>384832.33</v>
      </c>
      <c r="H292" s="203">
        <v>63397.15</v>
      </c>
      <c r="I292" s="203">
        <v>284646.94</v>
      </c>
      <c r="J292" s="203">
        <v>78139.47</v>
      </c>
      <c r="K292" s="203">
        <v>177300</v>
      </c>
      <c r="L292" s="203">
        <v>231823.98</v>
      </c>
      <c r="M292" s="203">
        <v>108843</v>
      </c>
      <c r="N292" s="203">
        <v>79315.009999999995</v>
      </c>
      <c r="O292" s="203">
        <f t="shared" si="35"/>
        <v>2405999.0499999998</v>
      </c>
    </row>
    <row r="293" spans="1:15" s="242" customFormat="1" ht="15.75" customHeight="1" x14ac:dyDescent="0.2">
      <c r="A293" s="228"/>
      <c r="B293" s="243" t="s">
        <v>994</v>
      </c>
      <c r="C293" s="203">
        <v>39290</v>
      </c>
      <c r="D293" s="203">
        <v>222010</v>
      </c>
      <c r="E293" s="203">
        <v>352480</v>
      </c>
      <c r="F293" s="203">
        <v>382890</v>
      </c>
      <c r="G293" s="203">
        <v>109610</v>
      </c>
      <c r="H293" s="203">
        <v>255347.07</v>
      </c>
      <c r="I293" s="203">
        <v>71980</v>
      </c>
      <c r="J293" s="203">
        <v>106010</v>
      </c>
      <c r="K293" s="203">
        <v>311340</v>
      </c>
      <c r="L293" s="203">
        <v>325330</v>
      </c>
      <c r="M293" s="203">
        <v>142400</v>
      </c>
      <c r="N293" s="203">
        <v>17340</v>
      </c>
      <c r="O293" s="203">
        <f t="shared" si="35"/>
        <v>2336027.0700000003</v>
      </c>
    </row>
    <row r="294" spans="1:15" s="242" customFormat="1" ht="15.75" customHeight="1" x14ac:dyDescent="0.2">
      <c r="A294" s="228"/>
      <c r="B294" s="243" t="s">
        <v>995</v>
      </c>
      <c r="C294" s="203">
        <v>40270</v>
      </c>
      <c r="D294" s="203">
        <v>54260</v>
      </c>
      <c r="E294" s="203">
        <v>181710</v>
      </c>
      <c r="F294" s="203">
        <f>85710+138</f>
        <v>85848</v>
      </c>
      <c r="G294" s="203">
        <f>63930+15.6</f>
        <v>63945.599999999999</v>
      </c>
      <c r="H294" s="203">
        <f>47630+1313.79</f>
        <v>48943.79</v>
      </c>
      <c r="I294" s="203">
        <v>89440</v>
      </c>
      <c r="J294" s="203">
        <f>33210+242.69</f>
        <v>33452.69</v>
      </c>
      <c r="K294" s="203">
        <v>28080</v>
      </c>
      <c r="L294" s="203">
        <v>11700</v>
      </c>
      <c r="M294" s="203">
        <v>20880</v>
      </c>
      <c r="N294" s="203">
        <v>11880</v>
      </c>
      <c r="O294" s="203">
        <f t="shared" si="35"/>
        <v>670410.07999999984</v>
      </c>
    </row>
    <row r="295" spans="1:15" s="242" customFormat="1" ht="15.75" hidden="1" customHeight="1" x14ac:dyDescent="0.2">
      <c r="A295" s="228"/>
      <c r="B295" s="243" t="s">
        <v>1079</v>
      </c>
      <c r="C295" s="203"/>
      <c r="D295" s="203"/>
      <c r="E295" s="203"/>
      <c r="F295" s="203"/>
      <c r="G295" s="203"/>
      <c r="H295" s="203"/>
      <c r="I295" s="203"/>
      <c r="J295" s="203"/>
      <c r="K295" s="203"/>
      <c r="L295" s="203"/>
      <c r="M295" s="203"/>
      <c r="N295" s="203"/>
      <c r="O295" s="203">
        <f t="shared" si="35"/>
        <v>0</v>
      </c>
    </row>
    <row r="296" spans="1:15" s="242" customFormat="1" ht="15.75" hidden="1" customHeight="1" x14ac:dyDescent="0.2">
      <c r="A296" s="228"/>
      <c r="B296" s="243" t="s">
        <v>996</v>
      </c>
      <c r="C296" s="203"/>
      <c r="D296" s="203"/>
      <c r="E296" s="203"/>
      <c r="F296" s="203"/>
      <c r="G296" s="203"/>
      <c r="H296" s="203"/>
      <c r="I296" s="203"/>
      <c r="J296" s="203"/>
      <c r="K296" s="203"/>
      <c r="L296" s="203"/>
      <c r="M296" s="203"/>
      <c r="N296" s="203"/>
      <c r="O296" s="203">
        <f t="shared" si="35"/>
        <v>0</v>
      </c>
    </row>
    <row r="297" spans="1:15" s="242" customFormat="1" ht="15.75" customHeight="1" x14ac:dyDescent="0.2">
      <c r="A297" s="228"/>
      <c r="B297" s="243" t="s">
        <v>997</v>
      </c>
      <c r="C297" s="203">
        <v>361034.06</v>
      </c>
      <c r="D297" s="203">
        <v>186665.1</v>
      </c>
      <c r="E297" s="203">
        <v>235464.49</v>
      </c>
      <c r="F297" s="203">
        <v>251344.31</v>
      </c>
      <c r="G297" s="203">
        <v>204960</v>
      </c>
      <c r="H297" s="203">
        <v>222251.77</v>
      </c>
      <c r="I297" s="203">
        <v>180320</v>
      </c>
      <c r="J297" s="203">
        <v>195924.09</v>
      </c>
      <c r="K297" s="203">
        <v>1081780</v>
      </c>
      <c r="L297" s="203">
        <v>459353.25</v>
      </c>
      <c r="M297" s="203">
        <v>319722.21999999997</v>
      </c>
      <c r="N297" s="203">
        <v>353990</v>
      </c>
      <c r="O297" s="203">
        <f t="shared" si="35"/>
        <v>4052809.29</v>
      </c>
    </row>
    <row r="298" spans="1:15" s="242" customFormat="1" ht="15.75" customHeight="1" x14ac:dyDescent="0.2">
      <c r="A298" s="228"/>
      <c r="B298" s="243" t="s">
        <v>998</v>
      </c>
      <c r="C298" s="203">
        <f>93476.74</f>
        <v>93476.74</v>
      </c>
      <c r="D298" s="203">
        <f>54064.07</f>
        <v>54064.07</v>
      </c>
      <c r="E298" s="203">
        <f>997293.67</f>
        <v>997293.67</v>
      </c>
      <c r="F298" s="203">
        <f>22325</f>
        <v>22325</v>
      </c>
      <c r="G298" s="203">
        <f>16230</f>
        <v>16230</v>
      </c>
      <c r="H298" s="203">
        <f>45572.49</f>
        <v>45572.49</v>
      </c>
      <c r="I298" s="203">
        <f>77458</f>
        <v>77458</v>
      </c>
      <c r="J298" s="203">
        <f>13650</f>
        <v>13650</v>
      </c>
      <c r="K298" s="203">
        <f>94653.66</f>
        <v>94653.66</v>
      </c>
      <c r="L298" s="203">
        <f>7050</f>
        <v>7050</v>
      </c>
      <c r="M298" s="203">
        <f>9960</f>
        <v>9960</v>
      </c>
      <c r="N298" s="203">
        <f>327969.13</f>
        <v>327969.13</v>
      </c>
      <c r="O298" s="203">
        <f t="shared" si="35"/>
        <v>1759702.7599999998</v>
      </c>
    </row>
    <row r="299" spans="1:15" s="242" customFormat="1" ht="15.75" customHeight="1" x14ac:dyDescent="0.2">
      <c r="A299" s="228"/>
      <c r="B299" s="243" t="s">
        <v>999</v>
      </c>
      <c r="C299" s="203">
        <v>4500</v>
      </c>
      <c r="D299" s="203">
        <v>0</v>
      </c>
      <c r="E299" s="203">
        <v>12440</v>
      </c>
      <c r="F299" s="203">
        <v>7948.07</v>
      </c>
      <c r="G299" s="203">
        <v>0</v>
      </c>
      <c r="H299" s="203">
        <v>504218.4</v>
      </c>
      <c r="I299" s="203">
        <v>307720</v>
      </c>
      <c r="J299" s="203">
        <v>258900.79</v>
      </c>
      <c r="K299" s="203">
        <v>169430.15</v>
      </c>
      <c r="L299" s="203">
        <v>215789.38</v>
      </c>
      <c r="M299" s="203">
        <v>4409.6899999999996</v>
      </c>
      <c r="N299" s="203">
        <v>355280</v>
      </c>
      <c r="O299" s="202">
        <f t="shared" si="35"/>
        <v>1840636.48</v>
      </c>
    </row>
    <row r="300" spans="1:15" s="242" customFormat="1" ht="15.75" customHeight="1" x14ac:dyDescent="0.2">
      <c r="A300" s="228"/>
      <c r="B300" s="243" t="s">
        <v>1000</v>
      </c>
      <c r="C300" s="203">
        <v>81300</v>
      </c>
      <c r="D300" s="203">
        <v>67288.710000000006</v>
      </c>
      <c r="E300" s="203">
        <v>155350</v>
      </c>
      <c r="F300" s="203">
        <v>122440</v>
      </c>
      <c r="G300" s="203">
        <v>200620</v>
      </c>
      <c r="H300" s="203">
        <v>140279.43</v>
      </c>
      <c r="I300" s="203">
        <v>68920</v>
      </c>
      <c r="J300" s="203">
        <v>84000</v>
      </c>
      <c r="K300" s="203">
        <v>84530</v>
      </c>
      <c r="L300" s="203">
        <v>37010</v>
      </c>
      <c r="M300" s="203">
        <v>101270</v>
      </c>
      <c r="N300" s="202">
        <v>53360</v>
      </c>
      <c r="O300" s="203">
        <f t="shared" si="35"/>
        <v>1196368.1399999999</v>
      </c>
    </row>
    <row r="301" spans="1:15" s="242" customFormat="1" ht="15.75" customHeight="1" x14ac:dyDescent="0.2">
      <c r="A301" s="228"/>
      <c r="B301" s="243" t="s">
        <v>1001</v>
      </c>
      <c r="C301" s="203">
        <v>2003520</v>
      </c>
      <c r="D301" s="203">
        <v>18396098</v>
      </c>
      <c r="E301" s="203">
        <v>21342804</v>
      </c>
      <c r="F301" s="203">
        <v>621050</v>
      </c>
      <c r="G301" s="203">
        <v>13169182</v>
      </c>
      <c r="H301" s="203">
        <v>7608979</v>
      </c>
      <c r="I301" s="203">
        <v>4811164</v>
      </c>
      <c r="J301" s="203">
        <v>688424.68</v>
      </c>
      <c r="K301" s="203">
        <v>702842</v>
      </c>
      <c r="L301" s="203">
        <v>750908</v>
      </c>
      <c r="M301" s="203">
        <v>2676930.6</v>
      </c>
      <c r="N301" s="203">
        <v>685090.2</v>
      </c>
      <c r="O301" s="203">
        <f t="shared" si="35"/>
        <v>73456992.480000004</v>
      </c>
    </row>
    <row r="302" spans="1:15" s="242" customFormat="1" ht="15.75" customHeight="1" x14ac:dyDescent="0.2">
      <c r="A302" s="228"/>
      <c r="B302" s="243" t="s">
        <v>1002</v>
      </c>
      <c r="C302" s="203">
        <f>24240</f>
        <v>24240</v>
      </c>
      <c r="D302" s="203">
        <v>81570</v>
      </c>
      <c r="E302" s="203">
        <v>114750</v>
      </c>
      <c r="F302" s="203">
        <f>100730</f>
        <v>100730</v>
      </c>
      <c r="G302" s="203">
        <v>59250</v>
      </c>
      <c r="H302" s="203">
        <v>100640</v>
      </c>
      <c r="I302" s="203">
        <f>84758.29</f>
        <v>84758.29</v>
      </c>
      <c r="J302" s="203">
        <f>53010</f>
        <v>53010</v>
      </c>
      <c r="K302" s="203">
        <f>104270</f>
        <v>104270</v>
      </c>
      <c r="L302" s="203">
        <f>62580</f>
        <v>62580</v>
      </c>
      <c r="M302" s="203">
        <v>92910</v>
      </c>
      <c r="N302" s="203">
        <v>27870</v>
      </c>
      <c r="O302" s="203">
        <f t="shared" si="35"/>
        <v>906578.29</v>
      </c>
    </row>
    <row r="303" spans="1:15" s="242" customFormat="1" ht="15.75" customHeight="1" x14ac:dyDescent="0.2">
      <c r="A303" s="228"/>
      <c r="B303" s="243" t="s">
        <v>1003</v>
      </c>
      <c r="C303" s="203">
        <v>185220</v>
      </c>
      <c r="D303" s="203">
        <v>252280</v>
      </c>
      <c r="E303" s="203">
        <v>492020</v>
      </c>
      <c r="F303" s="203">
        <v>245060</v>
      </c>
      <c r="G303" s="203">
        <v>414450</v>
      </c>
      <c r="H303" s="203">
        <v>717220</v>
      </c>
      <c r="I303" s="203">
        <v>497860</v>
      </c>
      <c r="J303" s="203">
        <v>581314</v>
      </c>
      <c r="K303" s="203">
        <v>631520</v>
      </c>
      <c r="L303" s="203">
        <v>279913.93</v>
      </c>
      <c r="M303" s="203">
        <v>224520.43</v>
      </c>
      <c r="N303" s="203">
        <v>242720</v>
      </c>
      <c r="O303" s="203">
        <f t="shared" si="35"/>
        <v>4764098.3599999994</v>
      </c>
    </row>
    <row r="304" spans="1:15" s="242" customFormat="1" ht="15.75" customHeight="1" x14ac:dyDescent="0.2">
      <c r="A304" s="228"/>
      <c r="B304" s="243" t="s">
        <v>1004</v>
      </c>
      <c r="C304" s="203">
        <v>87570</v>
      </c>
      <c r="D304" s="203">
        <v>146610</v>
      </c>
      <c r="E304" s="203">
        <v>232590</v>
      </c>
      <c r="F304" s="203">
        <v>214208.94</v>
      </c>
      <c r="G304" s="203">
        <v>163260</v>
      </c>
      <c r="H304" s="203">
        <v>245830</v>
      </c>
      <c r="I304" s="203">
        <v>131590</v>
      </c>
      <c r="J304" s="203">
        <v>129320</v>
      </c>
      <c r="K304" s="203">
        <v>51390</v>
      </c>
      <c r="L304" s="203"/>
      <c r="M304" s="203"/>
      <c r="N304" s="203">
        <v>37440</v>
      </c>
      <c r="O304" s="203">
        <f t="shared" si="35"/>
        <v>1439808.94</v>
      </c>
    </row>
    <row r="305" spans="1:15" s="242" customFormat="1" ht="15.75" customHeight="1" x14ac:dyDescent="0.2">
      <c r="A305" s="228"/>
      <c r="B305" s="243" t="s">
        <v>1005</v>
      </c>
      <c r="C305" s="203">
        <f>36194.99+111301.5</f>
        <v>147496.49</v>
      </c>
      <c r="D305" s="203">
        <f>70870+1483120.25</f>
        <v>1553990.25</v>
      </c>
      <c r="E305" s="203">
        <f>255960+544786</f>
        <v>800746</v>
      </c>
      <c r="F305" s="203">
        <f>50615.93+1985604.75+457000</f>
        <v>2493220.6799999997</v>
      </c>
      <c r="G305" s="203">
        <v>78588.13</v>
      </c>
      <c r="H305" s="203">
        <f>95550+1200000</f>
        <v>1295550</v>
      </c>
      <c r="I305" s="203">
        <v>85621.84</v>
      </c>
      <c r="J305" s="203">
        <v>112036.46</v>
      </c>
      <c r="K305" s="203">
        <v>24404.86</v>
      </c>
      <c r="L305" s="203">
        <v>0</v>
      </c>
      <c r="M305" s="203">
        <v>46240.9</v>
      </c>
      <c r="N305" s="203"/>
      <c r="O305" s="203">
        <f t="shared" si="35"/>
        <v>6637895.6100000003</v>
      </c>
    </row>
    <row r="306" spans="1:15" s="242" customFormat="1" ht="15.75" hidden="1" customHeight="1" x14ac:dyDescent="0.2">
      <c r="A306" s="228"/>
      <c r="B306" s="243" t="s">
        <v>1080</v>
      </c>
      <c r="C306" s="203"/>
      <c r="D306" s="203"/>
      <c r="E306" s="203"/>
      <c r="F306" s="203"/>
      <c r="G306" s="203"/>
      <c r="H306" s="203"/>
      <c r="I306" s="203"/>
      <c r="J306" s="203"/>
      <c r="K306" s="203"/>
      <c r="L306" s="203"/>
      <c r="M306" s="203"/>
      <c r="N306" s="203"/>
      <c r="O306" s="203">
        <f t="shared" si="35"/>
        <v>0</v>
      </c>
    </row>
    <row r="307" spans="1:15" s="242" customFormat="1" ht="15.75" customHeight="1" x14ac:dyDescent="0.2">
      <c r="A307" s="228"/>
      <c r="B307" s="243" t="s">
        <v>1006</v>
      </c>
      <c r="C307" s="202">
        <v>297270.59999999998</v>
      </c>
      <c r="D307" s="202">
        <v>109648.3</v>
      </c>
      <c r="E307" s="202">
        <v>135677.96</v>
      </c>
      <c r="F307" s="202">
        <v>53801</v>
      </c>
      <c r="G307" s="202">
        <v>123245</v>
      </c>
      <c r="H307" s="202">
        <v>459759</v>
      </c>
      <c r="I307" s="202">
        <v>88308.87</v>
      </c>
      <c r="J307" s="202">
        <v>106205.8</v>
      </c>
      <c r="K307" s="202">
        <v>342584.5</v>
      </c>
      <c r="L307" s="202">
        <v>57426</v>
      </c>
      <c r="M307" s="202">
        <v>1490196.63</v>
      </c>
      <c r="N307" s="202">
        <v>116696.1</v>
      </c>
      <c r="O307" s="203">
        <f t="shared" si="35"/>
        <v>3380819.7600000002</v>
      </c>
    </row>
    <row r="308" spans="1:15" s="242" customFormat="1" ht="15.75" hidden="1" customHeight="1" x14ac:dyDescent="0.2">
      <c r="A308" s="228"/>
      <c r="B308" s="243" t="s">
        <v>1081</v>
      </c>
      <c r="C308" s="203"/>
      <c r="D308" s="203"/>
      <c r="E308" s="203"/>
      <c r="F308" s="203"/>
      <c r="G308" s="203"/>
      <c r="H308" s="203"/>
      <c r="I308" s="203"/>
      <c r="J308" s="203"/>
      <c r="K308" s="203"/>
      <c r="L308" s="203"/>
      <c r="M308" s="203"/>
      <c r="N308" s="203"/>
      <c r="O308" s="203">
        <f t="shared" si="35"/>
        <v>0</v>
      </c>
    </row>
    <row r="309" spans="1:15" s="242" customFormat="1" ht="15.75" customHeight="1" x14ac:dyDescent="0.2">
      <c r="A309" s="228"/>
      <c r="B309" s="243" t="s">
        <v>1007</v>
      </c>
      <c r="C309" s="203">
        <v>0</v>
      </c>
      <c r="D309" s="203">
        <v>10230</v>
      </c>
      <c r="E309" s="203">
        <v>135760</v>
      </c>
      <c r="F309" s="203">
        <v>25920</v>
      </c>
      <c r="G309" s="203">
        <v>278430</v>
      </c>
      <c r="H309" s="203">
        <v>413845.02</v>
      </c>
      <c r="I309" s="203">
        <v>62570</v>
      </c>
      <c r="J309" s="203">
        <v>152521.69</v>
      </c>
      <c r="K309" s="203">
        <v>56620</v>
      </c>
      <c r="L309" s="203">
        <v>47980</v>
      </c>
      <c r="M309" s="203">
        <v>25710</v>
      </c>
      <c r="N309" s="203">
        <v>306770</v>
      </c>
      <c r="O309" s="203">
        <f t="shared" si="35"/>
        <v>1516356.71</v>
      </c>
    </row>
    <row r="310" spans="1:15" s="242" customFormat="1" ht="15.75" customHeight="1" x14ac:dyDescent="0.2">
      <c r="A310" s="228"/>
      <c r="B310" s="243" t="s">
        <v>1008</v>
      </c>
      <c r="C310" s="203">
        <v>619570</v>
      </c>
      <c r="D310" s="203">
        <v>7320999.79</v>
      </c>
      <c r="E310" s="203">
        <v>987720</v>
      </c>
      <c r="F310" s="203">
        <v>157210</v>
      </c>
      <c r="G310" s="203">
        <v>253698.44</v>
      </c>
      <c r="H310" s="203">
        <v>117710</v>
      </c>
      <c r="I310" s="203">
        <v>347340</v>
      </c>
      <c r="J310" s="203">
        <v>164570</v>
      </c>
      <c r="K310" s="203">
        <v>201464.05</v>
      </c>
      <c r="L310" s="203">
        <v>112690</v>
      </c>
      <c r="M310" s="203">
        <v>527610.49</v>
      </c>
      <c r="N310" s="203">
        <v>370888</v>
      </c>
      <c r="O310" s="203">
        <f t="shared" si="35"/>
        <v>11181470.77</v>
      </c>
    </row>
    <row r="311" spans="1:15" s="242" customFormat="1" ht="15.75" hidden="1" customHeight="1" x14ac:dyDescent="0.2">
      <c r="A311" s="228"/>
      <c r="B311" s="243" t="s">
        <v>1082</v>
      </c>
      <c r="C311" s="203"/>
      <c r="D311" s="203"/>
      <c r="E311" s="203"/>
      <c r="F311" s="203"/>
      <c r="G311" s="203"/>
      <c r="H311" s="203"/>
      <c r="I311" s="203"/>
      <c r="J311" s="203"/>
      <c r="K311" s="203"/>
      <c r="L311" s="203"/>
      <c r="M311" s="203"/>
      <c r="N311" s="203"/>
      <c r="O311" s="203">
        <f t="shared" si="35"/>
        <v>0</v>
      </c>
    </row>
    <row r="312" spans="1:15" s="242" customFormat="1" ht="15.75" hidden="1" customHeight="1" x14ac:dyDescent="0.2">
      <c r="A312" s="228"/>
      <c r="B312" s="243" t="s">
        <v>1083</v>
      </c>
      <c r="C312" s="203"/>
      <c r="D312" s="203"/>
      <c r="E312" s="203"/>
      <c r="F312" s="203"/>
      <c r="G312" s="203"/>
      <c r="H312" s="203"/>
      <c r="I312" s="203"/>
      <c r="J312" s="203"/>
      <c r="K312" s="203"/>
      <c r="L312" s="203"/>
      <c r="M312" s="203"/>
      <c r="N312" s="203"/>
      <c r="O312" s="203">
        <f t="shared" si="35"/>
        <v>0</v>
      </c>
    </row>
    <row r="313" spans="1:15" s="242" customFormat="1" ht="15.75" customHeight="1" x14ac:dyDescent="0.2">
      <c r="A313" s="228"/>
      <c r="B313" s="243" t="s">
        <v>1009</v>
      </c>
      <c r="C313" s="203">
        <v>248184.74</v>
      </c>
      <c r="D313" s="203">
        <v>253459.91</v>
      </c>
      <c r="E313" s="203">
        <v>518910</v>
      </c>
      <c r="F313" s="203">
        <v>370495.22</v>
      </c>
      <c r="G313" s="203">
        <v>113110</v>
      </c>
      <c r="H313" s="203">
        <v>94710</v>
      </c>
      <c r="I313" s="203">
        <v>249900</v>
      </c>
      <c r="J313" s="203">
        <v>195530</v>
      </c>
      <c r="K313" s="203">
        <v>67800</v>
      </c>
      <c r="L313" s="203">
        <v>223270</v>
      </c>
      <c r="M313" s="203">
        <v>3059940</v>
      </c>
      <c r="N313" s="203">
        <v>1540260</v>
      </c>
      <c r="O313" s="203">
        <f t="shared" si="35"/>
        <v>6935569.8700000001</v>
      </c>
    </row>
    <row r="314" spans="1:15" s="242" customFormat="1" ht="15.75" hidden="1" customHeight="1" x14ac:dyDescent="0.2">
      <c r="A314" s="228"/>
      <c r="B314" s="243" t="s">
        <v>1084</v>
      </c>
      <c r="C314" s="203"/>
      <c r="D314" s="203"/>
      <c r="E314" s="203"/>
      <c r="F314" s="203"/>
      <c r="G314" s="203"/>
      <c r="H314" s="203"/>
      <c r="I314" s="203"/>
      <c r="J314" s="203"/>
      <c r="K314" s="203"/>
      <c r="L314" s="203"/>
      <c r="M314" s="203"/>
      <c r="N314" s="203"/>
      <c r="O314" s="203">
        <f t="shared" si="35"/>
        <v>0</v>
      </c>
    </row>
    <row r="315" spans="1:15" s="242" customFormat="1" ht="15.75" customHeight="1" x14ac:dyDescent="0.2">
      <c r="A315" s="228"/>
      <c r="B315" s="243" t="s">
        <v>1010</v>
      </c>
      <c r="C315" s="203">
        <v>88760</v>
      </c>
      <c r="D315" s="203">
        <v>86490</v>
      </c>
      <c r="E315" s="203">
        <v>992920</v>
      </c>
      <c r="F315" s="203">
        <v>762650</v>
      </c>
      <c r="G315" s="203">
        <v>419210</v>
      </c>
      <c r="H315" s="203">
        <v>598350</v>
      </c>
      <c r="I315" s="203">
        <v>449090</v>
      </c>
      <c r="J315" s="203">
        <v>296830</v>
      </c>
      <c r="K315" s="203">
        <v>356040</v>
      </c>
      <c r="L315" s="203">
        <v>106530</v>
      </c>
      <c r="M315" s="203">
        <v>42630</v>
      </c>
      <c r="N315" s="203">
        <v>56320</v>
      </c>
      <c r="O315" s="203">
        <f t="shared" si="35"/>
        <v>4255820</v>
      </c>
    </row>
    <row r="316" spans="1:15" s="242" customFormat="1" ht="15.75" customHeight="1" x14ac:dyDescent="0.2">
      <c r="A316" s="228"/>
      <c r="B316" s="243" t="s">
        <v>1011</v>
      </c>
      <c r="C316" s="203">
        <v>9240</v>
      </c>
      <c r="D316" s="203">
        <v>230498.67</v>
      </c>
      <c r="E316" s="203">
        <v>243245.89</v>
      </c>
      <c r="F316" s="203">
        <v>311610</v>
      </c>
      <c r="G316" s="203">
        <v>211490.75</v>
      </c>
      <c r="H316" s="203">
        <v>133703.04999999999</v>
      </c>
      <c r="I316" s="203">
        <v>28800</v>
      </c>
      <c r="J316" s="203">
        <v>44832.32</v>
      </c>
      <c r="K316" s="203">
        <v>26916.3</v>
      </c>
      <c r="L316" s="203">
        <v>8355.6200000000008</v>
      </c>
      <c r="M316" s="203">
        <v>12915.15</v>
      </c>
      <c r="N316" s="203">
        <v>0</v>
      </c>
      <c r="O316" s="203">
        <f t="shared" si="35"/>
        <v>1261607.7500000002</v>
      </c>
    </row>
    <row r="317" spans="1:15" s="242" customFormat="1" ht="15.75" hidden="1" customHeight="1" x14ac:dyDescent="0.2">
      <c r="A317" s="228"/>
      <c r="B317" s="243" t="s">
        <v>1012</v>
      </c>
      <c r="C317" s="203" t="s">
        <v>1113</v>
      </c>
      <c r="D317" s="203"/>
      <c r="E317" s="203"/>
      <c r="F317" s="203"/>
      <c r="G317" s="203"/>
      <c r="H317" s="203"/>
      <c r="I317" s="203"/>
      <c r="J317" s="203"/>
      <c r="K317" s="203"/>
      <c r="L317" s="203"/>
      <c r="M317" s="203"/>
      <c r="N317" s="203"/>
      <c r="O317" s="203">
        <f t="shared" si="35"/>
        <v>0</v>
      </c>
    </row>
    <row r="318" spans="1:15" s="242" customFormat="1" ht="15.75" customHeight="1" x14ac:dyDescent="0.2">
      <c r="A318" s="228"/>
      <c r="B318" s="243" t="s">
        <v>1013</v>
      </c>
      <c r="C318" s="203">
        <v>1475775.46</v>
      </c>
      <c r="D318" s="203">
        <v>5813244.4400000004</v>
      </c>
      <c r="E318" s="203">
        <v>13704869.949999999</v>
      </c>
      <c r="F318" s="203">
        <v>4386080</v>
      </c>
      <c r="G318" s="203">
        <v>1748934.93</v>
      </c>
      <c r="H318" s="203">
        <v>485550.91</v>
      </c>
      <c r="I318" s="203">
        <v>566482.01</v>
      </c>
      <c r="J318" s="203">
        <v>523574.59</v>
      </c>
      <c r="K318" s="203">
        <v>76558.259999999995</v>
      </c>
      <c r="L318" s="203">
        <v>188797.34</v>
      </c>
      <c r="M318" s="203">
        <v>274339</v>
      </c>
      <c r="N318" s="203">
        <v>4015907.46</v>
      </c>
      <c r="O318" s="203">
        <f t="shared" si="35"/>
        <v>33260114.350000005</v>
      </c>
    </row>
    <row r="319" spans="1:15" s="242" customFormat="1" ht="15.75" customHeight="1" x14ac:dyDescent="0.2">
      <c r="A319" s="228"/>
      <c r="B319" s="243" t="s">
        <v>1014</v>
      </c>
      <c r="C319" s="203">
        <v>107550</v>
      </c>
      <c r="D319" s="203">
        <v>51710</v>
      </c>
      <c r="E319" s="203">
        <f>253970+2597.03</f>
        <v>256567.03</v>
      </c>
      <c r="F319" s="203">
        <f>448940+9833.4</f>
        <v>458773.4</v>
      </c>
      <c r="G319" s="203">
        <f>335490+6288.49</f>
        <v>341778.49</v>
      </c>
      <c r="H319" s="203">
        <f>252650+301410.69</f>
        <v>554060.68999999994</v>
      </c>
      <c r="I319" s="203">
        <f>310020</f>
        <v>310020</v>
      </c>
      <c r="J319" s="203">
        <f>275680+3751.78</f>
        <v>279431.78000000003</v>
      </c>
      <c r="K319" s="203">
        <f>320220+10655.96</f>
        <v>330875.96000000002</v>
      </c>
      <c r="L319" s="203">
        <f>328180+2246.92</f>
        <v>330426.92</v>
      </c>
      <c r="M319" s="203">
        <f>28990+4569.06</f>
        <v>33559.06</v>
      </c>
      <c r="N319" s="203">
        <f>93030+157965.27</f>
        <v>250995.27</v>
      </c>
      <c r="O319" s="203">
        <f t="shared" si="35"/>
        <v>3305748.5999999996</v>
      </c>
    </row>
    <row r="320" spans="1:15" s="242" customFormat="1" ht="15.75" customHeight="1" x14ac:dyDescent="0.2">
      <c r="A320" s="228"/>
      <c r="B320" s="243" t="s">
        <v>1015</v>
      </c>
      <c r="C320" s="203">
        <v>104980</v>
      </c>
      <c r="D320" s="203">
        <v>128126.26</v>
      </c>
      <c r="E320" s="203">
        <v>306350.21999999997</v>
      </c>
      <c r="F320" s="203">
        <v>231566.5</v>
      </c>
      <c r="G320" s="203">
        <v>160460</v>
      </c>
      <c r="H320" s="203">
        <v>410790</v>
      </c>
      <c r="I320" s="203">
        <v>286990</v>
      </c>
      <c r="J320" s="203">
        <v>208084.96</v>
      </c>
      <c r="K320" s="203">
        <v>254070</v>
      </c>
      <c r="L320" s="203">
        <v>197340</v>
      </c>
      <c r="M320" s="203">
        <v>86690.04</v>
      </c>
      <c r="N320" s="203">
        <v>352210</v>
      </c>
      <c r="O320" s="203">
        <f t="shared" si="35"/>
        <v>2727657.98</v>
      </c>
    </row>
    <row r="321" spans="1:15" s="242" customFormat="1" ht="15.75" hidden="1" customHeight="1" x14ac:dyDescent="0.2">
      <c r="A321" s="228"/>
      <c r="B321" s="243" t="s">
        <v>1085</v>
      </c>
      <c r="C321" s="203" t="s">
        <v>1114</v>
      </c>
      <c r="D321" s="203"/>
      <c r="E321" s="203"/>
      <c r="F321" s="203"/>
      <c r="G321" s="203"/>
      <c r="H321" s="203"/>
      <c r="I321" s="203"/>
      <c r="J321" s="203"/>
      <c r="K321" s="203"/>
      <c r="L321" s="203"/>
      <c r="M321" s="203"/>
      <c r="N321" s="203"/>
      <c r="O321" s="203">
        <f t="shared" si="35"/>
        <v>0</v>
      </c>
    </row>
    <row r="322" spans="1:15" s="242" customFormat="1" ht="15.75" hidden="1" customHeight="1" x14ac:dyDescent="0.2">
      <c r="A322" s="228"/>
      <c r="B322" s="243" t="s">
        <v>1086</v>
      </c>
      <c r="C322" s="203"/>
      <c r="D322" s="203"/>
      <c r="E322" s="203"/>
      <c r="F322" s="203"/>
      <c r="G322" s="203"/>
      <c r="H322" s="203"/>
      <c r="I322" s="203"/>
      <c r="J322" s="203"/>
      <c r="K322" s="203"/>
      <c r="L322" s="203"/>
      <c r="M322" s="203"/>
      <c r="N322" s="203"/>
      <c r="O322" s="203">
        <f t="shared" si="35"/>
        <v>0</v>
      </c>
    </row>
    <row r="323" spans="1:15" s="242" customFormat="1" ht="15.75" hidden="1" customHeight="1" x14ac:dyDescent="0.2">
      <c r="A323" s="228"/>
      <c r="B323" s="243" t="s">
        <v>1087</v>
      </c>
      <c r="C323" s="203"/>
      <c r="D323" s="203"/>
      <c r="E323" s="203"/>
      <c r="F323" s="203"/>
      <c r="G323" s="203"/>
      <c r="H323" s="203"/>
      <c r="I323" s="203"/>
      <c r="J323" s="203"/>
      <c r="K323" s="203"/>
      <c r="L323" s="203"/>
      <c r="M323" s="203"/>
      <c r="N323" s="203"/>
      <c r="O323" s="203">
        <f t="shared" si="35"/>
        <v>0</v>
      </c>
    </row>
    <row r="324" spans="1:15" s="242" customFormat="1" ht="15.75" hidden="1" customHeight="1" x14ac:dyDescent="0.2">
      <c r="A324" s="228"/>
      <c r="B324" s="243" t="s">
        <v>1088</v>
      </c>
      <c r="C324" s="203"/>
      <c r="D324" s="203"/>
      <c r="E324" s="203"/>
      <c r="F324" s="203"/>
      <c r="G324" s="203"/>
      <c r="H324" s="203"/>
      <c r="I324" s="203"/>
      <c r="J324" s="203"/>
      <c r="K324" s="203"/>
      <c r="L324" s="203"/>
      <c r="M324" s="203"/>
      <c r="N324" s="203"/>
      <c r="O324" s="203">
        <f t="shared" si="35"/>
        <v>0</v>
      </c>
    </row>
    <row r="325" spans="1:15" s="242" customFormat="1" ht="15.75" hidden="1" customHeight="1" x14ac:dyDescent="0.2">
      <c r="A325" s="228"/>
      <c r="B325" s="243" t="s">
        <v>1089</v>
      </c>
      <c r="C325" s="203"/>
      <c r="D325" s="203"/>
      <c r="E325" s="203"/>
      <c r="F325" s="203"/>
      <c r="G325" s="203"/>
      <c r="H325" s="203"/>
      <c r="I325" s="203"/>
      <c r="J325" s="203"/>
      <c r="K325" s="203"/>
      <c r="L325" s="203"/>
      <c r="M325" s="203"/>
      <c r="N325" s="203"/>
      <c r="O325" s="203">
        <f t="shared" si="35"/>
        <v>0</v>
      </c>
    </row>
    <row r="326" spans="1:15" s="242" customFormat="1" ht="15.75" customHeight="1" x14ac:dyDescent="0.2">
      <c r="A326" s="228"/>
      <c r="B326" s="243" t="s">
        <v>1016</v>
      </c>
      <c r="C326" s="203">
        <v>671105</v>
      </c>
      <c r="D326" s="203">
        <v>237365</v>
      </c>
      <c r="E326" s="203">
        <v>1421360</v>
      </c>
      <c r="F326" s="203">
        <f>856360+241275.44</f>
        <v>1097635.44</v>
      </c>
      <c r="G326" s="203">
        <v>948000</v>
      </c>
      <c r="H326" s="203">
        <v>1020940</v>
      </c>
      <c r="I326" s="203">
        <v>1098118</v>
      </c>
      <c r="J326" s="203">
        <v>706430</v>
      </c>
      <c r="K326" s="203">
        <v>1055652</v>
      </c>
      <c r="L326" s="203">
        <v>918600</v>
      </c>
      <c r="M326" s="203">
        <v>129560</v>
      </c>
      <c r="N326" s="203">
        <f>1121312+11700</f>
        <v>1133012</v>
      </c>
      <c r="O326" s="203">
        <f t="shared" si="35"/>
        <v>10437777.439999999</v>
      </c>
    </row>
    <row r="327" spans="1:15" s="242" customFormat="1" ht="15.75" hidden="1" customHeight="1" x14ac:dyDescent="0.2">
      <c r="A327" s="228"/>
      <c r="B327" s="243" t="s">
        <v>1090</v>
      </c>
      <c r="C327" s="203"/>
      <c r="D327" s="203"/>
      <c r="E327" s="203"/>
      <c r="F327" s="203"/>
      <c r="G327" s="203"/>
      <c r="H327" s="203"/>
      <c r="I327" s="203"/>
      <c r="J327" s="203"/>
      <c r="K327" s="203"/>
      <c r="L327" s="203"/>
      <c r="M327" s="203"/>
      <c r="N327" s="203"/>
      <c r="O327" s="203">
        <f t="shared" si="35"/>
        <v>0</v>
      </c>
    </row>
    <row r="328" spans="1:15" s="242" customFormat="1" ht="15.75" customHeight="1" x14ac:dyDescent="0.2">
      <c r="A328" s="228"/>
      <c r="B328" s="243" t="s">
        <v>1017</v>
      </c>
      <c r="C328" s="203">
        <v>235800</v>
      </c>
      <c r="D328" s="203">
        <v>109240</v>
      </c>
      <c r="E328" s="203">
        <v>232590</v>
      </c>
      <c r="F328" s="203">
        <v>359680</v>
      </c>
      <c r="G328" s="203">
        <v>228460</v>
      </c>
      <c r="H328" s="203">
        <v>584870</v>
      </c>
      <c r="I328" s="203">
        <v>368220</v>
      </c>
      <c r="J328" s="203">
        <v>317990</v>
      </c>
      <c r="K328" s="203">
        <v>266280</v>
      </c>
      <c r="L328" s="203">
        <v>337840</v>
      </c>
      <c r="M328" s="203">
        <v>222470</v>
      </c>
      <c r="N328" s="203">
        <v>265030</v>
      </c>
      <c r="O328" s="203">
        <f t="shared" si="35"/>
        <v>3528470</v>
      </c>
    </row>
    <row r="329" spans="1:15" s="242" customFormat="1" ht="15.75" hidden="1" customHeight="1" x14ac:dyDescent="0.2">
      <c r="A329" s="228"/>
      <c r="B329" s="243" t="s">
        <v>1091</v>
      </c>
      <c r="C329" s="203"/>
      <c r="D329" s="203"/>
      <c r="E329" s="203"/>
      <c r="F329" s="203"/>
      <c r="G329" s="203"/>
      <c r="H329" s="203"/>
      <c r="I329" s="203"/>
      <c r="J329" s="203"/>
      <c r="K329" s="203"/>
      <c r="L329" s="203"/>
      <c r="M329" s="203"/>
      <c r="N329" s="203"/>
      <c r="O329" s="203">
        <f t="shared" si="35"/>
        <v>0</v>
      </c>
    </row>
    <row r="330" spans="1:15" s="242" customFormat="1" ht="15.75" customHeight="1" x14ac:dyDescent="0.2">
      <c r="A330" s="228"/>
      <c r="B330" s="243" t="s">
        <v>1018</v>
      </c>
      <c r="C330" s="203">
        <v>169.06</v>
      </c>
      <c r="D330" s="203">
        <v>7230</v>
      </c>
      <c r="E330" s="203">
        <v>168657.5</v>
      </c>
      <c r="F330" s="203">
        <v>59650.94</v>
      </c>
      <c r="G330" s="203">
        <v>127980</v>
      </c>
      <c r="H330" s="203">
        <v>114100</v>
      </c>
      <c r="I330" s="203">
        <v>94615.4</v>
      </c>
      <c r="J330" s="203">
        <v>119830</v>
      </c>
      <c r="K330" s="203">
        <v>387797.31</v>
      </c>
      <c r="L330" s="203">
        <v>87480</v>
      </c>
      <c r="M330" s="203">
        <v>83100</v>
      </c>
      <c r="N330" s="203">
        <v>79980</v>
      </c>
      <c r="O330" s="203">
        <f t="shared" si="35"/>
        <v>1330590.21</v>
      </c>
    </row>
    <row r="331" spans="1:15" s="242" customFormat="1" ht="15.75" customHeight="1" x14ac:dyDescent="0.2">
      <c r="A331" s="228"/>
      <c r="B331" s="243" t="s">
        <v>1019</v>
      </c>
      <c r="C331" s="202">
        <v>82486.399999999994</v>
      </c>
      <c r="D331" s="202">
        <v>621500</v>
      </c>
      <c r="E331" s="202">
        <v>906319.2</v>
      </c>
      <c r="F331" s="202">
        <v>284600</v>
      </c>
      <c r="G331" s="202">
        <v>64700</v>
      </c>
      <c r="H331" s="202">
        <v>10900</v>
      </c>
      <c r="I331" s="202">
        <v>140637.5</v>
      </c>
      <c r="J331" s="202">
        <v>174284.76</v>
      </c>
      <c r="K331" s="202">
        <v>450582.48</v>
      </c>
      <c r="L331" s="202">
        <v>720053.87</v>
      </c>
      <c r="M331" s="202">
        <v>723871</v>
      </c>
      <c r="N331" s="202">
        <v>1612964.06</v>
      </c>
      <c r="O331" s="203">
        <f t="shared" ref="O331:O345" si="36">SUM(C331:N331)</f>
        <v>5792899.2700000005</v>
      </c>
    </row>
    <row r="332" spans="1:15" s="242" customFormat="1" ht="15.75" customHeight="1" x14ac:dyDescent="0.2">
      <c r="A332" s="228"/>
      <c r="B332" s="243" t="s">
        <v>1020</v>
      </c>
      <c r="C332" s="203">
        <v>32728.23</v>
      </c>
      <c r="D332" s="203">
        <v>35568.519999999997</v>
      </c>
      <c r="E332" s="206">
        <v>172658.23</v>
      </c>
      <c r="F332" s="206">
        <v>120617.66</v>
      </c>
      <c r="G332" s="206">
        <v>111312.5</v>
      </c>
      <c r="H332" s="206">
        <v>135700</v>
      </c>
      <c r="I332" s="206">
        <v>96099.67</v>
      </c>
      <c r="J332" s="206">
        <v>39840</v>
      </c>
      <c r="K332" s="206">
        <v>108692</v>
      </c>
      <c r="L332" s="206">
        <v>84681.65</v>
      </c>
      <c r="M332" s="203">
        <v>10960</v>
      </c>
      <c r="N332" s="203">
        <v>9094426.25</v>
      </c>
      <c r="O332" s="203">
        <f t="shared" si="36"/>
        <v>10043284.710000001</v>
      </c>
    </row>
    <row r="333" spans="1:15" s="242" customFormat="1" ht="15.75" customHeight="1" x14ac:dyDescent="0.2">
      <c r="A333" s="228"/>
      <c r="B333" s="243" t="s">
        <v>1021</v>
      </c>
      <c r="C333" s="202">
        <v>289646.07</v>
      </c>
      <c r="D333" s="202">
        <v>144928.07999999999</v>
      </c>
      <c r="E333" s="203">
        <v>303339.08</v>
      </c>
      <c r="F333" s="203">
        <v>403715.22</v>
      </c>
      <c r="G333" s="203">
        <v>307964.84000000003</v>
      </c>
      <c r="H333" s="203">
        <v>137450</v>
      </c>
      <c r="I333" s="203">
        <v>554831.35999999999</v>
      </c>
      <c r="J333" s="203">
        <v>229346</v>
      </c>
      <c r="K333" s="203">
        <v>131577.67000000001</v>
      </c>
      <c r="L333" s="203">
        <v>433847.78</v>
      </c>
      <c r="M333" s="203">
        <v>376060.72</v>
      </c>
      <c r="N333" s="203">
        <v>817629.51</v>
      </c>
      <c r="O333" s="203">
        <f t="shared" si="36"/>
        <v>4130336.3299999991</v>
      </c>
    </row>
    <row r="334" spans="1:15" s="242" customFormat="1" ht="15.75" customHeight="1" x14ac:dyDescent="0.2">
      <c r="A334" s="228"/>
      <c r="B334" s="243" t="s">
        <v>1022</v>
      </c>
      <c r="C334" s="203">
        <v>340370</v>
      </c>
      <c r="D334" s="203">
        <v>253844.55</v>
      </c>
      <c r="E334" s="203">
        <v>724087.86</v>
      </c>
      <c r="F334" s="203">
        <v>402300</v>
      </c>
      <c r="G334" s="203">
        <v>280869.07</v>
      </c>
      <c r="H334" s="203">
        <v>505716.25</v>
      </c>
      <c r="I334" s="203">
        <v>156490</v>
      </c>
      <c r="J334" s="203">
        <v>170205.6</v>
      </c>
      <c r="K334" s="203">
        <v>185809.29</v>
      </c>
      <c r="L334" s="203">
        <v>116490</v>
      </c>
      <c r="M334" s="203">
        <v>1131406.07</v>
      </c>
      <c r="N334" s="203">
        <v>2108622.7999999998</v>
      </c>
      <c r="O334" s="203">
        <f t="shared" si="36"/>
        <v>6376211.4900000002</v>
      </c>
    </row>
    <row r="335" spans="1:15" s="242" customFormat="1" ht="15.75" customHeight="1" x14ac:dyDescent="0.2">
      <c r="A335" s="228"/>
      <c r="B335" s="228" t="s">
        <v>1023</v>
      </c>
      <c r="C335" s="203">
        <v>341160</v>
      </c>
      <c r="D335" s="203">
        <v>544610</v>
      </c>
      <c r="E335" s="203">
        <v>726710</v>
      </c>
      <c r="F335" s="203">
        <v>334230</v>
      </c>
      <c r="G335" s="203">
        <v>40790</v>
      </c>
      <c r="H335" s="203">
        <v>42450</v>
      </c>
      <c r="I335" s="203">
        <v>265020</v>
      </c>
      <c r="J335" s="203">
        <v>35700</v>
      </c>
      <c r="K335" s="203">
        <v>6160</v>
      </c>
      <c r="L335" s="203">
        <v>47880</v>
      </c>
      <c r="M335" s="203">
        <v>418000</v>
      </c>
      <c r="N335" s="203">
        <v>381000</v>
      </c>
      <c r="O335" s="203">
        <f t="shared" si="36"/>
        <v>3183710</v>
      </c>
    </row>
    <row r="336" spans="1:15" s="242" customFormat="1" ht="15.75" customHeight="1" x14ac:dyDescent="0.2">
      <c r="A336" s="228"/>
      <c r="B336" s="243" t="s">
        <v>1024</v>
      </c>
      <c r="C336" s="203">
        <v>217310</v>
      </c>
      <c r="D336" s="203">
        <v>177082</v>
      </c>
      <c r="E336" s="203">
        <v>322290</v>
      </c>
      <c r="F336" s="203">
        <v>350820</v>
      </c>
      <c r="G336" s="203">
        <v>180400</v>
      </c>
      <c r="H336" s="203">
        <v>962210</v>
      </c>
      <c r="I336" s="203">
        <v>804450</v>
      </c>
      <c r="J336" s="203">
        <v>299160</v>
      </c>
      <c r="K336" s="203">
        <v>679990</v>
      </c>
      <c r="L336" s="203">
        <v>632190</v>
      </c>
      <c r="M336" s="203">
        <v>1013910</v>
      </c>
      <c r="N336" s="203">
        <v>566220</v>
      </c>
      <c r="O336" s="203">
        <f t="shared" si="36"/>
        <v>6206032</v>
      </c>
    </row>
    <row r="337" spans="1:15" s="242" customFormat="1" ht="15.75" customHeight="1" x14ac:dyDescent="0.2">
      <c r="A337" s="228"/>
      <c r="B337" s="243" t="s">
        <v>1025</v>
      </c>
      <c r="C337" s="203">
        <v>10934.04</v>
      </c>
      <c r="D337" s="203">
        <v>10738.17</v>
      </c>
      <c r="E337" s="203">
        <v>47118.17</v>
      </c>
      <c r="F337" s="203">
        <v>36233.17</v>
      </c>
      <c r="G337" s="203">
        <v>24850</v>
      </c>
      <c r="H337" s="203">
        <v>36992.39</v>
      </c>
      <c r="I337" s="203">
        <v>46320</v>
      </c>
      <c r="J337" s="203">
        <v>24438.95</v>
      </c>
      <c r="K337" s="203">
        <v>28880</v>
      </c>
      <c r="L337" s="203">
        <v>56721</v>
      </c>
      <c r="M337" s="203">
        <v>10762.47</v>
      </c>
      <c r="N337" s="203">
        <v>351906.04</v>
      </c>
      <c r="O337" s="203">
        <f t="shared" si="36"/>
        <v>685894.39999999991</v>
      </c>
    </row>
    <row r="338" spans="1:15" s="242" customFormat="1" ht="15.75" customHeight="1" x14ac:dyDescent="0.2">
      <c r="A338" s="228"/>
      <c r="B338" s="243" t="s">
        <v>1026</v>
      </c>
      <c r="C338" s="203">
        <v>7297.65</v>
      </c>
      <c r="D338" s="203">
        <v>92210</v>
      </c>
      <c r="E338" s="203">
        <v>84196</v>
      </c>
      <c r="F338" s="203">
        <v>12619.98</v>
      </c>
      <c r="G338" s="203">
        <v>77093.41</v>
      </c>
      <c r="H338" s="203">
        <v>105788.12</v>
      </c>
      <c r="I338" s="203">
        <v>71814.61</v>
      </c>
      <c r="J338" s="203">
        <v>54030</v>
      </c>
      <c r="K338" s="203">
        <v>72343.56</v>
      </c>
      <c r="L338" s="203">
        <v>82410</v>
      </c>
      <c r="M338" s="203">
        <v>54052.42</v>
      </c>
      <c r="N338" s="203">
        <v>92430</v>
      </c>
      <c r="O338" s="203">
        <f t="shared" si="36"/>
        <v>806285.75000000012</v>
      </c>
    </row>
    <row r="339" spans="1:15" s="242" customFormat="1" ht="15.75" hidden="1" customHeight="1" x14ac:dyDescent="0.2">
      <c r="A339" s="228"/>
      <c r="B339" s="243" t="s">
        <v>1092</v>
      </c>
      <c r="C339" s="203"/>
      <c r="D339" s="203"/>
      <c r="E339" s="203"/>
      <c r="F339" s="203"/>
      <c r="G339" s="203"/>
      <c r="H339" s="203"/>
      <c r="I339" s="203"/>
      <c r="J339" s="203"/>
      <c r="K339" s="203"/>
      <c r="L339" s="203"/>
      <c r="M339" s="203"/>
      <c r="N339" s="203"/>
      <c r="O339" s="203">
        <f t="shared" si="36"/>
        <v>0</v>
      </c>
    </row>
    <row r="340" spans="1:15" s="242" customFormat="1" ht="15.75" hidden="1" customHeight="1" x14ac:dyDescent="0.2">
      <c r="A340" s="228"/>
      <c r="B340" s="243" t="s">
        <v>1093</v>
      </c>
      <c r="C340" s="203"/>
      <c r="D340" s="203"/>
      <c r="E340" s="203"/>
      <c r="F340" s="203"/>
      <c r="G340" s="203"/>
      <c r="H340" s="203"/>
      <c r="I340" s="203"/>
      <c r="J340" s="203"/>
      <c r="K340" s="203"/>
      <c r="L340" s="203"/>
      <c r="M340" s="203"/>
      <c r="N340" s="203"/>
      <c r="O340" s="203">
        <f t="shared" si="36"/>
        <v>0</v>
      </c>
    </row>
    <row r="341" spans="1:15" s="242" customFormat="1" ht="15.75" customHeight="1" x14ac:dyDescent="0.2">
      <c r="A341" s="228"/>
      <c r="B341" s="243" t="s">
        <v>1027</v>
      </c>
      <c r="C341" s="203"/>
      <c r="D341" s="203"/>
      <c r="E341" s="203">
        <v>2310</v>
      </c>
      <c r="F341" s="203">
        <v>14370</v>
      </c>
      <c r="G341" s="203">
        <v>21892.11</v>
      </c>
      <c r="H341" s="203">
        <v>74048.94</v>
      </c>
      <c r="I341" s="203">
        <v>61296.78</v>
      </c>
      <c r="J341" s="203">
        <v>56320</v>
      </c>
      <c r="K341" s="203">
        <v>48820</v>
      </c>
      <c r="L341" s="203">
        <v>27540</v>
      </c>
      <c r="M341" s="203">
        <v>62710</v>
      </c>
      <c r="N341" s="203">
        <v>79070.070000000007</v>
      </c>
      <c r="O341" s="203">
        <f t="shared" si="36"/>
        <v>448377.9</v>
      </c>
    </row>
    <row r="342" spans="1:15" s="242" customFormat="1" ht="15.75" hidden="1" customHeight="1" x14ac:dyDescent="0.2">
      <c r="A342" s="228"/>
      <c r="B342" s="243" t="s">
        <v>1094</v>
      </c>
      <c r="C342" s="203"/>
      <c r="D342" s="203"/>
      <c r="E342" s="203"/>
      <c r="F342" s="203"/>
      <c r="G342" s="203"/>
      <c r="H342" s="203"/>
      <c r="I342" s="203"/>
      <c r="J342" s="203"/>
      <c r="K342" s="203"/>
      <c r="L342" s="203"/>
      <c r="M342" s="203"/>
      <c r="N342" s="203"/>
      <c r="O342" s="203">
        <f t="shared" si="36"/>
        <v>0</v>
      </c>
    </row>
    <row r="343" spans="1:15" s="242" customFormat="1" ht="15.75" hidden="1" customHeight="1" x14ac:dyDescent="0.2">
      <c r="A343" s="228"/>
      <c r="B343" s="243" t="s">
        <v>1095</v>
      </c>
      <c r="C343" s="203"/>
      <c r="D343" s="203"/>
      <c r="E343" s="203"/>
      <c r="F343" s="203"/>
      <c r="G343" s="203"/>
      <c r="H343" s="203"/>
      <c r="I343" s="203"/>
      <c r="J343" s="203"/>
      <c r="K343" s="203"/>
      <c r="L343" s="203"/>
      <c r="M343" s="203"/>
      <c r="N343" s="203"/>
      <c r="O343" s="203">
        <f t="shared" si="36"/>
        <v>0</v>
      </c>
    </row>
    <row r="344" spans="1:15" s="242" customFormat="1" ht="15.75" hidden="1" customHeight="1" x14ac:dyDescent="0.2">
      <c r="A344" s="228"/>
      <c r="B344" s="243" t="s">
        <v>1096</v>
      </c>
      <c r="C344" s="203"/>
      <c r="D344" s="203"/>
      <c r="E344" s="203"/>
      <c r="F344" s="203"/>
      <c r="G344" s="203"/>
      <c r="H344" s="203"/>
      <c r="I344" s="203"/>
      <c r="J344" s="203"/>
      <c r="K344" s="203"/>
      <c r="L344" s="203"/>
      <c r="M344" s="203"/>
      <c r="N344" s="203"/>
      <c r="O344" s="203">
        <f t="shared" si="36"/>
        <v>0</v>
      </c>
    </row>
    <row r="345" spans="1:15" s="242" customFormat="1" ht="15.75" customHeight="1" x14ac:dyDescent="0.2">
      <c r="A345" s="228"/>
      <c r="B345" s="243" t="s">
        <v>1028</v>
      </c>
      <c r="C345" s="203">
        <v>106800.51</v>
      </c>
      <c r="D345" s="203">
        <v>62364.89</v>
      </c>
      <c r="E345" s="203">
        <v>188932.3</v>
      </c>
      <c r="F345" s="203">
        <v>263034.2</v>
      </c>
      <c r="G345" s="203">
        <v>55960</v>
      </c>
      <c r="H345" s="203">
        <v>15156.62</v>
      </c>
      <c r="I345" s="203">
        <v>337540</v>
      </c>
      <c r="J345" s="203">
        <v>273160</v>
      </c>
      <c r="K345" s="203">
        <v>133083.41</v>
      </c>
      <c r="L345" s="203">
        <v>180270</v>
      </c>
      <c r="M345" s="203">
        <v>68973.210000000006</v>
      </c>
      <c r="N345" s="203">
        <v>88160</v>
      </c>
      <c r="O345" s="203">
        <f t="shared" si="36"/>
        <v>1773435.14</v>
      </c>
    </row>
    <row r="346" spans="1:15" s="224" customFormat="1" ht="15.75" customHeight="1" x14ac:dyDescent="0.25">
      <c r="A346" s="232"/>
      <c r="B346" s="228"/>
      <c r="C346" s="229"/>
      <c r="D346" s="229"/>
      <c r="E346" s="229"/>
      <c r="F346" s="229"/>
      <c r="G346" s="229"/>
      <c r="H346" s="229"/>
      <c r="I346" s="229"/>
      <c r="J346" s="229"/>
      <c r="K346" s="229"/>
      <c r="L346" s="229"/>
      <c r="M346" s="229"/>
      <c r="N346" s="229"/>
      <c r="O346" s="229"/>
    </row>
    <row r="347" spans="1:15" s="224" customFormat="1" ht="15.75" customHeight="1" x14ac:dyDescent="0.25">
      <c r="A347" s="216" t="s">
        <v>140</v>
      </c>
      <c r="B347" s="226"/>
      <c r="C347" s="227">
        <f>SUM(C348:C364)</f>
        <v>12740889.690000001</v>
      </c>
      <c r="D347" s="227">
        <f t="shared" ref="D347:O347" si="37">SUM(D348:D364)</f>
        <v>10222853.529999999</v>
      </c>
      <c r="E347" s="227">
        <f t="shared" si="37"/>
        <v>9839646.7299999986</v>
      </c>
      <c r="F347" s="227">
        <f t="shared" si="37"/>
        <v>8459076.7100000009</v>
      </c>
      <c r="G347" s="227">
        <f t="shared" si="37"/>
        <v>8819778.290000001</v>
      </c>
      <c r="H347" s="227">
        <f t="shared" si="37"/>
        <v>9231197.9299999997</v>
      </c>
      <c r="I347" s="227">
        <f t="shared" si="37"/>
        <v>7165540.4100000001</v>
      </c>
      <c r="J347" s="227">
        <f t="shared" si="37"/>
        <v>10263226.200000001</v>
      </c>
      <c r="K347" s="227">
        <f t="shared" si="37"/>
        <v>9899272.6099999994</v>
      </c>
      <c r="L347" s="227">
        <f t="shared" si="37"/>
        <v>9705140.5700000003</v>
      </c>
      <c r="M347" s="227">
        <f t="shared" si="37"/>
        <v>12352710.780000001</v>
      </c>
      <c r="N347" s="227">
        <f t="shared" si="37"/>
        <v>6954434.7999999998</v>
      </c>
      <c r="O347" s="227">
        <f t="shared" si="37"/>
        <v>115653768.25</v>
      </c>
    </row>
    <row r="348" spans="1:15" s="224" customFormat="1" ht="15.75" customHeight="1" x14ac:dyDescent="0.2">
      <c r="A348" s="219"/>
      <c r="B348" s="228" t="s">
        <v>142</v>
      </c>
      <c r="C348" s="203">
        <v>8152600.75</v>
      </c>
      <c r="D348" s="203">
        <v>3633210.45</v>
      </c>
      <c r="E348" s="203">
        <v>1057520.1599999999</v>
      </c>
      <c r="F348" s="203">
        <v>1680191.93</v>
      </c>
      <c r="G348" s="203">
        <v>625796.89</v>
      </c>
      <c r="H348" s="203">
        <v>795486.33</v>
      </c>
      <c r="I348" s="203">
        <v>95337.18</v>
      </c>
      <c r="J348" s="203">
        <v>2669790.9500000002</v>
      </c>
      <c r="K348" s="203">
        <v>1485553.56</v>
      </c>
      <c r="L348" s="203">
        <v>1694727.57</v>
      </c>
      <c r="M348" s="203">
        <v>5684750.0700000003</v>
      </c>
      <c r="N348" s="203">
        <v>1159486.02</v>
      </c>
      <c r="O348" s="203">
        <f t="shared" ref="O348:O364" si="38">SUM(C348:N348)</f>
        <v>28734451.859999999</v>
      </c>
    </row>
    <row r="349" spans="1:15" s="224" customFormat="1" ht="15.75" customHeight="1" x14ac:dyDescent="0.2">
      <c r="A349" s="219"/>
      <c r="B349" s="228" t="s">
        <v>141</v>
      </c>
      <c r="C349" s="203">
        <v>96049.97</v>
      </c>
      <c r="D349" s="203">
        <v>517805.29</v>
      </c>
      <c r="E349" s="203">
        <v>143646.42000000001</v>
      </c>
      <c r="F349" s="203">
        <v>77895.38</v>
      </c>
      <c r="G349" s="203">
        <v>327357.71000000002</v>
      </c>
      <c r="H349" s="203">
        <v>0</v>
      </c>
      <c r="I349" s="203">
        <v>17000</v>
      </c>
      <c r="J349" s="203">
        <v>393840.12</v>
      </c>
      <c r="K349" s="203">
        <v>35939.39</v>
      </c>
      <c r="L349" s="203">
        <v>11772.6</v>
      </c>
      <c r="M349" s="203">
        <v>10500</v>
      </c>
      <c r="N349" s="203">
        <v>120000</v>
      </c>
      <c r="O349" s="203">
        <f t="shared" si="38"/>
        <v>1751806.8800000001</v>
      </c>
    </row>
    <row r="350" spans="1:15" s="224" customFormat="1" ht="15.75" customHeight="1" x14ac:dyDescent="0.2">
      <c r="A350" s="219"/>
      <c r="B350" s="228" t="s">
        <v>143</v>
      </c>
      <c r="C350" s="206">
        <f>48984</f>
        <v>48984</v>
      </c>
      <c r="D350" s="206">
        <f>261458.5</f>
        <v>261458.5</v>
      </c>
      <c r="E350" s="206">
        <f>217411.5</f>
        <v>217411.5</v>
      </c>
      <c r="F350" s="206">
        <f>272064</f>
        <v>272064</v>
      </c>
      <c r="G350" s="206">
        <f>673498</f>
        <v>673498</v>
      </c>
      <c r="H350" s="206">
        <f>225323.85</f>
        <v>225323.85</v>
      </c>
      <c r="I350" s="206">
        <f>117724</f>
        <v>117724</v>
      </c>
      <c r="J350" s="206">
        <v>64480</v>
      </c>
      <c r="K350" s="206">
        <v>74830</v>
      </c>
      <c r="L350" s="206">
        <v>80242</v>
      </c>
      <c r="M350" s="203">
        <f>283076.8-203277</f>
        <v>79799.799999999988</v>
      </c>
      <c r="N350" s="203">
        <v>87606</v>
      </c>
      <c r="O350" s="203">
        <f t="shared" si="38"/>
        <v>2203421.65</v>
      </c>
    </row>
    <row r="351" spans="1:15" s="224" customFormat="1" ht="15.75" customHeight="1" x14ac:dyDescent="0.2">
      <c r="A351" s="219"/>
      <c r="B351" s="228" t="s">
        <v>144</v>
      </c>
      <c r="C351" s="203">
        <v>171445.52</v>
      </c>
      <c r="D351" s="203">
        <v>785399.52</v>
      </c>
      <c r="E351" s="203">
        <v>614099.57999999996</v>
      </c>
      <c r="F351" s="203">
        <v>455865.03</v>
      </c>
      <c r="G351" s="203">
        <v>570174.47</v>
      </c>
      <c r="H351" s="203">
        <v>273585.27</v>
      </c>
      <c r="I351" s="203">
        <v>599591.53</v>
      </c>
      <c r="J351" s="203">
        <v>610921.37</v>
      </c>
      <c r="K351" s="203">
        <v>1062784.1100000001</v>
      </c>
      <c r="L351" s="203">
        <v>364717.28</v>
      </c>
      <c r="M351" s="203"/>
      <c r="N351" s="203"/>
      <c r="O351" s="203">
        <f t="shared" si="38"/>
        <v>5508583.6800000006</v>
      </c>
    </row>
    <row r="352" spans="1:15" s="224" customFormat="1" ht="15.75" hidden="1" customHeight="1" x14ac:dyDescent="0.2">
      <c r="A352" s="219"/>
      <c r="B352" s="228" t="s">
        <v>145</v>
      </c>
      <c r="C352" s="203"/>
      <c r="D352" s="203"/>
      <c r="E352" s="203"/>
      <c r="F352" s="203"/>
      <c r="G352" s="203"/>
      <c r="H352" s="203"/>
      <c r="I352" s="203"/>
      <c r="J352" s="203"/>
      <c r="K352" s="203"/>
      <c r="L352" s="203"/>
      <c r="M352" s="203"/>
      <c r="N352" s="203"/>
      <c r="O352" s="203">
        <f t="shared" si="38"/>
        <v>0</v>
      </c>
    </row>
    <row r="353" spans="1:15" s="224" customFormat="1" ht="15.75" customHeight="1" x14ac:dyDescent="0.2">
      <c r="A353" s="219"/>
      <c r="B353" s="228" t="s">
        <v>716</v>
      </c>
      <c r="C353" s="203">
        <v>994248.3</v>
      </c>
      <c r="D353" s="203">
        <v>1389537.3</v>
      </c>
      <c r="E353" s="203">
        <v>2655092.52</v>
      </c>
      <c r="F353" s="203">
        <v>1221316.3600000001</v>
      </c>
      <c r="G353" s="203">
        <v>2032261.8</v>
      </c>
      <c r="H353" s="203">
        <v>1953723.3</v>
      </c>
      <c r="I353" s="203">
        <v>2076361.36</v>
      </c>
      <c r="J353" s="203">
        <v>2053446.85</v>
      </c>
      <c r="K353" s="203">
        <v>2141410.9700000002</v>
      </c>
      <c r="L353" s="203">
        <v>1657829.23</v>
      </c>
      <c r="M353" s="203">
        <v>1826636.66</v>
      </c>
      <c r="N353" s="203">
        <v>1728241</v>
      </c>
      <c r="O353" s="203">
        <f t="shared" si="38"/>
        <v>21730105.649999999</v>
      </c>
    </row>
    <row r="354" spans="1:15" s="224" customFormat="1" ht="15.75" hidden="1" customHeight="1" x14ac:dyDescent="0.2">
      <c r="A354" s="219"/>
      <c r="B354" s="228" t="s">
        <v>147</v>
      </c>
      <c r="C354" s="203">
        <v>0</v>
      </c>
      <c r="D354" s="203">
        <v>0</v>
      </c>
      <c r="E354" s="203">
        <v>0</v>
      </c>
      <c r="F354" s="203">
        <v>770</v>
      </c>
      <c r="G354" s="203">
        <v>0</v>
      </c>
      <c r="H354" s="203">
        <v>0</v>
      </c>
      <c r="I354" s="203">
        <v>0</v>
      </c>
      <c r="J354" s="203">
        <v>0</v>
      </c>
      <c r="K354" s="203">
        <v>0</v>
      </c>
      <c r="L354" s="203">
        <v>0</v>
      </c>
      <c r="M354" s="203">
        <v>0</v>
      </c>
      <c r="N354" s="203">
        <v>0</v>
      </c>
      <c r="O354" s="203">
        <f t="shared" si="38"/>
        <v>770</v>
      </c>
    </row>
    <row r="355" spans="1:15" s="224" customFormat="1" ht="29.25" customHeight="1" x14ac:dyDescent="0.2">
      <c r="A355" s="219"/>
      <c r="B355" s="245" t="s">
        <v>766</v>
      </c>
      <c r="C355" s="203">
        <v>695493.16</v>
      </c>
      <c r="D355" s="203">
        <v>907916.80000000005</v>
      </c>
      <c r="E355" s="203">
        <v>1021700.1</v>
      </c>
      <c r="F355" s="203">
        <v>1331197.46</v>
      </c>
      <c r="G355" s="203">
        <v>1301081.1299999999</v>
      </c>
      <c r="H355" s="203">
        <v>1324020.68</v>
      </c>
      <c r="I355" s="203">
        <v>1305064.08</v>
      </c>
      <c r="J355" s="203">
        <v>1313040.8799999999</v>
      </c>
      <c r="K355" s="203">
        <v>1828125.96</v>
      </c>
      <c r="L355" s="203">
        <v>2655802.63</v>
      </c>
      <c r="M355" s="203">
        <v>1620273</v>
      </c>
      <c r="N355" s="203">
        <v>1603508</v>
      </c>
      <c r="O355" s="203">
        <f t="shared" si="38"/>
        <v>16907223.879999999</v>
      </c>
    </row>
    <row r="356" spans="1:15" s="224" customFormat="1" ht="15.75" customHeight="1" x14ac:dyDescent="0.2">
      <c r="A356" s="219"/>
      <c r="B356" s="228" t="s">
        <v>775</v>
      </c>
      <c r="C356" s="203">
        <v>24000</v>
      </c>
      <c r="D356" s="203">
        <f>61000-C356</f>
        <v>37000</v>
      </c>
      <c r="E356" s="203">
        <f>98000-D356-C356</f>
        <v>37000</v>
      </c>
      <c r="F356" s="203">
        <f>124000-E356-D356-C356</f>
        <v>26000</v>
      </c>
      <c r="G356" s="203">
        <f>140000-F356-E356-D356-C356</f>
        <v>16000</v>
      </c>
      <c r="H356" s="203">
        <f>212000-G356-F356-E356-D356-C356</f>
        <v>72000</v>
      </c>
      <c r="I356" s="203">
        <f>246000-H356-G356-F356-E356-D356-C356</f>
        <v>34000</v>
      </c>
      <c r="J356" s="203">
        <f>282000-SUM(C356:I356)</f>
        <v>36000</v>
      </c>
      <c r="K356" s="203">
        <f>302000-SUM(C356:J356)</f>
        <v>20000</v>
      </c>
      <c r="L356" s="203">
        <f>351000-SUM(C356:K356)</f>
        <v>49000</v>
      </c>
      <c r="M356" s="203">
        <f>392000-SUM(C356:L356)</f>
        <v>41000</v>
      </c>
      <c r="N356" s="203">
        <f>426000-SUM(C356:M356)</f>
        <v>34000</v>
      </c>
      <c r="O356" s="203">
        <f t="shared" si="38"/>
        <v>426000</v>
      </c>
    </row>
    <row r="357" spans="1:15" s="224" customFormat="1" ht="15.75" customHeight="1" x14ac:dyDescent="0.2">
      <c r="A357" s="219"/>
      <c r="B357" s="228" t="s">
        <v>1029</v>
      </c>
      <c r="C357" s="203">
        <v>25500</v>
      </c>
      <c r="D357" s="203">
        <v>43000</v>
      </c>
      <c r="E357" s="203">
        <v>51900</v>
      </c>
      <c r="F357" s="203">
        <v>41800</v>
      </c>
      <c r="G357" s="203">
        <v>39100</v>
      </c>
      <c r="H357" s="203">
        <v>43300</v>
      </c>
      <c r="I357" s="203">
        <v>37400</v>
      </c>
      <c r="J357" s="203">
        <v>30400</v>
      </c>
      <c r="K357" s="203">
        <v>37825</v>
      </c>
      <c r="L357" s="203">
        <v>47200</v>
      </c>
      <c r="M357" s="203">
        <v>33490</v>
      </c>
      <c r="N357" s="203">
        <v>31245</v>
      </c>
      <c r="O357" s="203">
        <f t="shared" si="38"/>
        <v>462160</v>
      </c>
    </row>
    <row r="358" spans="1:15" s="224" customFormat="1" ht="15.75" hidden="1" customHeight="1" x14ac:dyDescent="0.2">
      <c r="A358" s="219"/>
      <c r="B358" s="228" t="s">
        <v>1097</v>
      </c>
      <c r="C358" s="203">
        <v>0</v>
      </c>
      <c r="D358" s="203">
        <v>0</v>
      </c>
      <c r="E358" s="203">
        <v>0</v>
      </c>
      <c r="F358" s="203">
        <v>0</v>
      </c>
      <c r="G358" s="203">
        <v>0</v>
      </c>
      <c r="H358" s="203">
        <v>0</v>
      </c>
      <c r="I358" s="203">
        <v>0</v>
      </c>
      <c r="J358" s="203">
        <v>0</v>
      </c>
      <c r="K358" s="203">
        <v>0</v>
      </c>
      <c r="L358" s="203">
        <v>0</v>
      </c>
      <c r="M358" s="203">
        <v>0</v>
      </c>
      <c r="N358" s="203">
        <v>0</v>
      </c>
      <c r="O358" s="203">
        <f t="shared" si="38"/>
        <v>0</v>
      </c>
    </row>
    <row r="359" spans="1:15" s="224" customFormat="1" ht="15.75" customHeight="1" x14ac:dyDescent="0.2">
      <c r="A359" s="219"/>
      <c r="B359" s="228" t="s">
        <v>150</v>
      </c>
      <c r="C359" s="203">
        <v>2061823</v>
      </c>
      <c r="D359" s="203">
        <v>2474079</v>
      </c>
      <c r="E359" s="203">
        <v>3442076</v>
      </c>
      <c r="F359" s="203">
        <v>2799680</v>
      </c>
      <c r="G359" s="203">
        <v>2470704</v>
      </c>
      <c r="H359" s="203">
        <v>4142300</v>
      </c>
      <c r="I359" s="246">
        <v>2471400</v>
      </c>
      <c r="J359" s="203">
        <v>2313375</v>
      </c>
      <c r="K359" s="203">
        <v>2734800</v>
      </c>
      <c r="L359" s="203">
        <v>2739787.5</v>
      </c>
      <c r="M359" s="203">
        <v>2906200</v>
      </c>
      <c r="N359" s="203">
        <v>1934190</v>
      </c>
      <c r="O359" s="203">
        <f t="shared" si="38"/>
        <v>32490414.5</v>
      </c>
    </row>
    <row r="360" spans="1:15" s="224" customFormat="1" ht="15.75" customHeight="1" x14ac:dyDescent="0.2">
      <c r="A360" s="219"/>
      <c r="B360" s="228" t="s">
        <v>151</v>
      </c>
      <c r="C360" s="246">
        <v>327024.99</v>
      </c>
      <c r="D360" s="246">
        <v>111936.8</v>
      </c>
      <c r="E360" s="246">
        <v>576429.94999999995</v>
      </c>
      <c r="F360" s="246">
        <v>410547.20000000001</v>
      </c>
      <c r="G360" s="246">
        <v>740911.06</v>
      </c>
      <c r="H360" s="246">
        <v>346572.5</v>
      </c>
      <c r="I360" s="246">
        <v>410662.26</v>
      </c>
      <c r="J360" s="246">
        <v>636709.03</v>
      </c>
      <c r="K360" s="246">
        <v>477596.62</v>
      </c>
      <c r="L360" s="246">
        <v>391922</v>
      </c>
      <c r="M360" s="246">
        <v>140917.6</v>
      </c>
      <c r="N360" s="246">
        <v>255958.78</v>
      </c>
      <c r="O360" s="203">
        <f t="shared" si="38"/>
        <v>4827188.79</v>
      </c>
    </row>
    <row r="361" spans="1:15" s="224" customFormat="1" ht="15.75" hidden="1" customHeight="1" x14ac:dyDescent="0.2">
      <c r="A361" s="219"/>
      <c r="B361" s="228" t="s">
        <v>1098</v>
      </c>
      <c r="C361" s="246">
        <v>0</v>
      </c>
      <c r="D361" s="246">
        <v>0</v>
      </c>
      <c r="E361" s="246">
        <v>0</v>
      </c>
      <c r="F361" s="246">
        <v>0</v>
      </c>
      <c r="G361" s="246">
        <v>0</v>
      </c>
      <c r="H361" s="246">
        <v>0</v>
      </c>
      <c r="I361" s="246">
        <v>0</v>
      </c>
      <c r="J361" s="246">
        <v>0</v>
      </c>
      <c r="K361" s="246">
        <v>0</v>
      </c>
      <c r="L361" s="246">
        <v>0</v>
      </c>
      <c r="M361" s="203"/>
      <c r="N361" s="203"/>
      <c r="O361" s="203">
        <f t="shared" si="38"/>
        <v>0</v>
      </c>
    </row>
    <row r="362" spans="1:15" s="224" customFormat="1" ht="15.75" customHeight="1" x14ac:dyDescent="0.2">
      <c r="A362" s="219"/>
      <c r="B362" s="228" t="s">
        <v>158</v>
      </c>
      <c r="C362" s="203">
        <v>143320</v>
      </c>
      <c r="D362" s="203">
        <v>60909.87</v>
      </c>
      <c r="E362" s="203">
        <v>22170.5</v>
      </c>
      <c r="F362" s="203">
        <v>140949.35</v>
      </c>
      <c r="G362" s="203">
        <v>19793.23</v>
      </c>
      <c r="H362" s="203">
        <v>8486</v>
      </c>
      <c r="I362" s="247"/>
      <c r="J362" s="203">
        <v>140422</v>
      </c>
      <c r="K362" s="203">
        <v>207</v>
      </c>
      <c r="L362" s="203">
        <v>11539.76</v>
      </c>
      <c r="M362" s="203"/>
      <c r="N362" s="203"/>
      <c r="O362" s="203">
        <f t="shared" si="38"/>
        <v>547797.71</v>
      </c>
    </row>
    <row r="363" spans="1:15" s="224" customFormat="1" ht="15.75" customHeight="1" x14ac:dyDescent="0.2">
      <c r="A363" s="219"/>
      <c r="B363" s="228" t="s">
        <v>152</v>
      </c>
      <c r="C363" s="203">
        <v>400</v>
      </c>
      <c r="D363" s="203">
        <v>600</v>
      </c>
      <c r="E363" s="203">
        <v>600</v>
      </c>
      <c r="F363" s="203">
        <v>800</v>
      </c>
      <c r="G363" s="203">
        <v>600</v>
      </c>
      <c r="H363" s="203">
        <v>200</v>
      </c>
      <c r="I363" s="203">
        <v>1000</v>
      </c>
      <c r="J363" s="203">
        <v>800</v>
      </c>
      <c r="K363" s="203">
        <v>200</v>
      </c>
      <c r="L363" s="203">
        <v>600</v>
      </c>
      <c r="M363" s="203">
        <v>600</v>
      </c>
      <c r="N363" s="203">
        <v>200</v>
      </c>
      <c r="O363" s="203">
        <f t="shared" si="38"/>
        <v>6600</v>
      </c>
    </row>
    <row r="364" spans="1:15" s="224" customFormat="1" ht="15.75" customHeight="1" x14ac:dyDescent="0.2">
      <c r="A364" s="219"/>
      <c r="B364" s="228" t="s">
        <v>743</v>
      </c>
      <c r="C364" s="203">
        <v>0</v>
      </c>
      <c r="D364" s="203">
        <v>0</v>
      </c>
      <c r="E364" s="203">
        <v>0</v>
      </c>
      <c r="F364" s="203">
        <v>0</v>
      </c>
      <c r="G364" s="203">
        <v>2500</v>
      </c>
      <c r="H364" s="203">
        <v>46200</v>
      </c>
      <c r="I364" s="203">
        <v>0</v>
      </c>
      <c r="J364" s="203">
        <v>0</v>
      </c>
      <c r="K364" s="203">
        <v>0</v>
      </c>
      <c r="L364" s="203">
        <v>0</v>
      </c>
      <c r="M364" s="203">
        <v>8543.65</v>
      </c>
      <c r="N364" s="203">
        <v>0</v>
      </c>
      <c r="O364" s="203">
        <f t="shared" si="38"/>
        <v>57243.65</v>
      </c>
    </row>
    <row r="365" spans="1:15" s="224" customFormat="1" ht="12.75" customHeight="1" x14ac:dyDescent="0.2">
      <c r="A365" s="228"/>
      <c r="B365" s="228"/>
      <c r="C365" s="203"/>
      <c r="D365" s="203"/>
      <c r="E365" s="203"/>
      <c r="F365" s="203"/>
      <c r="G365" s="203"/>
      <c r="H365" s="203"/>
      <c r="I365" s="203"/>
      <c r="J365" s="203"/>
      <c r="K365" s="203"/>
      <c r="L365" s="203"/>
      <c r="M365" s="203"/>
      <c r="N365" s="203"/>
      <c r="O365" s="203"/>
    </row>
    <row r="366" spans="1:15" s="224" customFormat="1" ht="15.75" customHeight="1" x14ac:dyDescent="0.25">
      <c r="A366" s="216" t="s">
        <v>1030</v>
      </c>
      <c r="B366" s="226"/>
      <c r="C366" s="227">
        <f>SUM(C367:C368)</f>
        <v>1892103.5499999998</v>
      </c>
      <c r="D366" s="227">
        <f t="shared" ref="D366:O366" si="39">SUM(D367:D368)</f>
        <v>1994048</v>
      </c>
      <c r="E366" s="227">
        <f t="shared" si="39"/>
        <v>1973871.65</v>
      </c>
      <c r="F366" s="227">
        <f t="shared" si="39"/>
        <v>2785065.83</v>
      </c>
      <c r="G366" s="227">
        <f t="shared" si="39"/>
        <v>1617451.27</v>
      </c>
      <c r="H366" s="227">
        <f t="shared" si="39"/>
        <v>3552379.29</v>
      </c>
      <c r="I366" s="227">
        <f t="shared" si="39"/>
        <v>3275046.1900000004</v>
      </c>
      <c r="J366" s="227">
        <f t="shared" si="39"/>
        <v>3169460.9699999997</v>
      </c>
      <c r="K366" s="227">
        <f t="shared" si="39"/>
        <v>3774183.74</v>
      </c>
      <c r="L366" s="227">
        <f t="shared" si="39"/>
        <v>3071580.09</v>
      </c>
      <c r="M366" s="227">
        <f t="shared" si="39"/>
        <v>4291845.5199999996</v>
      </c>
      <c r="N366" s="227">
        <f t="shared" si="39"/>
        <v>4693904.62</v>
      </c>
      <c r="O366" s="227">
        <f t="shared" si="39"/>
        <v>36090940.719999999</v>
      </c>
    </row>
    <row r="367" spans="1:15" s="224" customFormat="1" ht="15.75" customHeight="1" x14ac:dyDescent="0.2">
      <c r="A367" s="219"/>
      <c r="B367" s="220" t="s">
        <v>768</v>
      </c>
      <c r="C367" s="206">
        <v>737293.15</v>
      </c>
      <c r="D367" s="206">
        <v>1205860.2</v>
      </c>
      <c r="E367" s="206">
        <v>1206884.77</v>
      </c>
      <c r="F367" s="206">
        <v>1484106.93</v>
      </c>
      <c r="G367" s="206">
        <v>1335873.83</v>
      </c>
      <c r="H367" s="206">
        <v>3141748.69</v>
      </c>
      <c r="I367" s="206">
        <v>2207414.9900000002</v>
      </c>
      <c r="J367" s="206">
        <v>2168415.36</v>
      </c>
      <c r="K367" s="206">
        <v>2145633.7400000002</v>
      </c>
      <c r="L367" s="206">
        <v>2167380.09</v>
      </c>
      <c r="M367" s="206">
        <v>3311745.52</v>
      </c>
      <c r="N367" s="206">
        <v>3856254.62</v>
      </c>
      <c r="O367" s="203">
        <f t="shared" ref="O367:O368" si="40">SUM(C367:N367)</f>
        <v>24968611.890000001</v>
      </c>
    </row>
    <row r="368" spans="1:15" s="224" customFormat="1" ht="15.75" customHeight="1" x14ac:dyDescent="0.2">
      <c r="A368" s="219"/>
      <c r="B368" s="220" t="s">
        <v>1099</v>
      </c>
      <c r="C368" s="203">
        <v>1154810.3999999999</v>
      </c>
      <c r="D368" s="203">
        <v>788187.8</v>
      </c>
      <c r="E368" s="203">
        <v>766986.88</v>
      </c>
      <c r="F368" s="203">
        <v>1300958.8999999999</v>
      </c>
      <c r="G368" s="203">
        <v>281577.44</v>
      </c>
      <c r="H368" s="203">
        <v>410630.6</v>
      </c>
      <c r="I368" s="203">
        <v>1067631.2</v>
      </c>
      <c r="J368" s="203">
        <v>1001045.61</v>
      </c>
      <c r="K368" s="203">
        <v>1628550</v>
      </c>
      <c r="L368" s="203">
        <v>904200</v>
      </c>
      <c r="M368" s="203">
        <v>980100</v>
      </c>
      <c r="N368" s="203">
        <v>837650</v>
      </c>
      <c r="O368" s="203">
        <f t="shared" si="40"/>
        <v>11122328.83</v>
      </c>
    </row>
    <row r="369" spans="1:15" s="224" customFormat="1" ht="12.75" customHeight="1" x14ac:dyDescent="0.2">
      <c r="A369" s="228"/>
      <c r="B369" s="228"/>
      <c r="C369" s="203"/>
      <c r="D369" s="203"/>
      <c r="E369" s="203"/>
      <c r="F369" s="203"/>
      <c r="G369" s="203"/>
      <c r="H369" s="203"/>
      <c r="I369" s="203"/>
      <c r="J369" s="203"/>
      <c r="K369" s="203"/>
      <c r="L369" s="203"/>
      <c r="M369" s="203"/>
      <c r="N369" s="203"/>
      <c r="O369" s="203"/>
    </row>
    <row r="370" spans="1:15" s="224" customFormat="1" ht="15.75" customHeight="1" x14ac:dyDescent="0.25">
      <c r="A370" s="216" t="s">
        <v>161</v>
      </c>
      <c r="B370" s="226"/>
      <c r="C370" s="227">
        <f>SUM(C371:C374)</f>
        <v>1002268.08</v>
      </c>
      <c r="D370" s="227">
        <f t="shared" ref="D370:O370" si="41">SUM(D371:D374)</f>
        <v>2529366.98</v>
      </c>
      <c r="E370" s="227">
        <f t="shared" si="41"/>
        <v>1940967.23</v>
      </c>
      <c r="F370" s="227">
        <f t="shared" si="41"/>
        <v>2648773.87</v>
      </c>
      <c r="G370" s="227">
        <f t="shared" si="41"/>
        <v>1358867.89</v>
      </c>
      <c r="H370" s="227">
        <f t="shared" si="41"/>
        <v>1211042.73</v>
      </c>
      <c r="I370" s="227">
        <f t="shared" si="41"/>
        <v>5122456.3499999996</v>
      </c>
      <c r="J370" s="227">
        <f t="shared" si="41"/>
        <v>1301142.79</v>
      </c>
      <c r="K370" s="227">
        <f t="shared" si="41"/>
        <v>986999.88</v>
      </c>
      <c r="L370" s="227">
        <f t="shared" si="41"/>
        <v>1397575.78</v>
      </c>
      <c r="M370" s="227">
        <f t="shared" si="41"/>
        <v>2907581.33</v>
      </c>
      <c r="N370" s="227">
        <f t="shared" si="41"/>
        <v>1339859.31</v>
      </c>
      <c r="O370" s="227">
        <f t="shared" si="41"/>
        <v>23746902.219999999</v>
      </c>
    </row>
    <row r="371" spans="1:15" s="224" customFormat="1" ht="15.75" customHeight="1" x14ac:dyDescent="0.2">
      <c r="A371" s="219"/>
      <c r="B371" s="220" t="s">
        <v>769</v>
      </c>
      <c r="C371" s="211">
        <v>13200</v>
      </c>
      <c r="D371" s="211">
        <v>7000</v>
      </c>
      <c r="E371" s="211"/>
      <c r="F371" s="211">
        <v>1045521.88</v>
      </c>
      <c r="G371" s="203"/>
      <c r="H371" s="203"/>
      <c r="I371" s="203"/>
      <c r="J371" s="203"/>
      <c r="K371" s="203"/>
      <c r="L371" s="203"/>
      <c r="M371" s="203"/>
      <c r="N371" s="203">
        <v>5000</v>
      </c>
      <c r="O371" s="203">
        <f t="shared" ref="O371:O374" si="42">SUM(C371:N371)</f>
        <v>1070721.8799999999</v>
      </c>
    </row>
    <row r="372" spans="1:15" s="224" customFormat="1" ht="15.75" hidden="1" customHeight="1" x14ac:dyDescent="0.2">
      <c r="A372" s="219"/>
      <c r="B372" s="220" t="s">
        <v>163</v>
      </c>
      <c r="C372" s="203"/>
      <c r="D372" s="203"/>
      <c r="E372" s="203"/>
      <c r="F372" s="203"/>
      <c r="G372" s="203"/>
      <c r="H372" s="203"/>
      <c r="I372" s="203"/>
      <c r="J372" s="203"/>
      <c r="K372" s="203"/>
      <c r="L372" s="203"/>
      <c r="M372" s="203"/>
      <c r="N372" s="203"/>
      <c r="O372" s="203">
        <f t="shared" si="42"/>
        <v>0</v>
      </c>
    </row>
    <row r="373" spans="1:15" s="224" customFormat="1" ht="15.75" customHeight="1" x14ac:dyDescent="0.2">
      <c r="A373" s="219"/>
      <c r="B373" s="220" t="s">
        <v>165</v>
      </c>
      <c r="C373" s="203">
        <v>38810.39</v>
      </c>
      <c r="D373" s="203">
        <v>2015325.83</v>
      </c>
      <c r="E373" s="203">
        <v>1242894.24</v>
      </c>
      <c r="F373" s="203">
        <f>778688.33+9352.61</f>
        <v>788040.94</v>
      </c>
      <c r="G373" s="202">
        <v>928790.59</v>
      </c>
      <c r="H373" s="202">
        <v>1003179.03</v>
      </c>
      <c r="I373" s="203">
        <f>4914948.53+346.05</f>
        <v>4915294.58</v>
      </c>
      <c r="J373" s="203">
        <v>1086803.04</v>
      </c>
      <c r="K373" s="203">
        <f>756234.98+97592.91</f>
        <v>853827.89</v>
      </c>
      <c r="L373" s="203">
        <v>1247852.19</v>
      </c>
      <c r="M373" s="203">
        <v>2765172.63</v>
      </c>
      <c r="N373" s="203">
        <v>1243467.25</v>
      </c>
      <c r="O373" s="203">
        <f t="shared" si="42"/>
        <v>18129458.600000001</v>
      </c>
    </row>
    <row r="374" spans="1:15" s="224" customFormat="1" ht="15.75" customHeight="1" x14ac:dyDescent="0.2">
      <c r="A374" s="228"/>
      <c r="B374" s="228" t="s">
        <v>163</v>
      </c>
      <c r="C374" s="203">
        <v>950257.69</v>
      </c>
      <c r="D374" s="203">
        <v>507041.15</v>
      </c>
      <c r="E374" s="203">
        <v>698072.99</v>
      </c>
      <c r="F374" s="203">
        <v>815211.05</v>
      </c>
      <c r="G374" s="203">
        <v>430077.3</v>
      </c>
      <c r="H374" s="203">
        <v>207863.7</v>
      </c>
      <c r="I374" s="203">
        <v>207161.77</v>
      </c>
      <c r="J374" s="203">
        <v>214339.75</v>
      </c>
      <c r="K374" s="203">
        <v>133171.99</v>
      </c>
      <c r="L374" s="203">
        <v>149723.59</v>
      </c>
      <c r="M374" s="203">
        <v>142408.70000000001</v>
      </c>
      <c r="N374" s="203">
        <v>91392.06</v>
      </c>
      <c r="O374" s="203">
        <f t="shared" si="42"/>
        <v>4546721.7399999993</v>
      </c>
    </row>
    <row r="375" spans="1:15" s="224" customFormat="1" ht="15.75" customHeight="1" x14ac:dyDescent="0.2">
      <c r="A375" s="228"/>
      <c r="B375" s="228"/>
      <c r="C375" s="203"/>
      <c r="D375" s="203"/>
      <c r="E375" s="203"/>
      <c r="F375" s="203"/>
      <c r="G375" s="203"/>
      <c r="H375" s="203"/>
      <c r="I375" s="203"/>
      <c r="J375" s="203"/>
      <c r="K375" s="203"/>
      <c r="L375" s="203"/>
      <c r="M375" s="203"/>
      <c r="N375" s="203"/>
      <c r="O375" s="203"/>
    </row>
    <row r="376" spans="1:15" s="224" customFormat="1" ht="15.75" customHeight="1" x14ac:dyDescent="0.25">
      <c r="A376" s="216" t="s">
        <v>166</v>
      </c>
      <c r="B376" s="226"/>
      <c r="C376" s="227">
        <f>SUM(C377:C383)</f>
        <v>119981062.35000001</v>
      </c>
      <c r="D376" s="227">
        <f t="shared" ref="D376:O376" si="43">SUM(D377:D383)</f>
        <v>100361411.98</v>
      </c>
      <c r="E376" s="227">
        <f t="shared" si="43"/>
        <v>115854155.25</v>
      </c>
      <c r="F376" s="227">
        <f t="shared" si="43"/>
        <v>81291318.620000005</v>
      </c>
      <c r="G376" s="227">
        <f t="shared" si="43"/>
        <v>131978035.51000001</v>
      </c>
      <c r="H376" s="227">
        <f t="shared" si="43"/>
        <v>141074641.61000001</v>
      </c>
      <c r="I376" s="227">
        <f t="shared" si="43"/>
        <v>106589319.5</v>
      </c>
      <c r="J376" s="227">
        <f t="shared" si="43"/>
        <v>96978291.799999997</v>
      </c>
      <c r="K376" s="227">
        <f t="shared" si="43"/>
        <v>87648461.629999995</v>
      </c>
      <c r="L376" s="227">
        <f t="shared" si="43"/>
        <v>78401877.870000005</v>
      </c>
      <c r="M376" s="227">
        <f t="shared" si="43"/>
        <v>80285196.879999995</v>
      </c>
      <c r="N376" s="227">
        <f t="shared" si="43"/>
        <v>87759537.400000006</v>
      </c>
      <c r="O376" s="227">
        <f t="shared" si="43"/>
        <v>1228203310.4000001</v>
      </c>
    </row>
    <row r="377" spans="1:15" s="224" customFormat="1" ht="15.75" customHeight="1" x14ac:dyDescent="0.2">
      <c r="A377" s="219"/>
      <c r="B377" s="220" t="s">
        <v>168</v>
      </c>
      <c r="C377" s="203">
        <v>13630588.199999999</v>
      </c>
      <c r="D377" s="203">
        <v>2559056.31</v>
      </c>
      <c r="E377" s="203">
        <v>3281103.81</v>
      </c>
      <c r="F377" s="203">
        <v>3422098.97</v>
      </c>
      <c r="G377" s="203">
        <v>34906825.200000003</v>
      </c>
      <c r="H377" s="203">
        <v>3212864.29</v>
      </c>
      <c r="I377" s="203">
        <v>3022621.89</v>
      </c>
      <c r="J377" s="203">
        <v>3947892.1</v>
      </c>
      <c r="K377" s="203">
        <v>3196403.47</v>
      </c>
      <c r="L377" s="203">
        <v>3220727.12</v>
      </c>
      <c r="M377" s="203">
        <v>4585113.88</v>
      </c>
      <c r="N377" s="203">
        <v>4825736.8099999996</v>
      </c>
      <c r="O377" s="203">
        <f t="shared" ref="O377:O383" si="44">SUM(C377:N377)</f>
        <v>83811032.049999997</v>
      </c>
    </row>
    <row r="378" spans="1:15" s="224" customFormat="1" ht="15.75" customHeight="1" x14ac:dyDescent="0.2">
      <c r="A378" s="219"/>
      <c r="B378" s="220" t="s">
        <v>1031</v>
      </c>
      <c r="C378" s="203">
        <v>15913480</v>
      </c>
      <c r="D378" s="203">
        <v>30081809</v>
      </c>
      <c r="E378" s="203">
        <v>41981408</v>
      </c>
      <c r="F378" s="203">
        <v>25833356</v>
      </c>
      <c r="G378" s="203">
        <v>40431513</v>
      </c>
      <c r="H378" s="203">
        <v>72495959.280000001</v>
      </c>
      <c r="I378" s="203">
        <v>40870757.210000001</v>
      </c>
      <c r="J378" s="203">
        <v>30035622.559999999</v>
      </c>
      <c r="K378" s="203">
        <v>21761820.719999999</v>
      </c>
      <c r="L378" s="203">
        <v>19386484</v>
      </c>
      <c r="M378" s="203">
        <v>25244005</v>
      </c>
      <c r="N378" s="203">
        <v>29609606.859999999</v>
      </c>
      <c r="O378" s="203">
        <f t="shared" si="44"/>
        <v>393645821.63</v>
      </c>
    </row>
    <row r="379" spans="1:15" s="224" customFormat="1" ht="15.75" hidden="1" customHeight="1" x14ac:dyDescent="0.2">
      <c r="A379" s="219"/>
      <c r="B379" s="220" t="s">
        <v>230</v>
      </c>
      <c r="C379" s="203"/>
      <c r="D379" s="203"/>
      <c r="E379" s="203"/>
      <c r="F379" s="203"/>
      <c r="G379" s="203"/>
      <c r="H379" s="203"/>
      <c r="I379" s="203"/>
      <c r="J379" s="203"/>
      <c r="K379" s="203"/>
      <c r="L379" s="203"/>
      <c r="M379" s="203"/>
      <c r="N379" s="203"/>
      <c r="O379" s="203">
        <f t="shared" si="44"/>
        <v>0</v>
      </c>
    </row>
    <row r="380" spans="1:15" s="224" customFormat="1" ht="15.75" customHeight="1" x14ac:dyDescent="0.2">
      <c r="A380" s="219"/>
      <c r="B380" s="220" t="s">
        <v>167</v>
      </c>
      <c r="C380" s="203">
        <v>90436994.150000006</v>
      </c>
      <c r="D380" s="203">
        <v>67720546.670000002</v>
      </c>
      <c r="E380" s="203">
        <v>70561993.439999998</v>
      </c>
      <c r="F380" s="203">
        <v>52035863.649999999</v>
      </c>
      <c r="G380" s="203">
        <v>56633087.310000002</v>
      </c>
      <c r="H380" s="203">
        <v>65340918.039999999</v>
      </c>
      <c r="I380" s="203">
        <v>62690890.399999999</v>
      </c>
      <c r="J380" s="203">
        <v>62994077.140000001</v>
      </c>
      <c r="K380" s="203">
        <v>62690237.439999998</v>
      </c>
      <c r="L380" s="203">
        <v>55794666.75</v>
      </c>
      <c r="M380" s="203">
        <v>50451878</v>
      </c>
      <c r="N380" s="203">
        <v>53324193.729999997</v>
      </c>
      <c r="O380" s="203">
        <f t="shared" si="44"/>
        <v>750675346.72000003</v>
      </c>
    </row>
    <row r="381" spans="1:15" s="224" customFormat="1" ht="15.75" hidden="1" customHeight="1" x14ac:dyDescent="0.2">
      <c r="A381" s="219"/>
      <c r="B381" s="220" t="s">
        <v>776</v>
      </c>
      <c r="C381" s="203"/>
      <c r="D381" s="203"/>
      <c r="E381" s="203"/>
      <c r="F381" s="203"/>
      <c r="G381" s="203"/>
      <c r="H381" s="203"/>
      <c r="I381" s="203"/>
      <c r="J381" s="203"/>
      <c r="K381" s="203"/>
      <c r="L381" s="203"/>
      <c r="M381" s="203"/>
      <c r="N381" s="203"/>
      <c r="O381" s="203">
        <f t="shared" si="44"/>
        <v>0</v>
      </c>
    </row>
    <row r="382" spans="1:15" s="224" customFormat="1" ht="15.75" customHeight="1" x14ac:dyDescent="0.2">
      <c r="A382" s="219"/>
      <c r="B382" s="220" t="s">
        <v>1032</v>
      </c>
      <c r="C382" s="203"/>
      <c r="D382" s="203">
        <v>0</v>
      </c>
      <c r="E382" s="203">
        <v>28600</v>
      </c>
      <c r="F382" s="203">
        <v>0</v>
      </c>
      <c r="G382" s="203">
        <v>10</v>
      </c>
      <c r="H382" s="203">
        <v>0</v>
      </c>
      <c r="I382" s="203">
        <v>0</v>
      </c>
      <c r="J382" s="203">
        <v>0</v>
      </c>
      <c r="K382" s="203">
        <v>0</v>
      </c>
      <c r="L382" s="203">
        <v>0</v>
      </c>
      <c r="M382" s="203"/>
      <c r="N382" s="203"/>
      <c r="O382" s="203">
        <f t="shared" si="44"/>
        <v>28610</v>
      </c>
    </row>
    <row r="383" spans="1:15" s="224" customFormat="1" ht="15.75" customHeight="1" x14ac:dyDescent="0.2">
      <c r="A383" s="219"/>
      <c r="B383" s="220" t="s">
        <v>119</v>
      </c>
      <c r="C383" s="204"/>
      <c r="D383" s="204"/>
      <c r="E383" s="202">
        <f>700+350</f>
        <v>1050</v>
      </c>
      <c r="F383" s="202" t="s">
        <v>6</v>
      </c>
      <c r="G383" s="202">
        <f>4200+2400</f>
        <v>6600</v>
      </c>
      <c r="H383" s="202">
        <f>700+6000+11000+1500+1500+4200</f>
        <v>24900</v>
      </c>
      <c r="I383" s="202">
        <f>500+2450+1400+700</f>
        <v>5050</v>
      </c>
      <c r="J383" s="202">
        <v>700</v>
      </c>
      <c r="K383" s="202"/>
      <c r="L383" s="202"/>
      <c r="M383" s="202">
        <v>4200</v>
      </c>
      <c r="N383" s="202"/>
      <c r="O383" s="203">
        <f t="shared" si="44"/>
        <v>42500</v>
      </c>
    </row>
    <row r="384" spans="1:15" s="224" customFormat="1" ht="15.75" customHeight="1" x14ac:dyDescent="0.2">
      <c r="A384" s="228"/>
      <c r="B384" s="228"/>
      <c r="C384" s="203"/>
      <c r="D384" s="203"/>
      <c r="E384" s="203"/>
      <c r="F384" s="203"/>
      <c r="G384" s="203"/>
      <c r="H384" s="203"/>
      <c r="I384" s="203"/>
      <c r="J384" s="203"/>
      <c r="K384" s="203"/>
      <c r="L384" s="203"/>
      <c r="M384" s="203"/>
      <c r="N384" s="203"/>
      <c r="O384" s="203"/>
    </row>
    <row r="385" spans="1:15" s="224" customFormat="1" ht="15.75" customHeight="1" x14ac:dyDescent="0.25">
      <c r="A385" s="216" t="s">
        <v>669</v>
      </c>
      <c r="B385" s="226"/>
      <c r="C385" s="227">
        <f>SUM(C386,C390:C396)</f>
        <v>1176974544.79</v>
      </c>
      <c r="D385" s="227">
        <f t="shared" ref="D385:O385" si="45">SUM(D386,D390:D396)</f>
        <v>701347726.42000008</v>
      </c>
      <c r="E385" s="227">
        <f t="shared" si="45"/>
        <v>1078405950.76</v>
      </c>
      <c r="F385" s="227">
        <f t="shared" si="45"/>
        <v>711568236.74000013</v>
      </c>
      <c r="G385" s="227">
        <f t="shared" si="45"/>
        <v>757448370.52999985</v>
      </c>
      <c r="H385" s="227">
        <f t="shared" si="45"/>
        <v>860723769.03999996</v>
      </c>
      <c r="I385" s="227">
        <f t="shared" si="45"/>
        <v>811723347.50000012</v>
      </c>
      <c r="J385" s="227">
        <f t="shared" si="45"/>
        <v>755034337.01999998</v>
      </c>
      <c r="K385" s="227">
        <f t="shared" si="45"/>
        <v>1021984243.21</v>
      </c>
      <c r="L385" s="227">
        <f t="shared" si="45"/>
        <v>902342383.58999991</v>
      </c>
      <c r="M385" s="227">
        <f t="shared" si="45"/>
        <v>774534992.56999993</v>
      </c>
      <c r="N385" s="227">
        <f t="shared" si="45"/>
        <v>845476741.45000005</v>
      </c>
      <c r="O385" s="227">
        <f t="shared" si="45"/>
        <v>10397564643.620001</v>
      </c>
    </row>
    <row r="386" spans="1:15" s="224" customFormat="1" ht="15" customHeight="1" x14ac:dyDescent="0.2">
      <c r="A386" s="219"/>
      <c r="B386" s="220" t="s">
        <v>770</v>
      </c>
      <c r="C386" s="203">
        <f t="shared" ref="C386:N386" si="46">SUM(C387:C389)</f>
        <v>21692433.600000001</v>
      </c>
      <c r="D386" s="203">
        <f t="shared" si="46"/>
        <v>21216166.149999999</v>
      </c>
      <c r="E386" s="203">
        <f t="shared" si="46"/>
        <v>32425476.57</v>
      </c>
      <c r="F386" s="203">
        <f t="shared" si="46"/>
        <v>23738574.850000001</v>
      </c>
      <c r="G386" s="203">
        <f t="shared" si="46"/>
        <v>26460714.600000001</v>
      </c>
      <c r="H386" s="203">
        <f t="shared" si="46"/>
        <v>27066379.149999999</v>
      </c>
      <c r="I386" s="203">
        <f t="shared" si="46"/>
        <v>25967842.149999999</v>
      </c>
      <c r="J386" s="203">
        <f t="shared" si="46"/>
        <v>25762367.100000001</v>
      </c>
      <c r="K386" s="203">
        <f t="shared" si="46"/>
        <v>24883131.25</v>
      </c>
      <c r="L386" s="203">
        <f t="shared" si="46"/>
        <v>28550185.609999999</v>
      </c>
      <c r="M386" s="203">
        <f t="shared" si="46"/>
        <v>25769010.5</v>
      </c>
      <c r="N386" s="203">
        <f t="shared" si="46"/>
        <v>27307460.940000001</v>
      </c>
      <c r="O386" s="203">
        <f t="shared" ref="O386:O396" si="47">SUM(C386:N386)</f>
        <v>310839742.46999997</v>
      </c>
    </row>
    <row r="387" spans="1:15" s="224" customFormat="1" ht="15.75" hidden="1" customHeight="1" x14ac:dyDescent="0.2">
      <c r="A387" s="219"/>
      <c r="B387" s="231" t="s">
        <v>1033</v>
      </c>
      <c r="C387" s="248">
        <v>623030.6</v>
      </c>
      <c r="D387" s="248">
        <v>841870.6</v>
      </c>
      <c r="E387" s="248">
        <v>5715293.1200000001</v>
      </c>
      <c r="F387" s="248">
        <v>971470.6</v>
      </c>
      <c r="G387" s="248">
        <v>1233087.1000000001</v>
      </c>
      <c r="H387" s="248">
        <v>2686817.1</v>
      </c>
      <c r="I387" s="248">
        <v>2460188.1</v>
      </c>
      <c r="J387" s="248">
        <v>1265943.6000000001</v>
      </c>
      <c r="K387" s="248">
        <v>647117.6</v>
      </c>
      <c r="L387" s="248">
        <v>1594511.5</v>
      </c>
      <c r="M387" s="248">
        <v>471987</v>
      </c>
      <c r="N387" s="248">
        <v>892489.14</v>
      </c>
      <c r="O387" s="203">
        <f t="shared" si="47"/>
        <v>19403806.059999999</v>
      </c>
    </row>
    <row r="388" spans="1:15" s="224" customFormat="1" ht="15.75" hidden="1" customHeight="1" x14ac:dyDescent="0.2">
      <c r="A388" s="219"/>
      <c r="B388" s="231" t="s">
        <v>1034</v>
      </c>
      <c r="C388" s="248">
        <v>7749078.4000000004</v>
      </c>
      <c r="D388" s="248">
        <v>9609980.5</v>
      </c>
      <c r="E388" s="248">
        <v>13452834.75</v>
      </c>
      <c r="F388" s="248">
        <v>9757658.25</v>
      </c>
      <c r="G388" s="248">
        <v>9907778</v>
      </c>
      <c r="H388" s="248">
        <v>10669904.75</v>
      </c>
      <c r="I388" s="248">
        <v>9368030</v>
      </c>
      <c r="J388" s="248">
        <v>10869433.5</v>
      </c>
      <c r="K388" s="248">
        <v>11954003</v>
      </c>
      <c r="L388" s="248">
        <v>12141942.76</v>
      </c>
      <c r="M388" s="248">
        <v>10718733.5</v>
      </c>
      <c r="N388" s="248">
        <v>10491762</v>
      </c>
      <c r="O388" s="203">
        <f t="shared" si="47"/>
        <v>126691139.41000001</v>
      </c>
    </row>
    <row r="389" spans="1:15" s="224" customFormat="1" ht="15.75" hidden="1" customHeight="1" x14ac:dyDescent="0.2">
      <c r="A389" s="219"/>
      <c r="B389" s="231" t="s">
        <v>1035</v>
      </c>
      <c r="C389" s="248">
        <v>13320324.6</v>
      </c>
      <c r="D389" s="248">
        <v>10764315.050000001</v>
      </c>
      <c r="E389" s="248">
        <v>13257348.699999999</v>
      </c>
      <c r="F389" s="248">
        <v>13009446</v>
      </c>
      <c r="G389" s="248">
        <v>15319849.5</v>
      </c>
      <c r="H389" s="248">
        <v>13709657.300000001</v>
      </c>
      <c r="I389" s="248">
        <v>14139624.050000001</v>
      </c>
      <c r="J389" s="248">
        <v>13626990</v>
      </c>
      <c r="K389" s="248">
        <v>12282010.65</v>
      </c>
      <c r="L389" s="248">
        <v>14813731.35</v>
      </c>
      <c r="M389" s="248">
        <v>14578290</v>
      </c>
      <c r="N389" s="248">
        <v>15923209.800000001</v>
      </c>
      <c r="O389" s="203">
        <f t="shared" si="47"/>
        <v>164744797</v>
      </c>
    </row>
    <row r="390" spans="1:15" s="224" customFormat="1" ht="15.75" customHeight="1" x14ac:dyDescent="0.2">
      <c r="A390" s="219"/>
      <c r="B390" s="220" t="s">
        <v>176</v>
      </c>
      <c r="C390" s="203">
        <v>16657148.539999999</v>
      </c>
      <c r="D390" s="203">
        <v>11910161.27</v>
      </c>
      <c r="E390" s="203">
        <v>103081961.34</v>
      </c>
      <c r="F390" s="203">
        <v>23103760.510000002</v>
      </c>
      <c r="G390" s="203">
        <v>16765331.279999999</v>
      </c>
      <c r="H390" s="203">
        <v>16411621.390000001</v>
      </c>
      <c r="I390" s="203">
        <v>19059321.219999999</v>
      </c>
      <c r="J390" s="203">
        <v>16489738.83</v>
      </c>
      <c r="K390" s="203">
        <v>15124599.6</v>
      </c>
      <c r="L390" s="203">
        <v>10505512.369999999</v>
      </c>
      <c r="M390" s="203">
        <v>18848447.859999999</v>
      </c>
      <c r="N390" s="203">
        <v>16227348.58</v>
      </c>
      <c r="O390" s="203">
        <f t="shared" si="47"/>
        <v>284184952.78999996</v>
      </c>
    </row>
    <row r="391" spans="1:15" s="224" customFormat="1" ht="15.75" customHeight="1" x14ac:dyDescent="0.2">
      <c r="A391" s="219"/>
      <c r="B391" s="220" t="s">
        <v>777</v>
      </c>
      <c r="C391" s="203">
        <v>35749905.240000002</v>
      </c>
      <c r="D391" s="203">
        <v>47481589.630000003</v>
      </c>
      <c r="E391" s="203">
        <v>63123734.909999996</v>
      </c>
      <c r="F391" s="203">
        <v>47978938.68</v>
      </c>
      <c r="G391" s="203">
        <v>45147669.799999997</v>
      </c>
      <c r="H391" s="203">
        <v>47166619.579999998</v>
      </c>
      <c r="I391" s="203">
        <v>44788274.490000002</v>
      </c>
      <c r="J391" s="203">
        <v>44762156.640000001</v>
      </c>
      <c r="K391" s="203">
        <v>70330006.219999999</v>
      </c>
      <c r="L391" s="203">
        <v>55103300.590000004</v>
      </c>
      <c r="M391" s="203">
        <v>25892549.609999999</v>
      </c>
      <c r="N391" s="203">
        <v>30164355.940000001</v>
      </c>
      <c r="O391" s="203">
        <f t="shared" si="47"/>
        <v>557689101.33000004</v>
      </c>
    </row>
    <row r="392" spans="1:15" s="224" customFormat="1" ht="15.75" customHeight="1" x14ac:dyDescent="0.2">
      <c r="A392" s="219"/>
      <c r="B392" s="220" t="s">
        <v>178</v>
      </c>
      <c r="C392" s="203">
        <v>424590730.14999998</v>
      </c>
      <c r="D392" s="203">
        <v>460274325.55000001</v>
      </c>
      <c r="E392" s="203">
        <v>615298767.73000002</v>
      </c>
      <c r="F392" s="203">
        <v>484703778.20999998</v>
      </c>
      <c r="G392" s="203">
        <v>525360120.63999999</v>
      </c>
      <c r="H392" s="203">
        <v>577730462.42999995</v>
      </c>
      <c r="I392" s="203">
        <v>551628134.98000002</v>
      </c>
      <c r="J392" s="203">
        <v>575902929.48000002</v>
      </c>
      <c r="K392" s="203">
        <v>586838253.88999999</v>
      </c>
      <c r="L392" s="203">
        <v>590124227.64999998</v>
      </c>
      <c r="M392" s="211">
        <v>570119298.92999995</v>
      </c>
      <c r="N392" s="211">
        <v>537325955.35000002</v>
      </c>
      <c r="O392" s="203">
        <f t="shared" si="47"/>
        <v>6499896984.9900007</v>
      </c>
    </row>
    <row r="393" spans="1:15" s="224" customFormat="1" ht="15.75" customHeight="1" x14ac:dyDescent="0.2">
      <c r="A393" s="219"/>
      <c r="B393" s="220" t="s">
        <v>180</v>
      </c>
      <c r="C393" s="203">
        <v>61497432.609999999</v>
      </c>
      <c r="D393" s="203">
        <v>66366107.009999998</v>
      </c>
      <c r="E393" s="203">
        <v>83857306.129999995</v>
      </c>
      <c r="F393" s="203">
        <v>78077576.689999998</v>
      </c>
      <c r="G393" s="203">
        <v>61779613.799999997</v>
      </c>
      <c r="H393" s="203">
        <v>68011204.530000001</v>
      </c>
      <c r="I393" s="203">
        <v>61737172.899999999</v>
      </c>
      <c r="J393" s="203">
        <v>59781677.490000002</v>
      </c>
      <c r="K393" s="203">
        <v>73544800.629999995</v>
      </c>
      <c r="L393" s="203">
        <v>73429133.280000001</v>
      </c>
      <c r="M393" s="203">
        <v>76585371.170000002</v>
      </c>
      <c r="N393" s="203">
        <v>55420107.009999998</v>
      </c>
      <c r="O393" s="203">
        <f t="shared" si="47"/>
        <v>820087503.24999988</v>
      </c>
    </row>
    <row r="394" spans="1:15" s="224" customFormat="1" ht="15.75" customHeight="1" x14ac:dyDescent="0.2">
      <c r="A394" s="219"/>
      <c r="B394" s="220" t="s">
        <v>181</v>
      </c>
      <c r="C394" s="203">
        <v>8163822.54</v>
      </c>
      <c r="D394" s="203">
        <v>5960851.25</v>
      </c>
      <c r="E394" s="203">
        <v>1381027.32</v>
      </c>
      <c r="F394" s="203">
        <v>25753838.850000001</v>
      </c>
      <c r="G394" s="203">
        <v>8956100.7699999996</v>
      </c>
      <c r="H394" s="203">
        <v>13874137.470000001</v>
      </c>
      <c r="I394" s="203">
        <v>60928823.189999998</v>
      </c>
      <c r="J394" s="203">
        <v>13278589.98</v>
      </c>
      <c r="K394" s="203">
        <v>23960113.600000001</v>
      </c>
      <c r="L394" s="203">
        <v>70387433.219999999</v>
      </c>
      <c r="M394" s="203">
        <v>41498032.700000003</v>
      </c>
      <c r="N394" s="203">
        <v>26543125.239999998</v>
      </c>
      <c r="O394" s="203">
        <f t="shared" si="47"/>
        <v>300685896.13</v>
      </c>
    </row>
    <row r="395" spans="1:15" s="224" customFormat="1" ht="15.75" customHeight="1" x14ac:dyDescent="0.2">
      <c r="A395" s="219"/>
      <c r="B395" s="220" t="s">
        <v>1036</v>
      </c>
      <c r="C395" s="203">
        <v>19274830</v>
      </c>
      <c r="D395" s="203">
        <v>132360</v>
      </c>
      <c r="E395" s="203">
        <v>30184340</v>
      </c>
      <c r="F395" s="203">
        <v>13339870</v>
      </c>
      <c r="G395" s="203">
        <v>6697100</v>
      </c>
      <c r="H395" s="203">
        <v>5969610</v>
      </c>
      <c r="I395" s="203">
        <v>4632466</v>
      </c>
      <c r="J395" s="203">
        <v>4327290</v>
      </c>
      <c r="K395" s="203">
        <v>3094070</v>
      </c>
      <c r="L395" s="203">
        <v>1841504.3</v>
      </c>
      <c r="M395" s="203">
        <v>842839.75</v>
      </c>
      <c r="N395" s="203">
        <v>9635618.8300000001</v>
      </c>
      <c r="O395" s="203">
        <f t="shared" si="47"/>
        <v>99971898.879999995</v>
      </c>
    </row>
    <row r="396" spans="1:15" s="224" customFormat="1" ht="15.75" customHeight="1" x14ac:dyDescent="0.2">
      <c r="A396" s="219"/>
      <c r="B396" s="220" t="s">
        <v>1037</v>
      </c>
      <c r="C396" s="202">
        <v>589348242.11000001</v>
      </c>
      <c r="D396" s="203">
        <v>88006165.560000002</v>
      </c>
      <c r="E396" s="203">
        <v>149053336.75999999</v>
      </c>
      <c r="F396" s="203">
        <v>14871898.949999999</v>
      </c>
      <c r="G396" s="203">
        <v>66281719.640000001</v>
      </c>
      <c r="H396" s="203">
        <v>104493734.48999999</v>
      </c>
      <c r="I396" s="203">
        <v>42981312.57</v>
      </c>
      <c r="J396" s="203">
        <v>14729587.5</v>
      </c>
      <c r="K396" s="203">
        <v>224209268.02000001</v>
      </c>
      <c r="L396" s="203">
        <v>72401086.569999993</v>
      </c>
      <c r="M396" s="203">
        <v>14979442.050000001</v>
      </c>
      <c r="N396" s="203">
        <v>142852769.56</v>
      </c>
      <c r="O396" s="203">
        <f t="shared" si="47"/>
        <v>1524208563.78</v>
      </c>
    </row>
    <row r="397" spans="1:15" s="224" customFormat="1" ht="15.75" customHeight="1" x14ac:dyDescent="0.2">
      <c r="A397" s="228"/>
      <c r="B397" s="228"/>
      <c r="C397" s="203"/>
      <c r="D397" s="203"/>
      <c r="E397" s="203"/>
      <c r="F397" s="203"/>
      <c r="G397" s="203"/>
      <c r="H397" s="203"/>
      <c r="I397" s="203"/>
      <c r="J397" s="203"/>
      <c r="K397" s="203"/>
      <c r="L397" s="203"/>
      <c r="M397" s="203"/>
      <c r="N397" s="203"/>
      <c r="O397" s="203"/>
    </row>
    <row r="398" spans="1:15" s="224" customFormat="1" ht="15.75" customHeight="1" x14ac:dyDescent="0.25">
      <c r="A398" s="216" t="s">
        <v>122</v>
      </c>
      <c r="B398" s="226"/>
      <c r="C398" s="227">
        <f>SUM(C399:C402)</f>
        <v>21380205.819999997</v>
      </c>
      <c r="D398" s="227">
        <f t="shared" ref="D398:O398" si="48">SUM(D399:D402)</f>
        <v>19651298.559999999</v>
      </c>
      <c r="E398" s="227">
        <f t="shared" si="48"/>
        <v>200881076.30000001</v>
      </c>
      <c r="F398" s="227">
        <f t="shared" si="48"/>
        <v>117947300.82000001</v>
      </c>
      <c r="G398" s="227">
        <f t="shared" si="48"/>
        <v>16029472.26</v>
      </c>
      <c r="H398" s="227">
        <f t="shared" si="48"/>
        <v>40072325.020000003</v>
      </c>
      <c r="I398" s="227">
        <f t="shared" si="48"/>
        <v>268323714.84999999</v>
      </c>
      <c r="J398" s="227">
        <f t="shared" si="48"/>
        <v>60010633.539999999</v>
      </c>
      <c r="K398" s="227">
        <f t="shared" si="48"/>
        <v>272832775.77000004</v>
      </c>
      <c r="L398" s="227">
        <f t="shared" si="48"/>
        <v>31761799.460000001</v>
      </c>
      <c r="M398" s="227">
        <f t="shared" si="48"/>
        <v>132063891.74999999</v>
      </c>
      <c r="N398" s="227">
        <f t="shared" si="48"/>
        <v>223843172.90000004</v>
      </c>
      <c r="O398" s="227">
        <f t="shared" si="48"/>
        <v>1404797667.0500002</v>
      </c>
    </row>
    <row r="399" spans="1:15" s="224" customFormat="1" ht="15.75" hidden="1" customHeight="1" x14ac:dyDescent="0.2">
      <c r="A399" s="231">
        <v>1</v>
      </c>
      <c r="B399" s="220" t="s">
        <v>108</v>
      </c>
      <c r="C399" s="203">
        <v>0</v>
      </c>
      <c r="D399" s="203">
        <v>0</v>
      </c>
      <c r="E399" s="203">
        <v>0</v>
      </c>
      <c r="F399" s="203">
        <v>0</v>
      </c>
      <c r="G399" s="203">
        <v>0</v>
      </c>
      <c r="H399" s="203">
        <v>0</v>
      </c>
      <c r="I399" s="203">
        <v>0</v>
      </c>
      <c r="J399" s="203">
        <v>0</v>
      </c>
      <c r="K399" s="203">
        <v>0</v>
      </c>
      <c r="L399" s="203">
        <v>0</v>
      </c>
      <c r="M399" s="203">
        <v>0</v>
      </c>
      <c r="N399" s="203">
        <v>0</v>
      </c>
      <c r="O399" s="203">
        <f t="shared" ref="O399:O402" si="49">SUM(C399:N399)</f>
        <v>0</v>
      </c>
    </row>
    <row r="400" spans="1:15" s="224" customFormat="1" ht="15.75" customHeight="1" x14ac:dyDescent="0.2">
      <c r="A400" s="231"/>
      <c r="B400" s="220" t="s">
        <v>771</v>
      </c>
      <c r="C400" s="211">
        <v>21371081.239999998</v>
      </c>
      <c r="D400" s="211">
        <v>13822466.82</v>
      </c>
      <c r="E400" s="211">
        <v>198861324.30000001</v>
      </c>
      <c r="F400" s="211">
        <v>116727221.87</v>
      </c>
      <c r="G400" s="211">
        <v>15894757.6</v>
      </c>
      <c r="H400" s="211">
        <v>36110178.840000004</v>
      </c>
      <c r="I400" s="211">
        <v>268282114.84999999</v>
      </c>
      <c r="J400" s="211">
        <v>59599938.369999997</v>
      </c>
      <c r="K400" s="211">
        <v>271330885.92000002</v>
      </c>
      <c r="L400" s="211">
        <v>31232815.59</v>
      </c>
      <c r="M400" s="211">
        <v>131640522.13</v>
      </c>
      <c r="N400" s="211">
        <v>223003651.11000001</v>
      </c>
      <c r="O400" s="203">
        <f t="shared" si="49"/>
        <v>1387876958.6400003</v>
      </c>
    </row>
    <row r="401" spans="1:15" s="224" customFormat="1" ht="15.75" customHeight="1" x14ac:dyDescent="0.2">
      <c r="A401" s="231"/>
      <c r="B401" s="220" t="s">
        <v>1038</v>
      </c>
      <c r="C401" s="203">
        <v>6624.58</v>
      </c>
      <c r="D401" s="203">
        <v>5634320</v>
      </c>
      <c r="E401" s="203">
        <v>1985669</v>
      </c>
      <c r="F401" s="203">
        <v>1206078.95</v>
      </c>
      <c r="G401" s="203">
        <v>6636.5</v>
      </c>
      <c r="H401" s="203">
        <v>3882748.18</v>
      </c>
      <c r="I401" s="203">
        <v>0</v>
      </c>
      <c r="J401" s="203">
        <v>852.21</v>
      </c>
      <c r="K401" s="203">
        <v>1196205.75</v>
      </c>
      <c r="L401" s="203">
        <v>334600</v>
      </c>
      <c r="M401" s="211">
        <v>5529.46</v>
      </c>
      <c r="N401" s="211">
        <v>735798.21</v>
      </c>
      <c r="O401" s="203">
        <f t="shared" si="49"/>
        <v>14995062.84</v>
      </c>
    </row>
    <row r="402" spans="1:15" s="224" customFormat="1" ht="15.75" customHeight="1" x14ac:dyDescent="0.2">
      <c r="A402" s="231"/>
      <c r="B402" s="220" t="s">
        <v>126</v>
      </c>
      <c r="C402" s="203">
        <v>2500</v>
      </c>
      <c r="D402" s="203">
        <v>194511.74</v>
      </c>
      <c r="E402" s="203">
        <v>34083</v>
      </c>
      <c r="F402" s="203">
        <v>14000</v>
      </c>
      <c r="G402" s="203">
        <v>128078.16</v>
      </c>
      <c r="H402" s="203">
        <v>79398</v>
      </c>
      <c r="I402" s="203">
        <v>41600</v>
      </c>
      <c r="J402" s="203">
        <v>409842.96</v>
      </c>
      <c r="K402" s="203">
        <v>305684.09999999998</v>
      </c>
      <c r="L402" s="203">
        <v>194383.87</v>
      </c>
      <c r="M402" s="211">
        <v>417840.16</v>
      </c>
      <c r="N402" s="211">
        <v>103723.58</v>
      </c>
      <c r="O402" s="203">
        <f t="shared" si="49"/>
        <v>1925645.57</v>
      </c>
    </row>
    <row r="403" spans="1:15" s="224" customFormat="1" ht="15.75" customHeight="1" x14ac:dyDescent="0.2">
      <c r="A403" s="228"/>
      <c r="B403" s="228"/>
      <c r="C403" s="203"/>
      <c r="D403" s="202"/>
      <c r="E403" s="202"/>
      <c r="F403" s="202"/>
      <c r="G403" s="202"/>
      <c r="H403" s="202"/>
      <c r="I403" s="202"/>
      <c r="J403" s="202"/>
      <c r="K403" s="202"/>
      <c r="L403" s="202"/>
      <c r="M403" s="203"/>
      <c r="N403" s="203"/>
      <c r="O403" s="203"/>
    </row>
    <row r="404" spans="1:15" s="224" customFormat="1" ht="15.75" customHeight="1" x14ac:dyDescent="0.25">
      <c r="A404" s="216" t="s">
        <v>1039</v>
      </c>
      <c r="B404" s="226"/>
      <c r="C404" s="227">
        <f>SUM(C405:C418)</f>
        <v>504698413.36000001</v>
      </c>
      <c r="D404" s="227">
        <f t="shared" ref="D404:O404" si="50">SUM(D405:D418)</f>
        <v>34192429.960000001</v>
      </c>
      <c r="E404" s="227">
        <f t="shared" si="50"/>
        <v>42405296.120000005</v>
      </c>
      <c r="F404" s="227">
        <f t="shared" si="50"/>
        <v>36211277.890000001</v>
      </c>
      <c r="G404" s="227">
        <f t="shared" si="50"/>
        <v>41700207.430000007</v>
      </c>
      <c r="H404" s="227">
        <f t="shared" si="50"/>
        <v>198241318.18000001</v>
      </c>
      <c r="I404" s="227">
        <f t="shared" si="50"/>
        <v>33065302.399999995</v>
      </c>
      <c r="J404" s="227">
        <f t="shared" si="50"/>
        <v>43648850.490000002</v>
      </c>
      <c r="K404" s="227">
        <f t="shared" si="50"/>
        <v>844302519.63999999</v>
      </c>
      <c r="L404" s="227">
        <f t="shared" si="50"/>
        <v>27954383.469999999</v>
      </c>
      <c r="M404" s="227">
        <f t="shared" si="50"/>
        <v>31466820.82</v>
      </c>
      <c r="N404" s="227">
        <f t="shared" si="50"/>
        <v>47224363.939999998</v>
      </c>
      <c r="O404" s="227">
        <f t="shared" si="50"/>
        <v>1885111183.7000005</v>
      </c>
    </row>
    <row r="405" spans="1:15" s="224" customFormat="1" ht="15.75" hidden="1" customHeight="1" x14ac:dyDescent="0.2">
      <c r="A405" s="219">
        <v>1</v>
      </c>
      <c r="B405" s="228" t="s">
        <v>22</v>
      </c>
      <c r="C405" s="203"/>
      <c r="D405" s="203"/>
      <c r="E405" s="203"/>
      <c r="F405" s="203"/>
      <c r="G405" s="203"/>
      <c r="H405" s="203"/>
      <c r="I405" s="203"/>
      <c r="J405" s="203"/>
      <c r="K405" s="203"/>
      <c r="L405" s="203"/>
      <c r="M405" s="203"/>
      <c r="N405" s="203"/>
      <c r="O405" s="203">
        <f t="shared" ref="O405:O418" si="51">SUM(C405:N405)</f>
        <v>0</v>
      </c>
    </row>
    <row r="406" spans="1:15" s="224" customFormat="1" ht="15.75" customHeight="1" x14ac:dyDescent="0.2">
      <c r="A406" s="219"/>
      <c r="B406" s="228" t="s">
        <v>1040</v>
      </c>
      <c r="C406" s="203">
        <v>1340010</v>
      </c>
      <c r="D406" s="203">
        <v>559870</v>
      </c>
      <c r="E406" s="203">
        <v>64010</v>
      </c>
      <c r="F406" s="203">
        <v>51430</v>
      </c>
      <c r="G406" s="212">
        <v>91390</v>
      </c>
      <c r="H406" s="212">
        <v>20350</v>
      </c>
      <c r="I406" s="203"/>
      <c r="J406" s="203"/>
      <c r="K406" s="203">
        <v>370</v>
      </c>
      <c r="L406" s="203"/>
      <c r="M406" s="203"/>
      <c r="N406" s="203"/>
      <c r="O406" s="203">
        <f t="shared" si="51"/>
        <v>2127430</v>
      </c>
    </row>
    <row r="407" spans="1:15" s="224" customFormat="1" ht="15.75" customHeight="1" x14ac:dyDescent="0.2">
      <c r="A407" s="219"/>
      <c r="B407" s="228" t="s">
        <v>25</v>
      </c>
      <c r="C407" s="203">
        <v>156300</v>
      </c>
      <c r="D407" s="203">
        <v>249700</v>
      </c>
      <c r="E407" s="203">
        <v>53100</v>
      </c>
      <c r="F407" s="203">
        <v>5477205</v>
      </c>
      <c r="G407" s="212">
        <v>4824430.4000000004</v>
      </c>
      <c r="H407" s="212">
        <v>10666603.689999999</v>
      </c>
      <c r="I407" s="203">
        <v>2470889</v>
      </c>
      <c r="J407" s="203">
        <v>2810759</v>
      </c>
      <c r="K407" s="203">
        <v>2132373</v>
      </c>
      <c r="L407" s="203">
        <v>2770959.2</v>
      </c>
      <c r="M407" s="203">
        <v>2280236</v>
      </c>
      <c r="N407" s="203">
        <v>2019317</v>
      </c>
      <c r="O407" s="203">
        <f t="shared" si="51"/>
        <v>35911872.289999999</v>
      </c>
    </row>
    <row r="408" spans="1:15" s="224" customFormat="1" ht="15.75" customHeight="1" x14ac:dyDescent="0.2">
      <c r="A408" s="219"/>
      <c r="B408" s="228" t="s">
        <v>755</v>
      </c>
      <c r="C408" s="211">
        <v>479489466</v>
      </c>
      <c r="D408" s="211">
        <v>16276869.93</v>
      </c>
      <c r="E408" s="211">
        <v>17620557.190000001</v>
      </c>
      <c r="F408" s="211">
        <v>12706915.640000001</v>
      </c>
      <c r="G408" s="212">
        <v>19513110.710000001</v>
      </c>
      <c r="H408" s="212">
        <v>169075158.61000001</v>
      </c>
      <c r="I408" s="211">
        <v>14187042.390000001</v>
      </c>
      <c r="J408" s="211">
        <v>25144214.079999998</v>
      </c>
      <c r="K408" s="211">
        <v>820815109.37</v>
      </c>
      <c r="L408" s="211">
        <v>9361643.75</v>
      </c>
      <c r="M408" s="211">
        <v>10419662.16</v>
      </c>
      <c r="N408" s="211">
        <v>26199535.379999999</v>
      </c>
      <c r="O408" s="203">
        <f t="shared" si="51"/>
        <v>1620809285.2100003</v>
      </c>
    </row>
    <row r="409" spans="1:15" s="224" customFormat="1" ht="15.75" customHeight="1" x14ac:dyDescent="0.2">
      <c r="A409" s="219"/>
      <c r="B409" s="228" t="s">
        <v>27</v>
      </c>
      <c r="C409" s="203">
        <v>439348.58</v>
      </c>
      <c r="D409" s="203">
        <v>1232424.49</v>
      </c>
      <c r="E409" s="203">
        <v>6436282.5</v>
      </c>
      <c r="F409" s="203">
        <v>2046487.75</v>
      </c>
      <c r="G409" s="212">
        <v>741992.42</v>
      </c>
      <c r="H409" s="212">
        <v>1273615.6000000001</v>
      </c>
      <c r="I409" s="203">
        <v>1364367.43</v>
      </c>
      <c r="J409" s="203">
        <v>544100.87</v>
      </c>
      <c r="K409" s="203">
        <v>1522766.9</v>
      </c>
      <c r="L409" s="203">
        <v>989512.35</v>
      </c>
      <c r="M409" s="211">
        <v>814665.65</v>
      </c>
      <c r="N409" s="211">
        <v>759360.93</v>
      </c>
      <c r="O409" s="203">
        <f t="shared" si="51"/>
        <v>18164925.469999999</v>
      </c>
    </row>
    <row r="410" spans="1:15" s="224" customFormat="1" ht="15.75" customHeight="1" x14ac:dyDescent="0.2">
      <c r="A410" s="219"/>
      <c r="B410" s="228" t="s">
        <v>747</v>
      </c>
      <c r="C410" s="211">
        <v>0</v>
      </c>
      <c r="D410" s="211">
        <v>0</v>
      </c>
      <c r="E410" s="211">
        <v>0</v>
      </c>
      <c r="F410" s="211">
        <v>0</v>
      </c>
      <c r="G410" s="212">
        <v>10000</v>
      </c>
      <c r="H410" s="212">
        <v>0</v>
      </c>
      <c r="I410" s="211">
        <v>0</v>
      </c>
      <c r="J410" s="211">
        <v>0</v>
      </c>
      <c r="K410" s="211">
        <v>0</v>
      </c>
      <c r="L410" s="211">
        <v>0</v>
      </c>
      <c r="M410" s="211">
        <v>0</v>
      </c>
      <c r="N410" s="211">
        <v>0</v>
      </c>
      <c r="O410" s="203">
        <f t="shared" si="51"/>
        <v>10000</v>
      </c>
    </row>
    <row r="411" spans="1:15" s="224" customFormat="1" ht="15.75" hidden="1" customHeight="1" x14ac:dyDescent="0.2">
      <c r="A411" s="219"/>
      <c r="B411" s="228" t="s">
        <v>1100</v>
      </c>
      <c r="C411" s="203"/>
      <c r="D411" s="203"/>
      <c r="E411" s="203"/>
      <c r="F411" s="203"/>
      <c r="G411" s="211"/>
      <c r="H411" s="211"/>
      <c r="I411" s="203"/>
      <c r="J411" s="203"/>
      <c r="K411" s="203"/>
      <c r="L411" s="203"/>
      <c r="M411" s="203"/>
      <c r="N411" s="203"/>
      <c r="O411" s="203">
        <f t="shared" si="51"/>
        <v>0</v>
      </c>
    </row>
    <row r="412" spans="1:15" s="224" customFormat="1" ht="15.75" customHeight="1" x14ac:dyDescent="0.2">
      <c r="A412" s="219"/>
      <c r="B412" s="228" t="s">
        <v>1041</v>
      </c>
      <c r="C412" s="203">
        <v>14163127.48</v>
      </c>
      <c r="D412" s="203">
        <v>7628992.9800000004</v>
      </c>
      <c r="E412" s="203">
        <v>7931197.6399999997</v>
      </c>
      <c r="F412" s="203">
        <v>6848519.9800000004</v>
      </c>
      <c r="G412" s="212">
        <v>8419214.9600000009</v>
      </c>
      <c r="H412" s="212">
        <v>9093060.6999999993</v>
      </c>
      <c r="I412" s="203">
        <v>5572119.5</v>
      </c>
      <c r="J412" s="203">
        <v>8449075.1500000004</v>
      </c>
      <c r="K412" s="203">
        <v>10417167.439999999</v>
      </c>
      <c r="L412" s="203">
        <v>8097705.0599999996</v>
      </c>
      <c r="M412" s="203">
        <v>7960297</v>
      </c>
      <c r="N412" s="203">
        <v>11500368.84</v>
      </c>
      <c r="O412" s="203">
        <f t="shared" si="51"/>
        <v>106080846.73</v>
      </c>
    </row>
    <row r="413" spans="1:15" s="224" customFormat="1" ht="15.75" customHeight="1" x14ac:dyDescent="0.2">
      <c r="A413" s="219"/>
      <c r="B413" s="228" t="s">
        <v>1042</v>
      </c>
      <c r="C413" s="203">
        <v>2037209.64</v>
      </c>
      <c r="D413" s="203">
        <v>57501.99</v>
      </c>
      <c r="E413" s="203">
        <v>761378</v>
      </c>
      <c r="F413" s="203">
        <v>969270.37</v>
      </c>
      <c r="G413" s="212">
        <v>74410</v>
      </c>
      <c r="H413" s="212">
        <v>81359.990000000005</v>
      </c>
      <c r="I413" s="203">
        <v>94655.5</v>
      </c>
      <c r="J413" s="203">
        <v>114858</v>
      </c>
      <c r="K413" s="203">
        <v>149828</v>
      </c>
      <c r="L413" s="203">
        <v>135993.60999999999</v>
      </c>
      <c r="M413" s="203">
        <v>72896</v>
      </c>
      <c r="N413" s="203">
        <v>92565.3</v>
      </c>
      <c r="O413" s="203">
        <f t="shared" si="51"/>
        <v>4641926.4000000004</v>
      </c>
    </row>
    <row r="414" spans="1:15" s="224" customFormat="1" ht="15.75" customHeight="1" x14ac:dyDescent="0.2">
      <c r="A414" s="219"/>
      <c r="B414" s="228" t="s">
        <v>1043</v>
      </c>
      <c r="C414" s="203">
        <v>35551</v>
      </c>
      <c r="D414" s="203">
        <v>74669</v>
      </c>
      <c r="E414" s="203">
        <v>246088</v>
      </c>
      <c r="F414" s="203">
        <v>605268</v>
      </c>
      <c r="G414" s="212">
        <v>170328</v>
      </c>
      <c r="H414" s="212">
        <v>95102</v>
      </c>
      <c r="I414" s="203">
        <v>667876.19999999995</v>
      </c>
      <c r="J414" s="203">
        <v>130935</v>
      </c>
      <c r="K414" s="203">
        <v>191409.8</v>
      </c>
      <c r="L414" s="203">
        <v>171331.4</v>
      </c>
      <c r="M414" s="203">
        <v>90100</v>
      </c>
      <c r="N414" s="203">
        <v>254360</v>
      </c>
      <c r="O414" s="203">
        <f t="shared" si="51"/>
        <v>2733018.4</v>
      </c>
    </row>
    <row r="415" spans="1:15" s="224" customFormat="1" ht="15.75" customHeight="1" x14ac:dyDescent="0.2">
      <c r="A415" s="219"/>
      <c r="B415" s="228" t="s">
        <v>38</v>
      </c>
      <c r="C415" s="203">
        <v>3393702.1</v>
      </c>
      <c r="D415" s="203">
        <v>5075821.4000000004</v>
      </c>
      <c r="E415" s="203">
        <v>5652880.4000000004</v>
      </c>
      <c r="F415" s="203">
        <v>4063497.45</v>
      </c>
      <c r="G415" s="211">
        <v>3679983.45</v>
      </c>
      <c r="H415" s="211">
        <v>3956921.34</v>
      </c>
      <c r="I415" s="203">
        <v>4862786.24</v>
      </c>
      <c r="J415" s="203">
        <v>2771150.78</v>
      </c>
      <c r="K415" s="203">
        <v>5135187.16</v>
      </c>
      <c r="L415" s="203">
        <v>3007533.36</v>
      </c>
      <c r="M415" s="203">
        <v>2630122.48</v>
      </c>
      <c r="N415" s="203">
        <v>2572672.63</v>
      </c>
      <c r="O415" s="203">
        <f t="shared" si="51"/>
        <v>46802258.790000007</v>
      </c>
    </row>
    <row r="416" spans="1:15" s="224" customFormat="1" ht="15.75" customHeight="1" x14ac:dyDescent="0.2">
      <c r="A416" s="219"/>
      <c r="B416" s="228" t="s">
        <v>749</v>
      </c>
      <c r="C416" s="203">
        <v>2250</v>
      </c>
      <c r="D416" s="203"/>
      <c r="E416" s="203">
        <v>247525</v>
      </c>
      <c r="F416" s="203">
        <v>248875</v>
      </c>
      <c r="G416" s="211"/>
      <c r="H416" s="211"/>
      <c r="I416" s="203"/>
      <c r="J416" s="203"/>
      <c r="K416" s="203"/>
      <c r="L416" s="203"/>
      <c r="M416" s="203">
        <v>5000</v>
      </c>
      <c r="N416" s="203">
        <v>742575</v>
      </c>
      <c r="O416" s="203">
        <f t="shared" si="51"/>
        <v>1246225</v>
      </c>
    </row>
    <row r="417" spans="1:15" s="224" customFormat="1" ht="15.75" customHeight="1" x14ac:dyDescent="0.2">
      <c r="A417" s="219"/>
      <c r="B417" s="228" t="s">
        <v>1050</v>
      </c>
      <c r="C417" s="203">
        <v>3482795.11</v>
      </c>
      <c r="D417" s="203">
        <v>3036580.17</v>
      </c>
      <c r="E417" s="203">
        <v>3079446.54</v>
      </c>
      <c r="F417" s="203">
        <v>2848246.85</v>
      </c>
      <c r="G417" s="212">
        <v>4011396.57</v>
      </c>
      <c r="H417" s="212">
        <v>3922161.97</v>
      </c>
      <c r="I417" s="203">
        <v>3787855.26</v>
      </c>
      <c r="J417" s="203">
        <v>3469757.61</v>
      </c>
      <c r="K417" s="203">
        <v>3227515.27</v>
      </c>
      <c r="L417" s="203">
        <v>3085794.74</v>
      </c>
      <c r="M417" s="203">
        <v>4629663.54</v>
      </c>
      <c r="N417" s="203">
        <v>2431168.86</v>
      </c>
      <c r="O417" s="203">
        <f t="shared" si="51"/>
        <v>41012382.489999995</v>
      </c>
    </row>
    <row r="418" spans="1:15" s="224" customFormat="1" ht="15.75" customHeight="1" x14ac:dyDescent="0.2">
      <c r="A418" s="219"/>
      <c r="B418" s="220" t="s">
        <v>40</v>
      </c>
      <c r="C418" s="203">
        <v>158653.45000000001</v>
      </c>
      <c r="D418" s="203">
        <v>0</v>
      </c>
      <c r="E418" s="203">
        <v>312830.84999999998</v>
      </c>
      <c r="F418" s="203">
        <v>345561.85</v>
      </c>
      <c r="G418" s="212">
        <v>163950.92000000001</v>
      </c>
      <c r="H418" s="212">
        <v>56984.28</v>
      </c>
      <c r="I418" s="203">
        <v>57710.879999999997</v>
      </c>
      <c r="J418" s="203">
        <v>214000</v>
      </c>
      <c r="K418" s="203">
        <v>710792.7</v>
      </c>
      <c r="L418" s="203">
        <v>333910</v>
      </c>
      <c r="M418" s="203">
        <v>2564177.9900000002</v>
      </c>
      <c r="N418" s="203">
        <v>652440</v>
      </c>
      <c r="O418" s="203">
        <f t="shared" si="51"/>
        <v>5571012.9199999999</v>
      </c>
    </row>
    <row r="419" spans="1:15" s="224" customFormat="1" ht="15.75" customHeight="1" x14ac:dyDescent="0.2">
      <c r="A419" s="228"/>
      <c r="B419" s="228"/>
      <c r="C419" s="203"/>
      <c r="D419" s="203"/>
      <c r="E419" s="203"/>
      <c r="F419" s="203"/>
      <c r="G419" s="203"/>
      <c r="H419" s="203"/>
      <c r="I419" s="203"/>
      <c r="J419" s="203"/>
      <c r="K419" s="203"/>
      <c r="L419" s="203"/>
      <c r="M419" s="203"/>
      <c r="N419" s="203"/>
      <c r="O419" s="203"/>
    </row>
    <row r="420" spans="1:15" s="224" customFormat="1" ht="15.75" customHeight="1" x14ac:dyDescent="0.25">
      <c r="A420" s="216" t="s">
        <v>182</v>
      </c>
      <c r="B420" s="226"/>
      <c r="C420" s="227">
        <f>SUM(C421:C426)</f>
        <v>11879543.33</v>
      </c>
      <c r="D420" s="227">
        <f t="shared" ref="D420:O420" si="52">SUM(D421:D426)</f>
        <v>10161741</v>
      </c>
      <c r="E420" s="227">
        <f t="shared" si="52"/>
        <v>69485677</v>
      </c>
      <c r="F420" s="227">
        <f t="shared" si="52"/>
        <v>19034679.530000001</v>
      </c>
      <c r="G420" s="227">
        <f t="shared" si="52"/>
        <v>4264283</v>
      </c>
      <c r="H420" s="227">
        <f t="shared" si="52"/>
        <v>10867021</v>
      </c>
      <c r="I420" s="227">
        <f t="shared" si="52"/>
        <v>8285231.5300000003</v>
      </c>
      <c r="J420" s="227">
        <f t="shared" si="52"/>
        <v>4450264</v>
      </c>
      <c r="K420" s="227">
        <f t="shared" si="52"/>
        <v>8459230</v>
      </c>
      <c r="L420" s="227">
        <f t="shared" si="52"/>
        <v>3595129.53</v>
      </c>
      <c r="M420" s="227">
        <f t="shared" si="52"/>
        <v>21967246.100000001</v>
      </c>
      <c r="N420" s="227">
        <f t="shared" si="52"/>
        <v>6754174</v>
      </c>
      <c r="O420" s="227">
        <f t="shared" si="52"/>
        <v>179204220.01999998</v>
      </c>
    </row>
    <row r="421" spans="1:15" s="224" customFormat="1" ht="15.75" customHeight="1" x14ac:dyDescent="0.2">
      <c r="A421" s="219"/>
      <c r="B421" s="228" t="s">
        <v>187</v>
      </c>
      <c r="C421" s="203">
        <v>11879543.33</v>
      </c>
      <c r="D421" s="203">
        <v>10124341</v>
      </c>
      <c r="E421" s="203">
        <v>69481045</v>
      </c>
      <c r="F421" s="211">
        <v>19034679.530000001</v>
      </c>
      <c r="G421" s="212">
        <v>4264283</v>
      </c>
      <c r="H421" s="212">
        <v>10867021</v>
      </c>
      <c r="I421" s="211">
        <v>8086471.5300000003</v>
      </c>
      <c r="J421" s="211">
        <v>4450064</v>
      </c>
      <c r="K421" s="211">
        <v>8459230</v>
      </c>
      <c r="L421" s="211">
        <v>3595129.53</v>
      </c>
      <c r="M421" s="211">
        <v>21906906.100000001</v>
      </c>
      <c r="N421" s="211">
        <v>6754174</v>
      </c>
      <c r="O421" s="203">
        <f t="shared" ref="O421:O427" si="53">SUM(C421:N421)</f>
        <v>178902888.01999998</v>
      </c>
    </row>
    <row r="422" spans="1:15" s="224" customFormat="1" ht="15.75" hidden="1" customHeight="1" x14ac:dyDescent="0.2">
      <c r="A422" s="219"/>
      <c r="B422" s="228" t="s">
        <v>188</v>
      </c>
      <c r="C422" s="203"/>
      <c r="D422" s="203"/>
      <c r="E422" s="203"/>
      <c r="F422" s="203"/>
      <c r="G422" s="203"/>
      <c r="H422" s="203"/>
      <c r="I422" s="203"/>
      <c r="J422" s="203"/>
      <c r="K422" s="203"/>
      <c r="L422" s="203"/>
      <c r="M422" s="203"/>
      <c r="N422" s="203"/>
      <c r="O422" s="203">
        <f t="shared" si="53"/>
        <v>0</v>
      </c>
    </row>
    <row r="423" spans="1:15" s="224" customFormat="1" ht="15.75" customHeight="1" x14ac:dyDescent="0.2">
      <c r="A423" s="219"/>
      <c r="B423" s="228" t="s">
        <v>1044</v>
      </c>
      <c r="C423" s="203"/>
      <c r="D423" s="203">
        <v>37400</v>
      </c>
      <c r="E423" s="211">
        <v>4632</v>
      </c>
      <c r="F423" s="203"/>
      <c r="G423" s="203"/>
      <c r="H423" s="203"/>
      <c r="I423" s="203">
        <v>198760</v>
      </c>
      <c r="J423" s="211">
        <v>200</v>
      </c>
      <c r="K423" s="203"/>
      <c r="L423" s="203"/>
      <c r="M423" s="211">
        <v>60340</v>
      </c>
      <c r="N423" s="203"/>
      <c r="O423" s="203">
        <f t="shared" si="53"/>
        <v>301332</v>
      </c>
    </row>
    <row r="424" spans="1:15" s="224" customFormat="1" ht="15.75" hidden="1" customHeight="1" x14ac:dyDescent="0.2">
      <c r="A424" s="219">
        <f t="shared" ref="A424:A425" si="54">A423+1</f>
        <v>1</v>
      </c>
      <c r="B424" s="228" t="s">
        <v>1101</v>
      </c>
      <c r="C424" s="203"/>
      <c r="D424" s="203"/>
      <c r="E424" s="203"/>
      <c r="F424" s="203"/>
      <c r="G424" s="203"/>
      <c r="H424" s="203"/>
      <c r="I424" s="203"/>
      <c r="J424" s="203"/>
      <c r="K424" s="203"/>
      <c r="L424" s="203"/>
      <c r="M424" s="203"/>
      <c r="N424" s="203"/>
      <c r="O424" s="203">
        <f t="shared" si="53"/>
        <v>0</v>
      </c>
    </row>
    <row r="425" spans="1:15" s="224" customFormat="1" ht="15.75" hidden="1" customHeight="1" x14ac:dyDescent="0.2">
      <c r="A425" s="219">
        <f t="shared" si="54"/>
        <v>2</v>
      </c>
      <c r="B425" s="228" t="s">
        <v>1045</v>
      </c>
      <c r="C425" s="203"/>
      <c r="D425" s="203"/>
      <c r="E425" s="203"/>
      <c r="F425" s="203"/>
      <c r="G425" s="203"/>
      <c r="H425" s="203"/>
      <c r="I425" s="203"/>
      <c r="J425" s="203"/>
      <c r="K425" s="203"/>
      <c r="L425" s="203"/>
      <c r="M425" s="203"/>
      <c r="N425" s="203"/>
      <c r="O425" s="203">
        <f t="shared" si="53"/>
        <v>0</v>
      </c>
    </row>
    <row r="426" spans="1:15" s="224" customFormat="1" ht="15.75" hidden="1" customHeight="1" x14ac:dyDescent="0.2">
      <c r="A426" s="219">
        <v>5</v>
      </c>
      <c r="B426" s="228" t="s">
        <v>1102</v>
      </c>
      <c r="C426" s="203">
        <v>0</v>
      </c>
      <c r="D426" s="203">
        <v>0</v>
      </c>
      <c r="E426" s="203">
        <v>0</v>
      </c>
      <c r="F426" s="203">
        <v>0</v>
      </c>
      <c r="G426" s="203"/>
      <c r="H426" s="203"/>
      <c r="I426" s="203">
        <v>0</v>
      </c>
      <c r="J426" s="203">
        <v>0</v>
      </c>
      <c r="K426" s="203">
        <v>0</v>
      </c>
      <c r="L426" s="203">
        <v>0</v>
      </c>
      <c r="M426" s="203">
        <v>0</v>
      </c>
      <c r="N426" s="203">
        <v>0</v>
      </c>
      <c r="O426" s="203">
        <f t="shared" si="53"/>
        <v>0</v>
      </c>
    </row>
    <row r="427" spans="1:15" s="224" customFormat="1" ht="15.75" hidden="1" customHeight="1" x14ac:dyDescent="0.2">
      <c r="A427" s="228"/>
      <c r="B427" s="228"/>
      <c r="C427" s="203"/>
      <c r="D427" s="203"/>
      <c r="E427" s="203"/>
      <c r="F427" s="203"/>
      <c r="G427" s="203"/>
      <c r="H427" s="203"/>
      <c r="I427" s="203"/>
      <c r="J427" s="203"/>
      <c r="K427" s="203"/>
      <c r="L427" s="203"/>
      <c r="M427" s="203"/>
      <c r="N427" s="203"/>
      <c r="O427" s="203">
        <f t="shared" si="53"/>
        <v>0</v>
      </c>
    </row>
    <row r="428" spans="1:15" s="224" customFormat="1" ht="15.75" customHeight="1" x14ac:dyDescent="0.2">
      <c r="A428" s="228"/>
      <c r="B428" s="228"/>
      <c r="C428" s="203"/>
      <c r="D428" s="203"/>
      <c r="E428" s="203"/>
      <c r="F428" s="203"/>
      <c r="G428" s="203"/>
      <c r="H428" s="203"/>
      <c r="I428" s="203"/>
      <c r="J428" s="203"/>
      <c r="K428" s="203"/>
      <c r="L428" s="203"/>
      <c r="M428" s="203"/>
      <c r="N428" s="203"/>
      <c r="O428" s="203"/>
    </row>
    <row r="429" spans="1:15" s="224" customFormat="1" ht="15.75" customHeight="1" x14ac:dyDescent="0.25">
      <c r="A429" s="228"/>
      <c r="B429" s="232" t="s">
        <v>222</v>
      </c>
      <c r="C429" s="229">
        <f t="shared" ref="C429:O429" si="55">C420+C404+C385+C376+C370+C366+C347+C138+C398+C90+C94+C128+C117+C125+C107+C98+C85+C80+C71+C61+C58+C51+C47+C25+C22+C12+C9</f>
        <v>5661944188.9499998</v>
      </c>
      <c r="D429" s="229">
        <f t="shared" si="55"/>
        <v>2614454302.1999998</v>
      </c>
      <c r="E429" s="229">
        <f t="shared" si="55"/>
        <v>3823690254.2199998</v>
      </c>
      <c r="F429" s="229">
        <f t="shared" si="55"/>
        <v>3212013440.7000003</v>
      </c>
      <c r="G429" s="229">
        <f t="shared" si="55"/>
        <v>3226698066.1199994</v>
      </c>
      <c r="H429" s="229">
        <f t="shared" si="55"/>
        <v>4068476854.8400002</v>
      </c>
      <c r="I429" s="229">
        <f t="shared" si="55"/>
        <v>3836622047.7100015</v>
      </c>
      <c r="J429" s="229">
        <f t="shared" si="55"/>
        <v>3368915827.0300007</v>
      </c>
      <c r="K429" s="229">
        <f t="shared" si="55"/>
        <v>6578353977.25</v>
      </c>
      <c r="L429" s="229">
        <f t="shared" si="55"/>
        <v>3211176061.0299997</v>
      </c>
      <c r="M429" s="229">
        <f t="shared" si="55"/>
        <v>3399230001.8600001</v>
      </c>
      <c r="N429" s="229">
        <f t="shared" si="55"/>
        <v>3359449849.71</v>
      </c>
      <c r="O429" s="229">
        <f t="shared" si="55"/>
        <v>46361024871.620003</v>
      </c>
    </row>
    <row r="430" spans="1:15" s="224" customFormat="1" ht="12.75" customHeight="1" x14ac:dyDescent="0.2">
      <c r="A430" s="249" t="s">
        <v>223</v>
      </c>
      <c r="B430" s="228"/>
      <c r="C430" s="203"/>
      <c r="D430" s="203"/>
      <c r="E430" s="203"/>
      <c r="F430" s="203"/>
      <c r="G430" s="203"/>
      <c r="H430" s="203"/>
      <c r="I430" s="203"/>
      <c r="J430" s="203"/>
      <c r="K430" s="203"/>
      <c r="L430" s="203"/>
      <c r="M430" s="203"/>
      <c r="N430" s="203"/>
      <c r="O430" s="203"/>
    </row>
    <row r="431" spans="1:15" s="224" customFormat="1" ht="12.75" hidden="1" customHeight="1" x14ac:dyDescent="0.2">
      <c r="A431" s="249"/>
      <c r="B431" s="228"/>
      <c r="C431" s="203"/>
      <c r="D431" s="203"/>
      <c r="E431" s="203"/>
      <c r="F431" s="203"/>
      <c r="G431" s="203"/>
      <c r="H431" s="203"/>
      <c r="I431" s="203"/>
      <c r="J431" s="203"/>
      <c r="K431" s="203"/>
      <c r="L431" s="203"/>
      <c r="M431" s="203"/>
      <c r="N431" s="203"/>
      <c r="O431" s="203">
        <f>+O429-O430</f>
        <v>46361024871.620003</v>
      </c>
    </row>
    <row r="432" spans="1:15" s="224" customFormat="1" ht="12.75" hidden="1" customHeight="1" x14ac:dyDescent="0.2">
      <c r="A432" s="249"/>
      <c r="B432" s="228"/>
      <c r="C432" s="203"/>
      <c r="D432" s="203"/>
      <c r="E432" s="203"/>
      <c r="F432" s="203"/>
      <c r="G432" s="203"/>
      <c r="H432" s="203"/>
      <c r="I432" s="203"/>
      <c r="J432" s="203"/>
      <c r="K432" s="203"/>
      <c r="L432" s="203"/>
      <c r="M432" s="203"/>
      <c r="N432" s="203"/>
      <c r="O432" s="203"/>
    </row>
    <row r="433" spans="1:15" s="224" customFormat="1" ht="12.75" hidden="1" customHeight="1" x14ac:dyDescent="0.2">
      <c r="A433" s="219"/>
      <c r="B433" s="219"/>
      <c r="C433" s="248">
        <f>+C429-C100</f>
        <v>4816616627.0699997</v>
      </c>
      <c r="D433" s="248">
        <f t="shared" ref="D433:N433" si="56">+D429-D100</f>
        <v>2053110642.2799997</v>
      </c>
      <c r="E433" s="248">
        <f t="shared" si="56"/>
        <v>3392607464.27</v>
      </c>
      <c r="F433" s="248">
        <f t="shared" si="56"/>
        <v>2877431968.6700001</v>
      </c>
      <c r="G433" s="248">
        <f t="shared" si="56"/>
        <v>3014229416.5299993</v>
      </c>
      <c r="H433" s="248">
        <f t="shared" si="56"/>
        <v>3899600969.73</v>
      </c>
      <c r="I433" s="248">
        <f t="shared" si="56"/>
        <v>3576920149.6600013</v>
      </c>
      <c r="J433" s="248">
        <f t="shared" si="56"/>
        <v>3042316445.8900008</v>
      </c>
      <c r="K433" s="248">
        <f t="shared" si="56"/>
        <v>6406138138.5299997</v>
      </c>
      <c r="L433" s="248">
        <f t="shared" si="56"/>
        <v>2977955951.6999998</v>
      </c>
      <c r="M433" s="248">
        <f t="shared" si="56"/>
        <v>3215307558.0100002</v>
      </c>
      <c r="N433" s="248">
        <f t="shared" si="56"/>
        <v>3218175010.3899999</v>
      </c>
      <c r="O433" s="203">
        <f>SUM(C433:N433)</f>
        <v>42490410342.729996</v>
      </c>
    </row>
    <row r="434" spans="1:15" s="224" customFormat="1" ht="12.75" hidden="1" customHeight="1" x14ac:dyDescent="0.2">
      <c r="A434" s="250" t="s">
        <v>1051</v>
      </c>
      <c r="C434" s="251">
        <v>5661944188.9499998</v>
      </c>
      <c r="D434" s="251">
        <v>2660047123.3999996</v>
      </c>
      <c r="E434" s="251">
        <v>3912264988.4099998</v>
      </c>
      <c r="F434" s="203">
        <v>3452246734.7200003</v>
      </c>
      <c r="G434" s="203">
        <v>3809423405.2799993</v>
      </c>
      <c r="H434" s="251">
        <v>4857393746.420001</v>
      </c>
      <c r="I434" s="251">
        <v>4974707106.3200006</v>
      </c>
      <c r="J434" s="251">
        <v>4855077957.2699995</v>
      </c>
      <c r="K434" s="251">
        <v>8374807368.8200016</v>
      </c>
      <c r="L434" s="251">
        <v>5400551064.3700008</v>
      </c>
      <c r="M434" s="251">
        <v>5783839740.9799995</v>
      </c>
      <c r="N434" s="203">
        <v>5949765224.7700014</v>
      </c>
      <c r="O434" s="203">
        <f>SUM(C434:N434)</f>
        <v>59692068649.710007</v>
      </c>
    </row>
    <row r="435" spans="1:15" s="224" customFormat="1" ht="12.75" hidden="1" customHeight="1" x14ac:dyDescent="0.2">
      <c r="A435" s="219" t="s">
        <v>225</v>
      </c>
      <c r="B435" s="228"/>
      <c r="C435" s="203"/>
      <c r="D435" s="203"/>
      <c r="E435" s="203"/>
      <c r="F435" s="203"/>
      <c r="G435" s="203"/>
      <c r="H435" s="203"/>
      <c r="I435" s="203"/>
      <c r="J435" s="203"/>
      <c r="K435" s="203"/>
      <c r="L435" s="203"/>
      <c r="M435" s="203"/>
      <c r="N435" s="203"/>
      <c r="O435" s="203"/>
    </row>
    <row r="436" spans="1:15" s="224" customFormat="1" ht="12.75" hidden="1" customHeight="1" x14ac:dyDescent="0.2">
      <c r="A436" s="228"/>
      <c r="B436" s="228"/>
      <c r="C436" s="203">
        <f>+C434-C429</f>
        <v>0</v>
      </c>
      <c r="D436" s="203">
        <f t="shared" ref="D436:N436" si="57">+D434-D429</f>
        <v>45592821.199999809</v>
      </c>
      <c r="E436" s="203">
        <f t="shared" si="57"/>
        <v>88574734.190000057</v>
      </c>
      <c r="F436" s="203">
        <f t="shared" si="57"/>
        <v>240233294.01999998</v>
      </c>
      <c r="G436" s="203">
        <f t="shared" si="57"/>
        <v>582725339.15999985</v>
      </c>
      <c r="H436" s="203">
        <f t="shared" si="57"/>
        <v>788916891.58000088</v>
      </c>
      <c r="I436" s="203">
        <f t="shared" si="57"/>
        <v>1138085058.6099992</v>
      </c>
      <c r="J436" s="203">
        <f t="shared" si="57"/>
        <v>1486162130.2399988</v>
      </c>
      <c r="K436" s="203">
        <f t="shared" si="57"/>
        <v>1796453391.5700016</v>
      </c>
      <c r="L436" s="203">
        <f t="shared" si="57"/>
        <v>2189375003.3400011</v>
      </c>
      <c r="M436" s="203">
        <f t="shared" si="57"/>
        <v>2384609739.1199994</v>
      </c>
      <c r="N436" s="203">
        <f t="shared" si="57"/>
        <v>2590315375.0600014</v>
      </c>
      <c r="O436" s="203"/>
    </row>
    <row r="437" spans="1:15" s="224" customFormat="1" ht="12" hidden="1" customHeight="1" x14ac:dyDescent="0.2">
      <c r="A437" s="228"/>
      <c r="B437" s="219"/>
      <c r="C437" s="203"/>
      <c r="D437" s="203"/>
      <c r="E437" s="203"/>
      <c r="F437" s="203"/>
      <c r="G437" s="203"/>
      <c r="H437" s="203"/>
      <c r="I437" s="203"/>
      <c r="J437" s="203"/>
      <c r="K437" s="203"/>
      <c r="L437" s="203"/>
      <c r="M437" s="203"/>
      <c r="N437" s="203"/>
      <c r="O437" s="203"/>
    </row>
    <row r="438" spans="1:15" s="224" customFormat="1" ht="12" hidden="1" customHeight="1" x14ac:dyDescent="0.2">
      <c r="A438" s="228"/>
      <c r="B438" s="228"/>
      <c r="C438" s="203"/>
      <c r="D438" s="203"/>
      <c r="E438" s="203"/>
      <c r="F438" s="203"/>
      <c r="G438" s="203"/>
      <c r="H438" s="203"/>
      <c r="I438" s="203"/>
      <c r="J438" s="203"/>
      <c r="K438" s="203"/>
      <c r="L438" s="203"/>
      <c r="M438" s="203"/>
      <c r="N438" s="203"/>
      <c r="O438" s="203"/>
    </row>
    <row r="439" spans="1:15" s="224" customFormat="1" ht="12" hidden="1" customHeight="1" x14ac:dyDescent="0.2">
      <c r="A439" s="219"/>
      <c r="B439" s="228"/>
      <c r="C439" s="203"/>
      <c r="D439" s="203"/>
      <c r="E439" s="203"/>
      <c r="F439" s="203"/>
      <c r="G439" s="203"/>
      <c r="H439" s="203"/>
      <c r="I439" s="203"/>
      <c r="J439" s="203"/>
      <c r="K439" s="203"/>
      <c r="L439" s="203"/>
      <c r="M439" s="203"/>
      <c r="N439" s="203"/>
      <c r="O439" s="203"/>
    </row>
    <row r="440" spans="1:15" s="224" customFormat="1" ht="12" hidden="1" customHeight="1" x14ac:dyDescent="0.2">
      <c r="A440" s="294"/>
      <c r="B440" s="299"/>
      <c r="C440" s="203"/>
      <c r="D440" s="203"/>
      <c r="E440" s="203"/>
      <c r="F440" s="203"/>
      <c r="G440" s="203"/>
      <c r="H440" s="203"/>
      <c r="I440" s="203"/>
      <c r="J440" s="203"/>
      <c r="K440" s="203"/>
      <c r="L440" s="203"/>
      <c r="M440" s="203"/>
      <c r="N440" s="203"/>
      <c r="O440" s="203"/>
    </row>
    <row r="441" spans="1:15" s="224" customFormat="1" ht="15.75" hidden="1" customHeight="1" x14ac:dyDescent="0.2">
      <c r="A441" s="228"/>
      <c r="B441" s="228" t="s">
        <v>1052</v>
      </c>
      <c r="C441" s="203">
        <v>6785</v>
      </c>
      <c r="D441" s="203">
        <v>4928</v>
      </c>
      <c r="E441" s="203">
        <v>8267</v>
      </c>
      <c r="F441" s="203">
        <v>5072</v>
      </c>
      <c r="G441" s="203">
        <v>5990</v>
      </c>
      <c r="H441" s="203">
        <v>13230</v>
      </c>
      <c r="I441" s="203">
        <v>7486</v>
      </c>
      <c r="J441" s="203">
        <v>11153</v>
      </c>
      <c r="K441" s="203">
        <v>11045</v>
      </c>
      <c r="L441" s="203">
        <v>7069</v>
      </c>
      <c r="M441" s="203">
        <v>8729</v>
      </c>
      <c r="N441" s="203">
        <v>11243</v>
      </c>
      <c r="O441" s="204">
        <f>SUM(C441:N441)</f>
        <v>100997</v>
      </c>
    </row>
    <row r="442" spans="1:15" s="224" customFormat="1" ht="15.75" hidden="1" customHeight="1" x14ac:dyDescent="0.2">
      <c r="A442" s="228"/>
      <c r="B442" s="228" t="s">
        <v>1053</v>
      </c>
      <c r="C442" s="203">
        <v>5662</v>
      </c>
      <c r="D442" s="203">
        <v>2660</v>
      </c>
      <c r="E442" s="203">
        <v>3912</v>
      </c>
      <c r="F442" s="203">
        <v>3452</v>
      </c>
      <c r="G442" s="203">
        <v>3809</v>
      </c>
      <c r="H442" s="203">
        <v>4857</v>
      </c>
      <c r="I442" s="203">
        <v>4975</v>
      </c>
      <c r="J442" s="203">
        <v>4855</v>
      </c>
      <c r="K442" s="203">
        <v>8375</v>
      </c>
      <c r="L442" s="203">
        <v>5401</v>
      </c>
      <c r="M442" s="203">
        <v>5784</v>
      </c>
      <c r="N442" s="203">
        <v>5950</v>
      </c>
      <c r="O442" s="204">
        <f>SUM(C442:N442)</f>
        <v>59692</v>
      </c>
    </row>
    <row r="443" spans="1:15" s="224" customFormat="1" ht="15.75" hidden="1" customHeight="1" x14ac:dyDescent="0.2">
      <c r="A443" s="228"/>
      <c r="B443" s="228"/>
      <c r="C443" s="203">
        <v>5525</v>
      </c>
      <c r="D443" s="203">
        <v>2552</v>
      </c>
      <c r="E443" s="203">
        <v>3873</v>
      </c>
      <c r="F443" s="203">
        <v>3429</v>
      </c>
      <c r="G443" s="203">
        <v>3699</v>
      </c>
      <c r="H443" s="203">
        <v>4728</v>
      </c>
      <c r="I443" s="203">
        <v>4803</v>
      </c>
      <c r="J443" s="203">
        <v>4735</v>
      </c>
      <c r="K443" s="203">
        <v>8232</v>
      </c>
      <c r="L443" s="203">
        <v>5236</v>
      </c>
      <c r="M443" s="203">
        <v>5643</v>
      </c>
      <c r="N443" s="203">
        <v>5808</v>
      </c>
      <c r="O443" s="204">
        <f>SUM(C443:N443)</f>
        <v>58263</v>
      </c>
    </row>
    <row r="444" spans="1:15" s="224" customFormat="1" ht="15.75" hidden="1" customHeight="1" x14ac:dyDescent="0.2">
      <c r="A444" s="228"/>
      <c r="B444" s="228"/>
      <c r="C444" s="203">
        <f>+C442-C443</f>
        <v>137</v>
      </c>
      <c r="D444" s="203">
        <f t="shared" ref="D444:N444" si="58">+D442-D443</f>
        <v>108</v>
      </c>
      <c r="E444" s="203">
        <f t="shared" si="58"/>
        <v>39</v>
      </c>
      <c r="F444" s="203">
        <f t="shared" si="58"/>
        <v>23</v>
      </c>
      <c r="G444" s="203">
        <f t="shared" si="58"/>
        <v>110</v>
      </c>
      <c r="H444" s="203">
        <f t="shared" si="58"/>
        <v>129</v>
      </c>
      <c r="I444" s="203">
        <f t="shared" si="58"/>
        <v>172</v>
      </c>
      <c r="J444" s="203">
        <f t="shared" si="58"/>
        <v>120</v>
      </c>
      <c r="K444" s="203">
        <f t="shared" si="58"/>
        <v>143</v>
      </c>
      <c r="L444" s="203">
        <f t="shared" si="58"/>
        <v>165</v>
      </c>
      <c r="M444" s="203">
        <f t="shared" si="58"/>
        <v>141</v>
      </c>
      <c r="N444" s="203">
        <f t="shared" si="58"/>
        <v>142</v>
      </c>
      <c r="O444" s="204">
        <f>SUM(C444:N444)</f>
        <v>1429</v>
      </c>
    </row>
    <row r="445" spans="1:15" s="224" customFormat="1" ht="15.75" hidden="1" customHeight="1" x14ac:dyDescent="0.2">
      <c r="A445" s="228"/>
      <c r="B445" s="228"/>
      <c r="C445" s="203"/>
      <c r="D445" s="203"/>
      <c r="E445" s="203"/>
      <c r="F445" s="203"/>
      <c r="G445" s="203"/>
      <c r="H445" s="203"/>
      <c r="I445" s="203"/>
      <c r="J445" s="203"/>
      <c r="K445" s="203"/>
      <c r="L445" s="203"/>
      <c r="M445" s="203"/>
      <c r="N445" s="203"/>
      <c r="O445" s="203"/>
    </row>
    <row r="446" spans="1:15" s="224" customFormat="1" ht="15.75" hidden="1" customHeight="1" x14ac:dyDescent="0.2">
      <c r="A446" s="228"/>
      <c r="B446" s="228"/>
      <c r="C446" s="203"/>
      <c r="D446" s="203"/>
      <c r="E446" s="203"/>
      <c r="F446" s="203"/>
      <c r="G446" s="203"/>
      <c r="H446" s="203"/>
      <c r="I446" s="203"/>
      <c r="J446" s="203"/>
      <c r="K446" s="203"/>
      <c r="L446" s="203"/>
      <c r="M446" s="203"/>
      <c r="N446" s="203"/>
      <c r="O446" s="203"/>
    </row>
    <row r="447" spans="1:15" s="224" customFormat="1" ht="15.75" hidden="1" customHeight="1" x14ac:dyDescent="0.2">
      <c r="A447" s="228"/>
      <c r="B447" s="228"/>
      <c r="C447" s="203"/>
      <c r="D447" s="203"/>
      <c r="E447" s="203"/>
      <c r="F447" s="203"/>
      <c r="G447" s="203"/>
      <c r="H447" s="203"/>
      <c r="I447" s="203"/>
      <c r="J447" s="203"/>
      <c r="K447" s="203"/>
      <c r="L447" s="203"/>
      <c r="M447" s="203"/>
      <c r="N447" s="203"/>
      <c r="O447" s="203"/>
    </row>
    <row r="448" spans="1:15" s="224" customFormat="1" ht="15.75" hidden="1" customHeight="1" x14ac:dyDescent="0.2">
      <c r="A448" s="228"/>
      <c r="B448" s="228"/>
      <c r="C448" s="203"/>
      <c r="D448" s="203"/>
      <c r="E448" s="203"/>
      <c r="F448" s="203"/>
      <c r="G448" s="203"/>
      <c r="H448" s="203"/>
      <c r="I448" s="203"/>
      <c r="J448" s="203"/>
      <c r="K448" s="203"/>
      <c r="L448" s="203"/>
      <c r="M448" s="203"/>
      <c r="N448" s="203"/>
      <c r="O448" s="203"/>
    </row>
    <row r="449" spans="1:15" s="224" customFormat="1" ht="15.75" hidden="1" customHeight="1" x14ac:dyDescent="0.2">
      <c r="A449" s="219">
        <v>1</v>
      </c>
      <c r="B449" s="220" t="s">
        <v>77</v>
      </c>
      <c r="C449" s="203">
        <v>1265478685.6300001</v>
      </c>
      <c r="D449" s="203">
        <v>2424317464.8600001</v>
      </c>
      <c r="E449" s="203">
        <v>4480462722.3000002</v>
      </c>
      <c r="F449" s="203">
        <v>1699526347.8800001</v>
      </c>
      <c r="G449" s="203">
        <v>2344786843.2600002</v>
      </c>
      <c r="H449" s="203">
        <v>8523991858.9200001</v>
      </c>
      <c r="I449" s="203">
        <v>2714513899.4200001</v>
      </c>
      <c r="J449" s="203">
        <v>6445020227.4099998</v>
      </c>
      <c r="K449" s="203">
        <v>2860666531.3000002</v>
      </c>
      <c r="L449" s="203">
        <v>1878096788.9100001</v>
      </c>
      <c r="M449" s="203">
        <v>3102633292.8899999</v>
      </c>
      <c r="N449" s="203">
        <v>5501597914.1999998</v>
      </c>
      <c r="O449" s="203">
        <f>SUM(C449:N449)</f>
        <v>43241092576.980003</v>
      </c>
    </row>
    <row r="450" spans="1:15" s="224" customFormat="1" ht="15.75" hidden="1" customHeight="1" x14ac:dyDescent="0.2">
      <c r="A450" s="228"/>
      <c r="B450" s="228" t="s">
        <v>1054</v>
      </c>
      <c r="C450" s="252">
        <v>4995245.21</v>
      </c>
      <c r="D450" s="252">
        <v>48265606.469999999</v>
      </c>
      <c r="E450" s="252">
        <v>86246261.599999994</v>
      </c>
      <c r="F450" s="252">
        <v>56507066.269999996</v>
      </c>
      <c r="G450" s="252">
        <v>54161463.219999999</v>
      </c>
      <c r="H450" s="252">
        <v>21699929.77</v>
      </c>
      <c r="I450" s="252">
        <v>31884654.25</v>
      </c>
      <c r="J450" s="252">
        <v>26566487.670000002</v>
      </c>
      <c r="K450" s="252">
        <v>47691273.710000001</v>
      </c>
      <c r="L450" s="252">
        <v>44810670.270000003</v>
      </c>
      <c r="M450" s="252">
        <v>16422985.219999999</v>
      </c>
      <c r="N450" s="252">
        <v>67031615.640000001</v>
      </c>
      <c r="O450" s="203">
        <f>SUM(C450:N450)</f>
        <v>506283259.29999995</v>
      </c>
    </row>
    <row r="451" spans="1:15" s="224" customFormat="1" ht="15.75" hidden="1" customHeight="1" x14ac:dyDescent="0.2">
      <c r="A451" s="228"/>
      <c r="B451" s="228" t="s">
        <v>1055</v>
      </c>
      <c r="C451" s="203">
        <f>+C449-C450</f>
        <v>1260483440.4200001</v>
      </c>
      <c r="D451" s="203">
        <f t="shared" ref="D451:N451" si="59">+D449-D450</f>
        <v>2376051858.3900003</v>
      </c>
      <c r="E451" s="203">
        <f t="shared" si="59"/>
        <v>4394216460.6999998</v>
      </c>
      <c r="F451" s="203">
        <f t="shared" si="59"/>
        <v>1643019281.6100001</v>
      </c>
      <c r="G451" s="203">
        <f t="shared" si="59"/>
        <v>2290625380.0400004</v>
      </c>
      <c r="H451" s="203">
        <f t="shared" si="59"/>
        <v>8502291929.1499996</v>
      </c>
      <c r="I451" s="203">
        <f t="shared" si="59"/>
        <v>2682629245.1700001</v>
      </c>
      <c r="J451" s="203">
        <f t="shared" si="59"/>
        <v>6418453739.7399998</v>
      </c>
      <c r="K451" s="203">
        <f t="shared" si="59"/>
        <v>2812975257.5900002</v>
      </c>
      <c r="L451" s="203">
        <f t="shared" si="59"/>
        <v>1833286118.6400001</v>
      </c>
      <c r="M451" s="203">
        <f t="shared" si="59"/>
        <v>3086210307.6700001</v>
      </c>
      <c r="N451" s="203">
        <f t="shared" si="59"/>
        <v>5434566298.5599995</v>
      </c>
      <c r="O451" s="203">
        <f>SUM(C451:N451)</f>
        <v>42734809317.68</v>
      </c>
    </row>
    <row r="452" spans="1:15" s="224" customFormat="1" ht="15.75" hidden="1" customHeight="1" x14ac:dyDescent="0.2">
      <c r="A452" s="228"/>
      <c r="B452" s="228"/>
      <c r="C452" s="203"/>
      <c r="D452" s="203"/>
      <c r="E452" s="203"/>
      <c r="F452" s="203"/>
      <c r="G452" s="203"/>
      <c r="H452" s="203"/>
      <c r="I452" s="203"/>
      <c r="J452" s="203"/>
      <c r="K452" s="203"/>
      <c r="L452" s="203"/>
      <c r="M452" s="203"/>
      <c r="N452" s="203"/>
      <c r="O452" s="203"/>
    </row>
    <row r="453" spans="1:15" s="224" customFormat="1" ht="15.75" hidden="1" customHeight="1" x14ac:dyDescent="0.2">
      <c r="A453" s="228"/>
      <c r="B453" s="228"/>
      <c r="C453" s="203"/>
      <c r="D453" s="203"/>
      <c r="E453" s="203"/>
      <c r="F453" s="203"/>
      <c r="G453" s="203"/>
      <c r="H453" s="203"/>
      <c r="I453" s="203"/>
      <c r="J453" s="203"/>
      <c r="K453" s="203"/>
      <c r="L453" s="203"/>
      <c r="M453" s="203"/>
      <c r="N453" s="203"/>
      <c r="O453" s="203"/>
    </row>
    <row r="454" spans="1:15" s="224" customFormat="1" ht="15.75" hidden="1" customHeight="1" x14ac:dyDescent="0.2">
      <c r="A454" s="228"/>
      <c r="B454" s="228"/>
      <c r="C454" s="203"/>
      <c r="D454" s="203"/>
      <c r="E454" s="203"/>
      <c r="F454" s="203"/>
      <c r="G454" s="203"/>
      <c r="H454" s="203"/>
      <c r="I454" s="203"/>
      <c r="J454" s="203"/>
      <c r="K454" s="203"/>
      <c r="L454" s="203"/>
      <c r="M454" s="203"/>
      <c r="N454" s="203"/>
      <c r="O454" s="203"/>
    </row>
    <row r="455" spans="1:15" s="224" customFormat="1" ht="15.75" hidden="1" customHeight="1" x14ac:dyDescent="0.2">
      <c r="A455" s="228"/>
      <c r="B455" s="228"/>
      <c r="C455" s="203"/>
      <c r="D455" s="203"/>
      <c r="E455" s="203"/>
      <c r="F455" s="203"/>
      <c r="G455" s="203"/>
      <c r="H455" s="203"/>
      <c r="I455" s="203"/>
      <c r="J455" s="203"/>
      <c r="K455" s="203"/>
      <c r="L455" s="203"/>
      <c r="M455" s="203"/>
      <c r="N455" s="203"/>
      <c r="O455" s="203"/>
    </row>
    <row r="456" spans="1:15" s="224" customFormat="1" ht="15.75" hidden="1" customHeight="1" x14ac:dyDescent="0.2">
      <c r="A456" s="228"/>
      <c r="B456" s="228"/>
      <c r="C456" s="203"/>
      <c r="D456" s="203"/>
      <c r="E456" s="203"/>
      <c r="F456" s="203"/>
      <c r="G456" s="203"/>
      <c r="H456" s="203"/>
      <c r="I456" s="203"/>
      <c r="J456" s="203"/>
      <c r="K456" s="203"/>
      <c r="L456" s="203"/>
      <c r="M456" s="203"/>
      <c r="N456" s="203"/>
      <c r="O456" s="203"/>
    </row>
    <row r="457" spans="1:15" s="224" customFormat="1" ht="15.75" hidden="1" customHeight="1" x14ac:dyDescent="0.2">
      <c r="A457" s="228"/>
      <c r="B457" s="228"/>
      <c r="C457" s="203"/>
      <c r="D457" s="203"/>
      <c r="E457" s="203"/>
      <c r="F457" s="203"/>
      <c r="G457" s="203"/>
      <c r="H457" s="203"/>
      <c r="I457" s="203"/>
      <c r="J457" s="203"/>
      <c r="K457" s="203"/>
      <c r="L457" s="203"/>
      <c r="M457" s="203"/>
      <c r="N457" s="203"/>
      <c r="O457" s="203"/>
    </row>
    <row r="458" spans="1:15" s="224" customFormat="1" ht="15.75" hidden="1" customHeight="1" x14ac:dyDescent="0.2">
      <c r="A458" s="228"/>
      <c r="B458" s="228"/>
      <c r="C458" s="203"/>
      <c r="D458" s="203"/>
      <c r="E458" s="203"/>
      <c r="F458" s="203"/>
      <c r="G458" s="203"/>
      <c r="H458" s="203"/>
      <c r="I458" s="203"/>
      <c r="J458" s="203"/>
      <c r="K458" s="203"/>
      <c r="L458" s="203"/>
      <c r="M458" s="203"/>
      <c r="N458" s="203"/>
      <c r="O458" s="203"/>
    </row>
    <row r="459" spans="1:15" s="224" customFormat="1" ht="15.75" hidden="1" customHeight="1" x14ac:dyDescent="0.2">
      <c r="A459" s="228"/>
      <c r="B459" s="228"/>
      <c r="C459" s="203"/>
      <c r="D459" s="203"/>
      <c r="E459" s="203"/>
      <c r="F459" s="203"/>
      <c r="G459" s="203"/>
      <c r="H459" s="203"/>
      <c r="I459" s="203"/>
      <c r="J459" s="203"/>
      <c r="K459" s="203"/>
      <c r="L459" s="203"/>
      <c r="M459" s="203"/>
      <c r="N459" s="203"/>
      <c r="O459" s="203"/>
    </row>
    <row r="460" spans="1:15" s="224" customFormat="1" ht="15.75" hidden="1" customHeight="1" x14ac:dyDescent="0.2">
      <c r="A460" s="228"/>
      <c r="B460" s="228"/>
      <c r="C460" s="203"/>
      <c r="D460" s="203"/>
      <c r="E460" s="203"/>
      <c r="F460" s="203"/>
      <c r="G460" s="203"/>
      <c r="H460" s="203"/>
      <c r="I460" s="203"/>
      <c r="J460" s="203"/>
      <c r="K460" s="203"/>
      <c r="L460" s="203"/>
      <c r="M460" s="203"/>
      <c r="N460" s="203"/>
      <c r="O460" s="203"/>
    </row>
    <row r="461" spans="1:15" s="224" customFormat="1" ht="15.75" hidden="1" customHeight="1" x14ac:dyDescent="0.2">
      <c r="A461" s="228"/>
      <c r="B461" s="228"/>
      <c r="C461" s="203"/>
      <c r="D461" s="203"/>
      <c r="E461" s="203"/>
      <c r="F461" s="203"/>
      <c r="G461" s="203"/>
      <c r="H461" s="203"/>
      <c r="I461" s="203"/>
      <c r="J461" s="203"/>
      <c r="K461" s="203"/>
      <c r="L461" s="203"/>
      <c r="M461" s="203"/>
      <c r="N461" s="203"/>
      <c r="O461" s="203"/>
    </row>
    <row r="462" spans="1:15" s="224" customFormat="1" ht="15.75" hidden="1" customHeight="1" x14ac:dyDescent="0.2">
      <c r="A462" s="228"/>
      <c r="B462" s="228"/>
      <c r="C462" s="203"/>
      <c r="D462" s="203"/>
      <c r="E462" s="203"/>
      <c r="F462" s="203"/>
      <c r="G462" s="203"/>
      <c r="H462" s="203"/>
      <c r="I462" s="203"/>
      <c r="J462" s="203"/>
      <c r="K462" s="203"/>
      <c r="L462" s="203"/>
      <c r="M462" s="203"/>
      <c r="N462" s="203"/>
      <c r="O462" s="203"/>
    </row>
    <row r="463" spans="1:15" s="224" customFormat="1" ht="15.75" hidden="1" customHeight="1" x14ac:dyDescent="0.2">
      <c r="A463" s="228"/>
      <c r="B463" s="228"/>
      <c r="C463" s="203"/>
      <c r="D463" s="203"/>
      <c r="E463" s="203"/>
      <c r="F463" s="203"/>
      <c r="G463" s="203"/>
      <c r="H463" s="203"/>
      <c r="I463" s="203"/>
      <c r="J463" s="203"/>
      <c r="K463" s="203"/>
      <c r="L463" s="203"/>
      <c r="M463" s="203"/>
      <c r="N463" s="203"/>
      <c r="O463" s="203"/>
    </row>
    <row r="464" spans="1:15" s="224" customFormat="1" ht="15.75" hidden="1" customHeight="1" x14ac:dyDescent="0.2">
      <c r="A464" s="228"/>
      <c r="B464" s="228"/>
      <c r="C464" s="203"/>
      <c r="D464" s="203"/>
      <c r="E464" s="203"/>
      <c r="F464" s="203"/>
      <c r="G464" s="203"/>
      <c r="H464" s="203"/>
      <c r="I464" s="203"/>
      <c r="J464" s="203"/>
      <c r="K464" s="203"/>
      <c r="L464" s="203"/>
      <c r="M464" s="203"/>
      <c r="N464" s="203"/>
      <c r="O464" s="203"/>
    </row>
    <row r="465" spans="1:15" s="224" customFormat="1" ht="15.75" hidden="1" customHeight="1" x14ac:dyDescent="0.2">
      <c r="A465" s="228"/>
      <c r="B465" s="228"/>
      <c r="C465" s="203"/>
      <c r="D465" s="203"/>
      <c r="E465" s="203"/>
      <c r="F465" s="203"/>
      <c r="G465" s="203"/>
      <c r="H465" s="203"/>
      <c r="I465" s="203"/>
      <c r="J465" s="203"/>
      <c r="K465" s="203"/>
      <c r="L465" s="203"/>
      <c r="M465" s="203"/>
      <c r="N465" s="203"/>
      <c r="O465" s="203"/>
    </row>
    <row r="466" spans="1:15" s="224" customFormat="1" ht="15.75" hidden="1" customHeight="1" x14ac:dyDescent="0.2">
      <c r="A466" s="228"/>
      <c r="B466" s="228"/>
      <c r="C466" s="203"/>
      <c r="D466" s="203"/>
      <c r="E466" s="203"/>
      <c r="F466" s="203"/>
      <c r="G466" s="203"/>
      <c r="H466" s="203"/>
      <c r="I466" s="203"/>
      <c r="J466" s="203"/>
      <c r="K466" s="203"/>
      <c r="L466" s="203"/>
      <c r="M466" s="203"/>
      <c r="N466" s="203"/>
      <c r="O466" s="203"/>
    </row>
    <row r="467" spans="1:15" s="224" customFormat="1" ht="15.75" hidden="1" customHeight="1" x14ac:dyDescent="0.2">
      <c r="A467" s="228"/>
      <c r="B467" s="228"/>
      <c r="C467" s="203"/>
      <c r="D467" s="203"/>
      <c r="E467" s="203"/>
      <c r="F467" s="203"/>
      <c r="G467" s="203"/>
      <c r="H467" s="203"/>
      <c r="I467" s="203"/>
      <c r="J467" s="203"/>
      <c r="K467" s="203"/>
      <c r="L467" s="203"/>
      <c r="M467" s="203"/>
      <c r="N467" s="203"/>
      <c r="O467" s="203"/>
    </row>
    <row r="468" spans="1:15" s="224" customFormat="1" ht="15.75" hidden="1" customHeight="1" x14ac:dyDescent="0.2">
      <c r="A468" s="228"/>
      <c r="B468" s="228"/>
      <c r="C468" s="203"/>
      <c r="D468" s="203"/>
      <c r="E468" s="203"/>
      <c r="F468" s="203"/>
      <c r="G468" s="203"/>
      <c r="H468" s="203"/>
      <c r="I468" s="203"/>
      <c r="J468" s="203"/>
      <c r="K468" s="203"/>
      <c r="L468" s="203"/>
      <c r="M468" s="203"/>
      <c r="N468" s="203"/>
      <c r="O468" s="203"/>
    </row>
    <row r="469" spans="1:15" s="224" customFormat="1" ht="15.75" hidden="1" customHeight="1" x14ac:dyDescent="0.2">
      <c r="A469" s="228"/>
      <c r="B469" s="228"/>
      <c r="C469" s="203"/>
      <c r="D469" s="203"/>
      <c r="E469" s="203"/>
      <c r="F469" s="203"/>
      <c r="G469" s="203"/>
      <c r="H469" s="203"/>
      <c r="I469" s="203"/>
      <c r="J469" s="203"/>
      <c r="K469" s="203"/>
      <c r="L469" s="203"/>
      <c r="M469" s="203"/>
      <c r="N469" s="203"/>
      <c r="O469" s="203"/>
    </row>
    <row r="470" spans="1:15" s="224" customFormat="1" ht="15.75" hidden="1" customHeight="1" x14ac:dyDescent="0.2">
      <c r="A470" s="228"/>
      <c r="B470" s="228"/>
      <c r="C470" s="203"/>
      <c r="D470" s="203"/>
      <c r="E470" s="203"/>
      <c r="F470" s="203"/>
      <c r="G470" s="203"/>
      <c r="H470" s="203"/>
      <c r="I470" s="203"/>
      <c r="J470" s="203"/>
      <c r="K470" s="203"/>
      <c r="L470" s="203"/>
      <c r="M470" s="203"/>
      <c r="N470" s="203"/>
      <c r="O470" s="203"/>
    </row>
    <row r="471" spans="1:15" s="224" customFormat="1" ht="15.75" customHeight="1" x14ac:dyDescent="0.2">
      <c r="A471" s="228"/>
      <c r="B471" s="228"/>
      <c r="C471" s="203"/>
      <c r="D471" s="203"/>
      <c r="E471" s="203"/>
      <c r="F471" s="203"/>
      <c r="G471" s="203"/>
      <c r="H471" s="203"/>
      <c r="I471" s="203"/>
      <c r="J471" s="203"/>
      <c r="K471" s="203"/>
      <c r="L471" s="203"/>
      <c r="M471" s="203"/>
      <c r="N471" s="203"/>
      <c r="O471" s="203"/>
    </row>
    <row r="472" spans="1:15" s="224" customFormat="1" ht="15.75" customHeight="1" x14ac:dyDescent="0.2">
      <c r="A472" s="228"/>
      <c r="B472" s="228"/>
      <c r="C472" s="203"/>
      <c r="D472" s="203"/>
      <c r="E472" s="203"/>
      <c r="F472" s="203"/>
      <c r="G472" s="203"/>
      <c r="H472" s="203"/>
      <c r="I472" s="203"/>
      <c r="J472" s="203"/>
      <c r="K472" s="203"/>
      <c r="L472" s="203"/>
      <c r="M472" s="203"/>
      <c r="N472" s="203"/>
      <c r="O472" s="203"/>
    </row>
    <row r="473" spans="1:15" s="90" customFormat="1" ht="12.75" customHeight="1" x14ac:dyDescent="0.2">
      <c r="A473" s="92" t="s">
        <v>225</v>
      </c>
    </row>
    <row r="474" spans="1:15" s="90" customFormat="1" ht="12.75" customHeight="1" x14ac:dyDescent="0.2"/>
    <row r="475" spans="1:15" s="90" customFormat="1" ht="12" customHeight="1" x14ac:dyDescent="0.2">
      <c r="B475" s="92"/>
    </row>
    <row r="476" spans="1:15" s="90" customFormat="1" ht="12" customHeight="1" x14ac:dyDescent="0.2">
      <c r="C476" s="91"/>
      <c r="D476" s="91"/>
      <c r="E476" s="91"/>
      <c r="F476" s="91"/>
      <c r="G476" s="91"/>
      <c r="H476" s="91"/>
      <c r="I476" s="91"/>
      <c r="J476" s="91"/>
      <c r="K476" s="91"/>
      <c r="L476" s="91"/>
      <c r="M476" s="91"/>
      <c r="N476" s="91"/>
    </row>
    <row r="477" spans="1:15" s="90" customFormat="1" ht="12" customHeight="1" x14ac:dyDescent="0.2">
      <c r="A477" s="92" t="s">
        <v>226</v>
      </c>
    </row>
    <row r="478" spans="1:15" s="224" customFormat="1" ht="15.75" customHeight="1" x14ac:dyDescent="0.2">
      <c r="A478" s="228"/>
      <c r="B478" s="228"/>
      <c r="C478" s="203"/>
      <c r="D478" s="203"/>
      <c r="E478" s="203"/>
      <c r="F478" s="203"/>
      <c r="G478" s="203"/>
      <c r="H478" s="203"/>
      <c r="I478" s="203"/>
      <c r="J478" s="203"/>
      <c r="K478" s="203"/>
      <c r="L478" s="203"/>
      <c r="M478" s="203"/>
      <c r="N478" s="203"/>
      <c r="O478" s="203"/>
    </row>
    <row r="479" spans="1:15" s="224" customFormat="1" ht="15.75" customHeight="1" x14ac:dyDescent="0.2">
      <c r="A479" s="228"/>
      <c r="B479" s="228"/>
      <c r="C479" s="203"/>
      <c r="D479" s="203"/>
      <c r="E479" s="203"/>
      <c r="F479" s="203"/>
      <c r="G479" s="203"/>
      <c r="H479" s="203"/>
      <c r="I479" s="203"/>
      <c r="J479" s="203"/>
      <c r="K479" s="203"/>
      <c r="L479" s="203"/>
      <c r="M479" s="203"/>
      <c r="N479" s="203"/>
      <c r="O479" s="203"/>
    </row>
    <row r="480" spans="1:15" s="224" customFormat="1" ht="15.75" customHeight="1" x14ac:dyDescent="0.2">
      <c r="A480" s="228"/>
      <c r="B480" s="228"/>
      <c r="C480" s="203"/>
      <c r="D480" s="203"/>
      <c r="E480" s="203"/>
      <c r="F480" s="203"/>
      <c r="G480" s="203"/>
      <c r="H480" s="203"/>
      <c r="I480" s="203"/>
      <c r="J480" s="203"/>
      <c r="K480" s="203"/>
      <c r="L480" s="203"/>
      <c r="M480" s="203"/>
      <c r="N480" s="203"/>
      <c r="O480" s="203"/>
    </row>
    <row r="481" spans="1:15" s="224" customFormat="1" ht="15.75" customHeight="1" x14ac:dyDescent="0.2">
      <c r="A481" s="228"/>
      <c r="B481" s="228"/>
      <c r="C481" s="203"/>
      <c r="D481" s="203"/>
      <c r="E481" s="203"/>
      <c r="F481" s="203"/>
      <c r="G481" s="203"/>
      <c r="H481" s="203"/>
      <c r="I481" s="203"/>
      <c r="J481" s="203"/>
      <c r="K481" s="203"/>
      <c r="L481" s="203"/>
      <c r="M481" s="203"/>
      <c r="N481" s="203"/>
      <c r="O481" s="203"/>
    </row>
    <row r="482" spans="1:15" s="224" customFormat="1" ht="15.75" customHeight="1" x14ac:dyDescent="0.2">
      <c r="A482" s="228"/>
      <c r="B482" s="228"/>
      <c r="C482" s="203"/>
      <c r="D482" s="203"/>
      <c r="E482" s="203"/>
      <c r="F482" s="203"/>
      <c r="G482" s="203"/>
      <c r="H482" s="203"/>
      <c r="I482" s="203"/>
      <c r="J482" s="203"/>
      <c r="K482" s="203"/>
      <c r="L482" s="203"/>
      <c r="M482" s="203"/>
      <c r="N482" s="203"/>
      <c r="O482" s="203"/>
    </row>
    <row r="483" spans="1:15" s="224" customFormat="1" ht="15.75" customHeight="1" x14ac:dyDescent="0.2">
      <c r="A483" s="228"/>
      <c r="B483" s="228"/>
      <c r="C483" s="203"/>
      <c r="D483" s="203"/>
      <c r="E483" s="203"/>
      <c r="F483" s="203"/>
      <c r="G483" s="203"/>
      <c r="H483" s="203"/>
      <c r="I483" s="203"/>
      <c r="J483" s="203"/>
      <c r="K483" s="203"/>
      <c r="L483" s="203"/>
      <c r="M483" s="203"/>
      <c r="N483" s="203"/>
      <c r="O483" s="203"/>
    </row>
    <row r="484" spans="1:15" s="224" customFormat="1" ht="15.75" customHeight="1" x14ac:dyDescent="0.2">
      <c r="A484" s="228"/>
      <c r="B484" s="228"/>
      <c r="C484" s="203"/>
      <c r="D484" s="203"/>
      <c r="E484" s="203"/>
      <c r="F484" s="203"/>
      <c r="G484" s="203"/>
      <c r="H484" s="203"/>
      <c r="I484" s="203"/>
      <c r="J484" s="203"/>
      <c r="K484" s="203"/>
      <c r="L484" s="203"/>
      <c r="M484" s="203"/>
      <c r="N484" s="203"/>
      <c r="O484" s="203"/>
    </row>
    <row r="485" spans="1:15" s="224" customFormat="1" ht="15.75" customHeight="1" x14ac:dyDescent="0.2">
      <c r="A485" s="228"/>
      <c r="B485" s="228"/>
      <c r="C485" s="203"/>
      <c r="D485" s="203"/>
      <c r="E485" s="203"/>
      <c r="F485" s="203"/>
      <c r="G485" s="203"/>
      <c r="H485" s="203"/>
      <c r="I485" s="203"/>
      <c r="J485" s="203"/>
      <c r="K485" s="203"/>
      <c r="L485" s="203"/>
      <c r="M485" s="203"/>
      <c r="N485" s="203"/>
      <c r="O485" s="203"/>
    </row>
    <row r="486" spans="1:15" s="224" customFormat="1" ht="15.75" customHeight="1" x14ac:dyDescent="0.2">
      <c r="A486" s="228"/>
      <c r="B486" s="228"/>
      <c r="C486" s="203"/>
      <c r="D486" s="203"/>
      <c r="E486" s="203"/>
      <c r="F486" s="203"/>
      <c r="G486" s="203"/>
      <c r="H486" s="203"/>
      <c r="I486" s="203"/>
      <c r="J486" s="203"/>
      <c r="K486" s="203"/>
      <c r="L486" s="203"/>
      <c r="M486" s="203"/>
      <c r="N486" s="203"/>
      <c r="O486" s="203"/>
    </row>
    <row r="487" spans="1:15" s="224" customFormat="1" ht="15.75" customHeight="1" x14ac:dyDescent="0.2">
      <c r="A487" s="228"/>
      <c r="B487" s="228"/>
      <c r="C487" s="203"/>
      <c r="D487" s="203"/>
      <c r="E487" s="203"/>
      <c r="F487" s="203"/>
      <c r="G487" s="203"/>
      <c r="H487" s="203"/>
      <c r="I487" s="203"/>
      <c r="J487" s="203"/>
      <c r="K487" s="203"/>
      <c r="L487" s="203"/>
      <c r="M487" s="203"/>
      <c r="N487" s="203"/>
      <c r="O487" s="203"/>
    </row>
    <row r="488" spans="1:15" s="224" customFormat="1" ht="15.75" customHeight="1" x14ac:dyDescent="0.2">
      <c r="A488" s="228"/>
      <c r="B488" s="228"/>
      <c r="C488" s="203"/>
      <c r="D488" s="203"/>
      <c r="E488" s="203"/>
      <c r="F488" s="203"/>
      <c r="G488" s="203"/>
      <c r="H488" s="203"/>
      <c r="I488" s="203"/>
      <c r="J488" s="203"/>
      <c r="K488" s="203"/>
      <c r="L488" s="203"/>
      <c r="M488" s="203"/>
      <c r="N488" s="203"/>
      <c r="O488" s="203"/>
    </row>
    <row r="489" spans="1:15" s="224" customFormat="1" ht="15.75" customHeight="1" x14ac:dyDescent="0.2">
      <c r="A489" s="228"/>
      <c r="B489" s="228"/>
      <c r="C489" s="203"/>
      <c r="D489" s="203"/>
      <c r="E489" s="203"/>
      <c r="F489" s="203"/>
      <c r="G489" s="203"/>
      <c r="H489" s="203"/>
      <c r="I489" s="203"/>
      <c r="J489" s="203"/>
      <c r="K489" s="203"/>
      <c r="L489" s="203"/>
      <c r="M489" s="203"/>
      <c r="N489" s="203"/>
      <c r="O489" s="203"/>
    </row>
    <row r="490" spans="1:15" s="224" customFormat="1" ht="15.75" customHeight="1" x14ac:dyDescent="0.2">
      <c r="A490" s="228"/>
      <c r="B490" s="228"/>
      <c r="C490" s="203"/>
      <c r="D490" s="203"/>
      <c r="E490" s="203"/>
      <c r="F490" s="203"/>
      <c r="G490" s="203"/>
      <c r="H490" s="203"/>
      <c r="I490" s="203"/>
      <c r="J490" s="203"/>
      <c r="K490" s="203"/>
      <c r="L490" s="203"/>
      <c r="M490" s="203"/>
      <c r="N490" s="203"/>
      <c r="O490" s="203"/>
    </row>
    <row r="491" spans="1:15" s="224" customFormat="1" ht="15.75" customHeight="1" x14ac:dyDescent="0.2">
      <c r="A491" s="228"/>
      <c r="B491" s="228"/>
      <c r="C491" s="203"/>
      <c r="D491" s="203"/>
      <c r="E491" s="203"/>
      <c r="F491" s="203"/>
      <c r="G491" s="203"/>
      <c r="H491" s="203"/>
      <c r="I491" s="203"/>
      <c r="J491" s="203"/>
      <c r="K491" s="203"/>
      <c r="L491" s="203"/>
      <c r="M491" s="203"/>
      <c r="N491" s="203"/>
      <c r="O491" s="203"/>
    </row>
    <row r="492" spans="1:15" s="224" customFormat="1" ht="15.75" customHeight="1" x14ac:dyDescent="0.2">
      <c r="A492" s="228"/>
      <c r="B492" s="228"/>
      <c r="C492" s="203"/>
      <c r="D492" s="203"/>
      <c r="E492" s="203"/>
      <c r="F492" s="203"/>
      <c r="G492" s="203"/>
      <c r="H492" s="203"/>
      <c r="I492" s="203"/>
      <c r="J492" s="203"/>
      <c r="K492" s="203"/>
      <c r="L492" s="203"/>
      <c r="M492" s="203"/>
      <c r="N492" s="203"/>
      <c r="O492" s="203"/>
    </row>
    <row r="493" spans="1:15" s="224" customFormat="1" ht="15.75" customHeight="1" x14ac:dyDescent="0.2">
      <c r="A493" s="228"/>
      <c r="B493" s="228"/>
      <c r="C493" s="203"/>
      <c r="D493" s="203"/>
      <c r="E493" s="203"/>
      <c r="F493" s="203"/>
      <c r="G493" s="203"/>
      <c r="H493" s="203"/>
      <c r="I493" s="203"/>
      <c r="J493" s="203"/>
      <c r="K493" s="203"/>
      <c r="L493" s="203"/>
      <c r="M493" s="203"/>
      <c r="N493" s="203"/>
      <c r="O493" s="203"/>
    </row>
    <row r="494" spans="1:15" s="224" customFormat="1" ht="15.75" customHeight="1" x14ac:dyDescent="0.2">
      <c r="A494" s="228"/>
      <c r="B494" s="228"/>
      <c r="C494" s="203"/>
      <c r="D494" s="203"/>
      <c r="E494" s="203"/>
      <c r="F494" s="203"/>
      <c r="G494" s="203"/>
      <c r="H494" s="203"/>
      <c r="I494" s="203"/>
      <c r="J494" s="203"/>
      <c r="K494" s="203"/>
      <c r="L494" s="203"/>
      <c r="M494" s="203"/>
      <c r="N494" s="203"/>
      <c r="O494" s="203"/>
    </row>
    <row r="495" spans="1:15" s="224" customFormat="1" ht="15.75" customHeight="1" x14ac:dyDescent="0.2">
      <c r="A495" s="228"/>
      <c r="B495" s="228"/>
      <c r="C495" s="203"/>
      <c r="D495" s="203"/>
      <c r="E495" s="203"/>
      <c r="F495" s="203"/>
      <c r="G495" s="203"/>
      <c r="H495" s="203"/>
      <c r="I495" s="203"/>
      <c r="J495" s="203"/>
      <c r="K495" s="203"/>
      <c r="L495" s="203"/>
      <c r="M495" s="203"/>
      <c r="N495" s="203"/>
      <c r="O495" s="203"/>
    </row>
    <row r="496" spans="1:15" s="224" customFormat="1" ht="15.75" customHeight="1" x14ac:dyDescent="0.2">
      <c r="A496" s="228"/>
      <c r="B496" s="228"/>
      <c r="C496" s="203"/>
      <c r="D496" s="203"/>
      <c r="E496" s="203"/>
      <c r="F496" s="203"/>
      <c r="G496" s="203"/>
      <c r="H496" s="203"/>
      <c r="I496" s="203"/>
      <c r="J496" s="203"/>
      <c r="K496" s="203"/>
      <c r="L496" s="203"/>
      <c r="M496" s="203"/>
      <c r="N496" s="203"/>
      <c r="O496" s="203"/>
    </row>
    <row r="497" spans="1:15" s="224" customFormat="1" ht="15.75" customHeight="1" x14ac:dyDescent="0.2">
      <c r="A497" s="228"/>
      <c r="B497" s="228"/>
      <c r="C497" s="203"/>
      <c r="D497" s="203"/>
      <c r="E497" s="203"/>
      <c r="F497" s="203"/>
      <c r="G497" s="203"/>
      <c r="H497" s="203"/>
      <c r="I497" s="203"/>
      <c r="J497" s="203"/>
      <c r="K497" s="203"/>
      <c r="L497" s="203"/>
      <c r="M497" s="203"/>
      <c r="N497" s="203"/>
      <c r="O497" s="203"/>
    </row>
    <row r="498" spans="1:15" s="224" customFormat="1" ht="15.75" customHeight="1" x14ac:dyDescent="0.2">
      <c r="A498" s="228"/>
      <c r="B498" s="228"/>
      <c r="C498" s="203"/>
      <c r="D498" s="203"/>
      <c r="E498" s="203"/>
      <c r="F498" s="203"/>
      <c r="G498" s="203"/>
      <c r="H498" s="203"/>
      <c r="I498" s="203"/>
      <c r="J498" s="203"/>
      <c r="K498" s="203"/>
      <c r="L498" s="203"/>
      <c r="M498" s="203"/>
      <c r="N498" s="203"/>
      <c r="O498" s="203"/>
    </row>
    <row r="499" spans="1:15" s="224" customFormat="1" ht="15.75" customHeight="1" x14ac:dyDescent="0.2">
      <c r="A499" s="228"/>
      <c r="B499" s="228"/>
      <c r="C499" s="203"/>
      <c r="D499" s="203"/>
      <c r="E499" s="203"/>
      <c r="F499" s="203"/>
      <c r="G499" s="203"/>
      <c r="H499" s="203"/>
      <c r="I499" s="203"/>
      <c r="J499" s="203"/>
      <c r="K499" s="203"/>
      <c r="L499" s="203"/>
      <c r="M499" s="203"/>
      <c r="N499" s="203"/>
      <c r="O499" s="203"/>
    </row>
    <row r="500" spans="1:15" s="224" customFormat="1" ht="15.75" customHeight="1" x14ac:dyDescent="0.2">
      <c r="A500" s="228"/>
      <c r="B500" s="228"/>
      <c r="C500" s="203"/>
      <c r="D500" s="203"/>
      <c r="E500" s="203"/>
      <c r="F500" s="203"/>
      <c r="G500" s="203"/>
      <c r="H500" s="203"/>
      <c r="I500" s="203"/>
      <c r="J500" s="203"/>
      <c r="K500" s="203"/>
      <c r="L500" s="203"/>
      <c r="M500" s="203"/>
      <c r="N500" s="203"/>
      <c r="O500" s="203"/>
    </row>
    <row r="501" spans="1:15" s="224" customFormat="1" ht="15.75" customHeight="1" x14ac:dyDescent="0.2">
      <c r="A501" s="228"/>
      <c r="B501" s="228"/>
      <c r="C501" s="203"/>
      <c r="D501" s="203"/>
      <c r="E501" s="203"/>
      <c r="F501" s="203"/>
      <c r="G501" s="203"/>
      <c r="H501" s="203"/>
      <c r="I501" s="203"/>
      <c r="J501" s="203"/>
      <c r="K501" s="203"/>
      <c r="L501" s="203"/>
      <c r="M501" s="203"/>
      <c r="N501" s="203"/>
      <c r="O501" s="203"/>
    </row>
    <row r="502" spans="1:15" s="224" customFormat="1" ht="15.75" customHeight="1" x14ac:dyDescent="0.2">
      <c r="A502" s="228"/>
      <c r="B502" s="228"/>
      <c r="C502" s="203"/>
      <c r="D502" s="203"/>
      <c r="E502" s="203"/>
      <c r="F502" s="203"/>
      <c r="G502" s="203"/>
      <c r="H502" s="203"/>
      <c r="I502" s="203"/>
      <c r="J502" s="203"/>
      <c r="K502" s="203"/>
      <c r="L502" s="203"/>
      <c r="M502" s="203"/>
      <c r="N502" s="203"/>
      <c r="O502" s="203"/>
    </row>
    <row r="503" spans="1:15" s="224" customFormat="1" ht="15.75" customHeight="1" x14ac:dyDescent="0.2">
      <c r="A503" s="228"/>
      <c r="B503" s="228"/>
      <c r="C503" s="203"/>
      <c r="D503" s="203"/>
      <c r="E503" s="203"/>
      <c r="F503" s="203"/>
      <c r="G503" s="203"/>
      <c r="H503" s="203"/>
      <c r="I503" s="203"/>
      <c r="J503" s="203"/>
      <c r="K503" s="203"/>
      <c r="L503" s="203"/>
      <c r="M503" s="203"/>
      <c r="N503" s="203"/>
      <c r="O503" s="203"/>
    </row>
    <row r="504" spans="1:15" s="224" customFormat="1" ht="15.75" customHeight="1" x14ac:dyDescent="0.2">
      <c r="A504" s="228"/>
      <c r="B504" s="228"/>
      <c r="C504" s="203"/>
      <c r="D504" s="203"/>
      <c r="E504" s="203"/>
      <c r="F504" s="203"/>
      <c r="G504" s="203"/>
      <c r="H504" s="203"/>
      <c r="I504" s="203"/>
      <c r="J504" s="203"/>
      <c r="K504" s="203"/>
      <c r="L504" s="203"/>
      <c r="M504" s="203"/>
      <c r="N504" s="203"/>
      <c r="O504" s="203"/>
    </row>
    <row r="505" spans="1:15" s="224" customFormat="1" ht="15.75" customHeight="1" x14ac:dyDescent="0.2">
      <c r="A505" s="228"/>
      <c r="B505" s="228"/>
      <c r="C505" s="203"/>
      <c r="D505" s="203"/>
      <c r="E505" s="203"/>
      <c r="F505" s="203"/>
      <c r="G505" s="203"/>
      <c r="H505" s="203"/>
      <c r="I505" s="203"/>
      <c r="J505" s="203"/>
      <c r="K505" s="203"/>
      <c r="L505" s="203"/>
      <c r="M505" s="203"/>
      <c r="N505" s="203"/>
      <c r="O505" s="203"/>
    </row>
    <row r="506" spans="1:15" s="224" customFormat="1" ht="15.75" customHeight="1" x14ac:dyDescent="0.2">
      <c r="A506" s="228"/>
      <c r="B506" s="228"/>
      <c r="C506" s="203"/>
      <c r="D506" s="203"/>
      <c r="E506" s="203"/>
      <c r="F506" s="203"/>
      <c r="G506" s="203"/>
      <c r="H506" s="203"/>
      <c r="I506" s="203"/>
      <c r="J506" s="203"/>
      <c r="K506" s="203"/>
      <c r="L506" s="203"/>
      <c r="M506" s="203"/>
      <c r="N506" s="203"/>
      <c r="O506" s="203"/>
    </row>
    <row r="507" spans="1:15" s="224" customFormat="1" ht="15.75" customHeight="1" x14ac:dyDescent="0.2">
      <c r="A507" s="228"/>
      <c r="B507" s="228"/>
      <c r="C507" s="203"/>
      <c r="D507" s="203"/>
      <c r="E507" s="203"/>
      <c r="F507" s="203"/>
      <c r="G507" s="203"/>
      <c r="H507" s="203"/>
      <c r="I507" s="203"/>
      <c r="J507" s="203"/>
      <c r="K507" s="203"/>
      <c r="L507" s="203"/>
      <c r="M507" s="203"/>
      <c r="N507" s="203"/>
      <c r="O507" s="203"/>
    </row>
    <row r="508" spans="1:15" s="224" customFormat="1" ht="15.75" customHeight="1" x14ac:dyDescent="0.2">
      <c r="A508" s="228"/>
      <c r="B508" s="228"/>
      <c r="C508" s="203"/>
      <c r="D508" s="203"/>
      <c r="E508" s="203"/>
      <c r="F508" s="203"/>
      <c r="G508" s="203"/>
      <c r="H508" s="203"/>
      <c r="I508" s="203"/>
      <c r="J508" s="203"/>
      <c r="K508" s="203"/>
      <c r="L508" s="203"/>
      <c r="M508" s="203"/>
      <c r="N508" s="203"/>
      <c r="O508" s="203"/>
    </row>
    <row r="509" spans="1:15" s="224" customFormat="1" ht="15.75" customHeight="1" x14ac:dyDescent="0.2">
      <c r="A509" s="228"/>
      <c r="B509" s="228"/>
      <c r="C509" s="203"/>
      <c r="D509" s="203"/>
      <c r="E509" s="203"/>
      <c r="F509" s="203"/>
      <c r="G509" s="203"/>
      <c r="H509" s="203"/>
      <c r="I509" s="203"/>
      <c r="J509" s="203"/>
      <c r="K509" s="203"/>
      <c r="L509" s="203"/>
      <c r="M509" s="203"/>
      <c r="N509" s="203"/>
      <c r="O509" s="203"/>
    </row>
    <row r="510" spans="1:15" s="224" customFormat="1" ht="15.75" customHeight="1" x14ac:dyDescent="0.2">
      <c r="A510" s="228"/>
      <c r="B510" s="228"/>
      <c r="C510" s="203"/>
      <c r="D510" s="203"/>
      <c r="E510" s="203"/>
      <c r="F510" s="203"/>
      <c r="G510" s="203"/>
      <c r="H510" s="203"/>
      <c r="I510" s="203"/>
      <c r="J510" s="203"/>
      <c r="K510" s="203"/>
      <c r="L510" s="203"/>
      <c r="M510" s="203"/>
      <c r="N510" s="203"/>
      <c r="O510" s="203"/>
    </row>
    <row r="511" spans="1:15" s="224" customFormat="1" ht="15.75" customHeight="1" x14ac:dyDescent="0.2">
      <c r="A511" s="228"/>
      <c r="B511" s="228"/>
      <c r="C511" s="203"/>
      <c r="D511" s="203"/>
      <c r="E511" s="203"/>
      <c r="F511" s="203"/>
      <c r="G511" s="203"/>
      <c r="H511" s="203"/>
      <c r="I511" s="203"/>
      <c r="J511" s="203"/>
      <c r="K511" s="203"/>
      <c r="L511" s="203"/>
      <c r="M511" s="203"/>
      <c r="N511" s="203"/>
      <c r="O511" s="203"/>
    </row>
    <row r="512" spans="1:15" s="224" customFormat="1" ht="15.75" customHeight="1" x14ac:dyDescent="0.2">
      <c r="A512" s="228"/>
      <c r="B512" s="228"/>
      <c r="C512" s="203"/>
      <c r="D512" s="203"/>
      <c r="E512" s="203"/>
      <c r="F512" s="203"/>
      <c r="G512" s="203"/>
      <c r="H512" s="203"/>
      <c r="I512" s="203"/>
      <c r="J512" s="203"/>
      <c r="K512" s="203"/>
      <c r="L512" s="203"/>
      <c r="M512" s="203"/>
      <c r="N512" s="203"/>
      <c r="O512" s="203"/>
    </row>
    <row r="513" spans="1:15" s="224" customFormat="1" ht="15.75" customHeight="1" x14ac:dyDescent="0.2">
      <c r="A513" s="228"/>
      <c r="B513" s="228"/>
      <c r="C513" s="203"/>
      <c r="D513" s="203"/>
      <c r="E513" s="203"/>
      <c r="F513" s="203"/>
      <c r="G513" s="203"/>
      <c r="H513" s="203"/>
      <c r="I513" s="203"/>
      <c r="J513" s="203"/>
      <c r="K513" s="203"/>
      <c r="L513" s="203"/>
      <c r="M513" s="203"/>
      <c r="N513" s="203"/>
      <c r="O513" s="203"/>
    </row>
    <row r="514" spans="1:15" s="224" customFormat="1" ht="15.75" customHeight="1" x14ac:dyDescent="0.2">
      <c r="A514" s="228"/>
      <c r="B514" s="228"/>
      <c r="C514" s="203"/>
      <c r="D514" s="203"/>
      <c r="E514" s="203"/>
      <c r="F514" s="203"/>
      <c r="G514" s="203"/>
      <c r="H514" s="203"/>
      <c r="I514" s="203"/>
      <c r="J514" s="203"/>
      <c r="K514" s="203"/>
      <c r="L514" s="203"/>
      <c r="M514" s="203"/>
      <c r="N514" s="203"/>
      <c r="O514" s="203"/>
    </row>
    <row r="515" spans="1:15" s="224" customFormat="1" ht="15.75" customHeight="1" x14ac:dyDescent="0.2">
      <c r="A515" s="228"/>
      <c r="B515" s="228"/>
      <c r="C515" s="203"/>
      <c r="D515" s="203"/>
      <c r="E515" s="203"/>
      <c r="F515" s="203"/>
      <c r="G515" s="203"/>
      <c r="H515" s="203"/>
      <c r="I515" s="203"/>
      <c r="J515" s="203"/>
      <c r="K515" s="203"/>
      <c r="L515" s="203"/>
      <c r="M515" s="203"/>
      <c r="N515" s="203"/>
      <c r="O515" s="203"/>
    </row>
    <row r="516" spans="1:15" s="224" customFormat="1" ht="15.75" customHeight="1" x14ac:dyDescent="0.2">
      <c r="A516" s="228"/>
      <c r="B516" s="228"/>
      <c r="C516" s="203"/>
      <c r="D516" s="203"/>
      <c r="E516" s="203"/>
      <c r="F516" s="203"/>
      <c r="G516" s="203"/>
      <c r="H516" s="203"/>
      <c r="I516" s="203"/>
      <c r="J516" s="203"/>
      <c r="K516" s="203"/>
      <c r="L516" s="203"/>
      <c r="M516" s="203"/>
      <c r="N516" s="203"/>
      <c r="O516" s="203"/>
    </row>
    <row r="517" spans="1:15" s="224" customFormat="1" ht="15.75" customHeight="1" x14ac:dyDescent="0.2">
      <c r="A517" s="228"/>
      <c r="B517" s="228"/>
      <c r="C517" s="203"/>
      <c r="D517" s="203"/>
      <c r="E517" s="203"/>
      <c r="F517" s="203"/>
      <c r="G517" s="203"/>
      <c r="H517" s="203"/>
      <c r="I517" s="203"/>
      <c r="J517" s="203"/>
      <c r="K517" s="203"/>
      <c r="L517" s="203"/>
      <c r="M517" s="203"/>
      <c r="N517" s="203"/>
      <c r="O517" s="203"/>
    </row>
    <row r="518" spans="1:15" s="224" customFormat="1" ht="15.75" customHeight="1" x14ac:dyDescent="0.2">
      <c r="A518" s="228"/>
      <c r="B518" s="228"/>
      <c r="C518" s="203"/>
      <c r="D518" s="203"/>
      <c r="E518" s="203"/>
      <c r="F518" s="203"/>
      <c r="G518" s="203"/>
      <c r="H518" s="203"/>
      <c r="I518" s="203"/>
      <c r="J518" s="203"/>
      <c r="K518" s="203"/>
      <c r="L518" s="203"/>
      <c r="M518" s="203"/>
      <c r="N518" s="203"/>
      <c r="O518" s="203"/>
    </row>
    <row r="519" spans="1:15" s="224" customFormat="1" ht="15.75" customHeight="1" x14ac:dyDescent="0.2">
      <c r="A519" s="228"/>
      <c r="B519" s="228"/>
      <c r="C519" s="203"/>
      <c r="D519" s="203"/>
      <c r="E519" s="203"/>
      <c r="F519" s="203"/>
      <c r="G519" s="203"/>
      <c r="H519" s="203"/>
      <c r="I519" s="203"/>
      <c r="J519" s="203"/>
      <c r="K519" s="203"/>
      <c r="L519" s="203"/>
      <c r="M519" s="203"/>
      <c r="N519" s="203"/>
      <c r="O519" s="203"/>
    </row>
    <row r="520" spans="1:15" s="224" customFormat="1" ht="15.75" customHeight="1" x14ac:dyDescent="0.2">
      <c r="A520" s="228"/>
      <c r="B520" s="228"/>
      <c r="C520" s="203"/>
      <c r="D520" s="203"/>
      <c r="E520" s="203"/>
      <c r="F520" s="203"/>
      <c r="G520" s="203"/>
      <c r="H520" s="203"/>
      <c r="I520" s="203"/>
      <c r="J520" s="203"/>
      <c r="K520" s="203"/>
      <c r="L520" s="203"/>
      <c r="M520" s="203"/>
      <c r="N520" s="203"/>
      <c r="O520" s="203"/>
    </row>
    <row r="521" spans="1:15" s="224" customFormat="1" ht="15.75" customHeight="1" x14ac:dyDescent="0.2">
      <c r="A521" s="228"/>
      <c r="B521" s="228"/>
      <c r="C521" s="203"/>
      <c r="D521" s="203"/>
      <c r="E521" s="203"/>
      <c r="F521" s="203"/>
      <c r="G521" s="203"/>
      <c r="H521" s="203"/>
      <c r="I521" s="203"/>
      <c r="J521" s="203"/>
      <c r="K521" s="203"/>
      <c r="L521" s="203"/>
      <c r="M521" s="203"/>
      <c r="N521" s="203"/>
      <c r="O521" s="203"/>
    </row>
    <row r="522" spans="1:15" s="224" customFormat="1" ht="15.75" customHeight="1" x14ac:dyDescent="0.2">
      <c r="A522" s="228"/>
      <c r="B522" s="228"/>
      <c r="C522" s="203"/>
      <c r="D522" s="203"/>
      <c r="E522" s="203"/>
      <c r="F522" s="203"/>
      <c r="G522" s="203"/>
      <c r="H522" s="203"/>
      <c r="I522" s="203"/>
      <c r="J522" s="203"/>
      <c r="K522" s="203"/>
      <c r="L522" s="203"/>
      <c r="M522" s="203"/>
      <c r="N522" s="203"/>
      <c r="O522" s="203"/>
    </row>
    <row r="523" spans="1:15" s="224" customFormat="1" ht="15.75" customHeight="1" x14ac:dyDescent="0.2">
      <c r="A523" s="228"/>
      <c r="B523" s="228"/>
      <c r="C523" s="203"/>
      <c r="D523" s="203"/>
      <c r="E523" s="203"/>
      <c r="F523" s="203"/>
      <c r="G523" s="203"/>
      <c r="H523" s="203"/>
      <c r="I523" s="203"/>
      <c r="J523" s="203"/>
      <c r="K523" s="203"/>
      <c r="L523" s="203"/>
      <c r="M523" s="203"/>
      <c r="N523" s="203"/>
      <c r="O523" s="203"/>
    </row>
    <row r="524" spans="1:15" s="224" customFormat="1" ht="15.75" customHeight="1" x14ac:dyDescent="0.2">
      <c r="A524" s="228"/>
      <c r="B524" s="228"/>
      <c r="C524" s="203"/>
      <c r="D524" s="203"/>
      <c r="E524" s="203"/>
      <c r="F524" s="203"/>
      <c r="G524" s="203"/>
      <c r="H524" s="203"/>
      <c r="I524" s="203"/>
      <c r="J524" s="203"/>
      <c r="K524" s="203"/>
      <c r="L524" s="203"/>
      <c r="M524" s="203"/>
      <c r="N524" s="203"/>
      <c r="O524" s="203"/>
    </row>
    <row r="525" spans="1:15" s="224" customFormat="1" ht="15.75" customHeight="1" x14ac:dyDescent="0.2">
      <c r="A525" s="228"/>
      <c r="B525" s="228"/>
      <c r="C525" s="203"/>
      <c r="D525" s="203"/>
      <c r="E525" s="203"/>
      <c r="F525" s="203"/>
      <c r="G525" s="203"/>
      <c r="H525" s="203"/>
      <c r="I525" s="203"/>
      <c r="J525" s="203"/>
      <c r="K525" s="203"/>
      <c r="L525" s="203"/>
      <c r="M525" s="203"/>
      <c r="N525" s="203"/>
      <c r="O525" s="203"/>
    </row>
    <row r="526" spans="1:15" s="224" customFormat="1" ht="15.75" customHeight="1" x14ac:dyDescent="0.2">
      <c r="A526" s="228"/>
      <c r="B526" s="228"/>
      <c r="C526" s="203"/>
      <c r="D526" s="203"/>
      <c r="E526" s="203"/>
      <c r="F526" s="203"/>
      <c r="G526" s="203"/>
      <c r="H526" s="203"/>
      <c r="I526" s="203"/>
      <c r="J526" s="203"/>
      <c r="K526" s="203"/>
      <c r="L526" s="203"/>
      <c r="M526" s="203"/>
      <c r="N526" s="203"/>
      <c r="O526" s="203"/>
    </row>
    <row r="527" spans="1:15" s="224" customFormat="1" ht="15.75" customHeight="1" x14ac:dyDescent="0.2">
      <c r="A527" s="228"/>
      <c r="B527" s="228"/>
      <c r="C527" s="203"/>
      <c r="D527" s="203"/>
      <c r="E527" s="203"/>
      <c r="F527" s="203"/>
      <c r="G527" s="203"/>
      <c r="H527" s="203"/>
      <c r="I527" s="203"/>
      <c r="J527" s="203"/>
      <c r="K527" s="203"/>
      <c r="L527" s="203"/>
      <c r="M527" s="203"/>
      <c r="N527" s="203"/>
      <c r="O527" s="203"/>
    </row>
    <row r="528" spans="1:15" s="224" customFormat="1" ht="15.75" customHeight="1" x14ac:dyDescent="0.2">
      <c r="A528" s="228"/>
      <c r="B528" s="228"/>
      <c r="C528" s="203"/>
      <c r="D528" s="203"/>
      <c r="E528" s="203"/>
      <c r="F528" s="203"/>
      <c r="G528" s="203"/>
      <c r="H528" s="203"/>
      <c r="I528" s="203"/>
      <c r="J528" s="203"/>
      <c r="K528" s="203"/>
      <c r="L528" s="203"/>
      <c r="M528" s="203"/>
      <c r="N528" s="203"/>
      <c r="O528" s="203"/>
    </row>
    <row r="529" spans="1:15" s="224" customFormat="1" ht="15.75" customHeight="1" x14ac:dyDescent="0.2">
      <c r="A529" s="228"/>
      <c r="B529" s="228"/>
      <c r="C529" s="203"/>
      <c r="D529" s="203"/>
      <c r="E529" s="203"/>
      <c r="F529" s="203"/>
      <c r="G529" s="203"/>
      <c r="H529" s="203"/>
      <c r="I529" s="203"/>
      <c r="J529" s="203"/>
      <c r="K529" s="203"/>
      <c r="L529" s="203"/>
      <c r="M529" s="203"/>
      <c r="N529" s="203"/>
      <c r="O529" s="203"/>
    </row>
    <row r="530" spans="1:15" s="224" customFormat="1" ht="15.75" customHeight="1" x14ac:dyDescent="0.2">
      <c r="A530" s="228"/>
      <c r="B530" s="228"/>
      <c r="C530" s="203"/>
      <c r="D530" s="203"/>
      <c r="E530" s="203"/>
      <c r="F530" s="203"/>
      <c r="G530" s="203"/>
      <c r="H530" s="203"/>
      <c r="I530" s="203"/>
      <c r="J530" s="203"/>
      <c r="K530" s="203"/>
      <c r="L530" s="203"/>
      <c r="M530" s="203"/>
      <c r="N530" s="203"/>
      <c r="O530" s="203"/>
    </row>
    <row r="531" spans="1:15" s="224" customFormat="1" ht="15.75" customHeight="1" x14ac:dyDescent="0.2">
      <c r="A531" s="228"/>
      <c r="B531" s="228"/>
      <c r="C531" s="203"/>
      <c r="D531" s="203"/>
      <c r="E531" s="203"/>
      <c r="F531" s="203"/>
      <c r="G531" s="203"/>
      <c r="H531" s="203"/>
      <c r="I531" s="203"/>
      <c r="J531" s="203"/>
      <c r="K531" s="203"/>
      <c r="L531" s="203"/>
      <c r="M531" s="203"/>
      <c r="N531" s="203"/>
      <c r="O531" s="203"/>
    </row>
    <row r="532" spans="1:15" s="224" customFormat="1" ht="15.75" customHeight="1" x14ac:dyDescent="0.2">
      <c r="A532" s="228"/>
      <c r="B532" s="228"/>
      <c r="C532" s="203"/>
      <c r="D532" s="203"/>
      <c r="E532" s="203"/>
      <c r="F532" s="203"/>
      <c r="G532" s="203"/>
      <c r="H532" s="203"/>
      <c r="I532" s="203"/>
      <c r="J532" s="203"/>
      <c r="K532" s="203"/>
      <c r="L532" s="203"/>
      <c r="M532" s="203"/>
      <c r="N532" s="203"/>
      <c r="O532" s="203"/>
    </row>
    <row r="533" spans="1:15" s="224" customFormat="1" ht="15.75" customHeight="1" x14ac:dyDescent="0.2">
      <c r="A533" s="228"/>
      <c r="B533" s="228"/>
      <c r="C533" s="203"/>
      <c r="D533" s="203"/>
      <c r="E533" s="203"/>
      <c r="F533" s="203"/>
      <c r="G533" s="203"/>
      <c r="H533" s="203"/>
      <c r="I533" s="203"/>
      <c r="J533" s="203"/>
      <c r="K533" s="203"/>
      <c r="L533" s="203"/>
      <c r="M533" s="203"/>
      <c r="N533" s="203"/>
      <c r="O533" s="203"/>
    </row>
    <row r="534" spans="1:15" s="224" customFormat="1" ht="15.75" customHeight="1" x14ac:dyDescent="0.2">
      <c r="A534" s="228"/>
      <c r="B534" s="228"/>
      <c r="C534" s="203"/>
      <c r="D534" s="203"/>
      <c r="E534" s="203"/>
      <c r="F534" s="203"/>
      <c r="G534" s="203"/>
      <c r="H534" s="203"/>
      <c r="I534" s="203"/>
      <c r="J534" s="203"/>
      <c r="K534" s="203"/>
      <c r="L534" s="203"/>
      <c r="M534" s="203"/>
      <c r="N534" s="203"/>
      <c r="O534" s="203"/>
    </row>
    <row r="535" spans="1:15" s="224" customFormat="1" ht="15.75" customHeight="1" x14ac:dyDescent="0.2">
      <c r="A535" s="228"/>
      <c r="B535" s="228"/>
      <c r="C535" s="203"/>
      <c r="D535" s="203"/>
      <c r="E535" s="203"/>
      <c r="F535" s="203"/>
      <c r="G535" s="203"/>
      <c r="H535" s="203"/>
      <c r="I535" s="203"/>
      <c r="J535" s="203"/>
      <c r="K535" s="203"/>
      <c r="L535" s="203"/>
      <c r="M535" s="203"/>
      <c r="N535" s="203"/>
      <c r="O535" s="203"/>
    </row>
    <row r="536" spans="1:15" s="224" customFormat="1" ht="15.75" customHeight="1" x14ac:dyDescent="0.2">
      <c r="A536" s="228"/>
      <c r="B536" s="228"/>
      <c r="C536" s="203"/>
      <c r="D536" s="203"/>
      <c r="E536" s="203"/>
      <c r="F536" s="203"/>
      <c r="G536" s="203"/>
      <c r="H536" s="203"/>
      <c r="I536" s="203"/>
      <c r="J536" s="203"/>
      <c r="K536" s="203"/>
      <c r="L536" s="203"/>
      <c r="M536" s="203"/>
      <c r="N536" s="203"/>
      <c r="O536" s="203"/>
    </row>
    <row r="537" spans="1:15" s="224" customFormat="1" ht="15.75" customHeight="1" x14ac:dyDescent="0.2">
      <c r="A537" s="228"/>
      <c r="B537" s="228"/>
      <c r="C537" s="203"/>
      <c r="D537" s="203"/>
      <c r="E537" s="203"/>
      <c r="F537" s="203"/>
      <c r="G537" s="203"/>
      <c r="H537" s="203"/>
      <c r="I537" s="203"/>
      <c r="J537" s="203"/>
      <c r="K537" s="203"/>
      <c r="L537" s="203"/>
      <c r="M537" s="203"/>
      <c r="N537" s="203"/>
      <c r="O537" s="203"/>
    </row>
    <row r="538" spans="1:15" s="224" customFormat="1" ht="15.75" customHeight="1" x14ac:dyDescent="0.2">
      <c r="A538" s="228"/>
      <c r="B538" s="228"/>
      <c r="C538" s="203"/>
      <c r="D538" s="203"/>
      <c r="E538" s="203"/>
      <c r="F538" s="203"/>
      <c r="G538" s="203"/>
      <c r="H538" s="203"/>
      <c r="I538" s="203"/>
      <c r="J538" s="203"/>
      <c r="K538" s="203"/>
      <c r="L538" s="203"/>
      <c r="M538" s="203"/>
      <c r="N538" s="203"/>
      <c r="O538" s="203"/>
    </row>
    <row r="539" spans="1:15" s="224" customFormat="1" ht="15.75" customHeight="1" x14ac:dyDescent="0.2">
      <c r="A539" s="228"/>
      <c r="B539" s="228"/>
      <c r="C539" s="203"/>
      <c r="D539" s="203"/>
      <c r="E539" s="203"/>
      <c r="F539" s="203"/>
      <c r="G539" s="203"/>
      <c r="H539" s="203"/>
      <c r="I539" s="203"/>
      <c r="J539" s="203"/>
      <c r="K539" s="203"/>
      <c r="L539" s="203"/>
      <c r="M539" s="203"/>
      <c r="N539" s="203"/>
      <c r="O539" s="203"/>
    </row>
    <row r="540" spans="1:15" s="224" customFormat="1" ht="15.75" customHeight="1" x14ac:dyDescent="0.2">
      <c r="A540" s="228"/>
      <c r="B540" s="228"/>
      <c r="C540" s="203"/>
      <c r="D540" s="203"/>
      <c r="E540" s="203"/>
      <c r="F540" s="203"/>
      <c r="G540" s="203"/>
      <c r="H540" s="203"/>
      <c r="I540" s="203"/>
      <c r="J540" s="203"/>
      <c r="K540" s="203"/>
      <c r="L540" s="203"/>
      <c r="M540" s="203"/>
      <c r="N540" s="203"/>
      <c r="O540" s="203"/>
    </row>
    <row r="541" spans="1:15" s="224" customFormat="1" ht="15.75" customHeight="1" x14ac:dyDescent="0.2">
      <c r="A541" s="228"/>
      <c r="B541" s="228"/>
      <c r="C541" s="203"/>
      <c r="D541" s="203"/>
      <c r="E541" s="203"/>
      <c r="F541" s="203"/>
      <c r="G541" s="203"/>
      <c r="H541" s="203"/>
      <c r="I541" s="203"/>
      <c r="J541" s="203"/>
      <c r="K541" s="203"/>
      <c r="L541" s="203"/>
      <c r="M541" s="203"/>
      <c r="N541" s="203"/>
      <c r="O541" s="203"/>
    </row>
    <row r="542" spans="1:15" s="224" customFormat="1" ht="15.75" customHeight="1" x14ac:dyDescent="0.2">
      <c r="A542" s="228"/>
      <c r="B542" s="228"/>
      <c r="C542" s="203"/>
      <c r="D542" s="203"/>
      <c r="E542" s="203"/>
      <c r="F542" s="203"/>
      <c r="G542" s="203"/>
      <c r="H542" s="203"/>
      <c r="I542" s="203"/>
      <c r="J542" s="203"/>
      <c r="K542" s="203"/>
      <c r="L542" s="203"/>
      <c r="M542" s="203"/>
      <c r="N542" s="203"/>
      <c r="O542" s="203"/>
    </row>
    <row r="543" spans="1:15" s="224" customFormat="1" ht="15.75" customHeight="1" x14ac:dyDescent="0.2">
      <c r="A543" s="228"/>
      <c r="B543" s="228"/>
      <c r="C543" s="203"/>
      <c r="D543" s="203"/>
      <c r="E543" s="203"/>
      <c r="F543" s="203"/>
      <c r="G543" s="203"/>
      <c r="H543" s="203"/>
      <c r="I543" s="203"/>
      <c r="J543" s="203"/>
      <c r="K543" s="203"/>
      <c r="L543" s="203"/>
      <c r="M543" s="203"/>
      <c r="N543" s="203"/>
      <c r="O543" s="203"/>
    </row>
    <row r="544" spans="1:15" s="224" customFormat="1" ht="15.75" customHeight="1" x14ac:dyDescent="0.2">
      <c r="A544" s="228"/>
      <c r="B544" s="228"/>
      <c r="C544" s="203"/>
      <c r="D544" s="203"/>
      <c r="E544" s="203"/>
      <c r="F544" s="203"/>
      <c r="G544" s="203"/>
      <c r="H544" s="203"/>
      <c r="I544" s="203"/>
      <c r="J544" s="203"/>
      <c r="K544" s="203"/>
      <c r="L544" s="203"/>
      <c r="M544" s="203"/>
      <c r="N544" s="203"/>
      <c r="O544" s="203"/>
    </row>
    <row r="545" spans="1:15" s="224" customFormat="1" ht="15.75" customHeight="1" x14ac:dyDescent="0.2">
      <c r="A545" s="228"/>
      <c r="B545" s="228"/>
      <c r="C545" s="203"/>
      <c r="D545" s="203"/>
      <c r="E545" s="203"/>
      <c r="F545" s="203"/>
      <c r="G545" s="203"/>
      <c r="H545" s="203"/>
      <c r="I545" s="203"/>
      <c r="J545" s="203"/>
      <c r="K545" s="203"/>
      <c r="L545" s="203"/>
      <c r="M545" s="203"/>
      <c r="N545" s="203"/>
      <c r="O545" s="203"/>
    </row>
    <row r="546" spans="1:15" s="224" customFormat="1" ht="15.75" customHeight="1" x14ac:dyDescent="0.2">
      <c r="A546" s="228"/>
      <c r="B546" s="228"/>
      <c r="C546" s="203"/>
      <c r="D546" s="203"/>
      <c r="E546" s="203"/>
      <c r="F546" s="203"/>
      <c r="G546" s="203"/>
      <c r="H546" s="203"/>
      <c r="I546" s="203"/>
      <c r="J546" s="203"/>
      <c r="K546" s="203"/>
      <c r="L546" s="203"/>
      <c r="M546" s="203"/>
      <c r="N546" s="203"/>
      <c r="O546" s="203"/>
    </row>
    <row r="547" spans="1:15" s="224" customFormat="1" ht="15.75" customHeight="1" x14ac:dyDescent="0.2">
      <c r="A547" s="228"/>
      <c r="B547" s="228"/>
      <c r="C547" s="203"/>
      <c r="D547" s="203"/>
      <c r="E547" s="203"/>
      <c r="F547" s="203"/>
      <c r="G547" s="203"/>
      <c r="H547" s="203"/>
      <c r="I547" s="203"/>
      <c r="J547" s="203"/>
      <c r="K547" s="203"/>
      <c r="L547" s="203"/>
      <c r="M547" s="203"/>
      <c r="N547" s="203"/>
      <c r="O547" s="203"/>
    </row>
    <row r="548" spans="1:15" s="224" customFormat="1" ht="15.75" customHeight="1" x14ac:dyDescent="0.2">
      <c r="A548" s="228"/>
      <c r="B548" s="228"/>
      <c r="C548" s="203"/>
      <c r="D548" s="203"/>
      <c r="E548" s="203"/>
      <c r="F548" s="203"/>
      <c r="G548" s="203"/>
      <c r="H548" s="203"/>
      <c r="I548" s="203"/>
      <c r="J548" s="203"/>
      <c r="K548" s="203"/>
      <c r="L548" s="203"/>
      <c r="M548" s="203"/>
      <c r="N548" s="203"/>
      <c r="O548" s="203"/>
    </row>
    <row r="549" spans="1:15" s="224" customFormat="1" ht="15.75" customHeight="1" x14ac:dyDescent="0.2">
      <c r="A549" s="228"/>
      <c r="B549" s="228"/>
      <c r="C549" s="203"/>
      <c r="D549" s="203"/>
      <c r="E549" s="203"/>
      <c r="F549" s="203"/>
      <c r="G549" s="203"/>
      <c r="H549" s="203"/>
      <c r="I549" s="203"/>
      <c r="J549" s="203"/>
      <c r="K549" s="203"/>
      <c r="L549" s="203"/>
      <c r="M549" s="203"/>
      <c r="N549" s="203"/>
      <c r="O549" s="203"/>
    </row>
    <row r="550" spans="1:15" s="224" customFormat="1" ht="15.75" customHeight="1" x14ac:dyDescent="0.2">
      <c r="A550" s="228"/>
      <c r="B550" s="228"/>
      <c r="C550" s="203"/>
      <c r="D550" s="203"/>
      <c r="E550" s="203"/>
      <c r="F550" s="203"/>
      <c r="G550" s="203"/>
      <c r="H550" s="203"/>
      <c r="I550" s="203"/>
      <c r="J550" s="203"/>
      <c r="K550" s="203"/>
      <c r="L550" s="203"/>
      <c r="M550" s="203"/>
      <c r="N550" s="203"/>
      <c r="O550" s="203"/>
    </row>
    <row r="551" spans="1:15" s="224" customFormat="1" ht="15.75" customHeight="1" x14ac:dyDescent="0.2">
      <c r="A551" s="228"/>
      <c r="B551" s="228"/>
      <c r="C551" s="203"/>
      <c r="D551" s="203"/>
      <c r="E551" s="203"/>
      <c r="F551" s="203"/>
      <c r="G551" s="203"/>
      <c r="H551" s="203"/>
      <c r="I551" s="203"/>
      <c r="J551" s="203"/>
      <c r="K551" s="203"/>
      <c r="L551" s="203"/>
      <c r="M551" s="203"/>
      <c r="N551" s="203"/>
      <c r="O551" s="203"/>
    </row>
    <row r="552" spans="1:15" s="224" customFormat="1" ht="15.75" customHeight="1" x14ac:dyDescent="0.2">
      <c r="A552" s="228"/>
      <c r="B552" s="228"/>
      <c r="C552" s="203"/>
      <c r="D552" s="203"/>
      <c r="E552" s="203"/>
      <c r="F552" s="203"/>
      <c r="G552" s="203"/>
      <c r="H552" s="203"/>
      <c r="I552" s="203"/>
      <c r="J552" s="203"/>
      <c r="K552" s="203"/>
      <c r="L552" s="203"/>
      <c r="M552" s="203"/>
      <c r="N552" s="203"/>
      <c r="O552" s="203"/>
    </row>
    <row r="553" spans="1:15" s="224" customFormat="1" ht="15.75" customHeight="1" x14ac:dyDescent="0.2">
      <c r="A553" s="228"/>
      <c r="B553" s="228"/>
      <c r="C553" s="203"/>
      <c r="D553" s="203"/>
      <c r="E553" s="203"/>
      <c r="F553" s="203"/>
      <c r="G553" s="203"/>
      <c r="H553" s="203"/>
      <c r="I553" s="203"/>
      <c r="J553" s="203"/>
      <c r="K553" s="203"/>
      <c r="L553" s="203"/>
      <c r="M553" s="203"/>
      <c r="N553" s="203"/>
      <c r="O553" s="203"/>
    </row>
    <row r="554" spans="1:15" s="224" customFormat="1" ht="15.75" customHeight="1" x14ac:dyDescent="0.2">
      <c r="A554" s="228"/>
      <c r="B554" s="228"/>
      <c r="C554" s="203"/>
      <c r="D554" s="203"/>
      <c r="E554" s="203"/>
      <c r="F554" s="203"/>
      <c r="G554" s="203"/>
      <c r="H554" s="203"/>
      <c r="I554" s="203"/>
      <c r="J554" s="203"/>
      <c r="K554" s="203"/>
      <c r="L554" s="203"/>
      <c r="M554" s="203"/>
      <c r="N554" s="203"/>
      <c r="O554" s="203"/>
    </row>
    <row r="555" spans="1:15" s="224" customFormat="1" ht="15.75" customHeight="1" x14ac:dyDescent="0.2">
      <c r="A555" s="228"/>
      <c r="B555" s="228"/>
      <c r="C555" s="203"/>
      <c r="D555" s="203"/>
      <c r="E555" s="203"/>
      <c r="F555" s="203"/>
      <c r="G555" s="203"/>
      <c r="H555" s="203"/>
      <c r="I555" s="203"/>
      <c r="J555" s="203"/>
      <c r="K555" s="203"/>
      <c r="L555" s="203"/>
      <c r="M555" s="203"/>
      <c r="N555" s="203"/>
      <c r="O555" s="203"/>
    </row>
    <row r="556" spans="1:15" s="224" customFormat="1" ht="15.75" customHeight="1" x14ac:dyDescent="0.2">
      <c r="A556" s="228"/>
      <c r="B556" s="228"/>
      <c r="C556" s="203"/>
      <c r="D556" s="203"/>
      <c r="E556" s="203"/>
      <c r="F556" s="203"/>
      <c r="G556" s="203"/>
      <c r="H556" s="203"/>
      <c r="I556" s="203"/>
      <c r="J556" s="203"/>
      <c r="K556" s="203"/>
      <c r="L556" s="203"/>
      <c r="M556" s="203"/>
      <c r="N556" s="203"/>
      <c r="O556" s="203"/>
    </row>
    <row r="557" spans="1:15" s="224" customFormat="1" ht="15.75" customHeight="1" x14ac:dyDescent="0.2">
      <c r="A557" s="228"/>
      <c r="B557" s="228"/>
      <c r="C557" s="203"/>
      <c r="D557" s="203"/>
      <c r="E557" s="203"/>
      <c r="F557" s="203"/>
      <c r="G557" s="203"/>
      <c r="H557" s="203"/>
      <c r="I557" s="203"/>
      <c r="J557" s="203"/>
      <c r="K557" s="203"/>
      <c r="L557" s="203"/>
      <c r="M557" s="203"/>
      <c r="N557" s="203"/>
      <c r="O557" s="203"/>
    </row>
    <row r="558" spans="1:15" s="224" customFormat="1" ht="15.75" customHeight="1" x14ac:dyDescent="0.2">
      <c r="A558" s="228"/>
      <c r="B558" s="228"/>
      <c r="C558" s="203"/>
      <c r="D558" s="203"/>
      <c r="E558" s="203"/>
      <c r="F558" s="203"/>
      <c r="G558" s="203"/>
      <c r="H558" s="203"/>
      <c r="I558" s="203"/>
      <c r="J558" s="203"/>
      <c r="K558" s="203"/>
      <c r="L558" s="203"/>
      <c r="M558" s="203"/>
      <c r="N558" s="203"/>
      <c r="O558" s="203"/>
    </row>
    <row r="559" spans="1:15" s="224" customFormat="1" ht="15.75" customHeight="1" x14ac:dyDescent="0.2">
      <c r="A559" s="228"/>
      <c r="B559" s="228"/>
      <c r="C559" s="203"/>
      <c r="D559" s="203"/>
      <c r="E559" s="203"/>
      <c r="F559" s="203"/>
      <c r="G559" s="203"/>
      <c r="H559" s="203"/>
      <c r="I559" s="203"/>
      <c r="J559" s="203"/>
      <c r="K559" s="203"/>
      <c r="L559" s="203"/>
      <c r="M559" s="203"/>
      <c r="N559" s="203"/>
      <c r="O559" s="203"/>
    </row>
    <row r="560" spans="1:15" s="224" customFormat="1" ht="15.75" customHeight="1" x14ac:dyDescent="0.2">
      <c r="A560" s="228"/>
      <c r="B560" s="228"/>
      <c r="C560" s="203"/>
      <c r="D560" s="203"/>
      <c r="E560" s="203"/>
      <c r="F560" s="203"/>
      <c r="G560" s="203"/>
      <c r="H560" s="203"/>
      <c r="I560" s="203"/>
      <c r="J560" s="203"/>
      <c r="K560" s="203"/>
      <c r="L560" s="203"/>
      <c r="M560" s="203"/>
      <c r="N560" s="203"/>
      <c r="O560" s="203"/>
    </row>
    <row r="561" spans="1:15" s="224" customFormat="1" ht="15.75" customHeight="1" x14ac:dyDescent="0.2">
      <c r="A561" s="228"/>
      <c r="B561" s="228"/>
      <c r="C561" s="203"/>
      <c r="D561" s="203"/>
      <c r="E561" s="203"/>
      <c r="F561" s="203"/>
      <c r="G561" s="203"/>
      <c r="H561" s="203"/>
      <c r="I561" s="203"/>
      <c r="J561" s="203"/>
      <c r="K561" s="203"/>
      <c r="L561" s="203"/>
      <c r="M561" s="203"/>
      <c r="N561" s="203"/>
      <c r="O561" s="203"/>
    </row>
    <row r="562" spans="1:15" s="224" customFormat="1" ht="15.75" customHeight="1" x14ac:dyDescent="0.2">
      <c r="A562" s="228"/>
      <c r="B562" s="228"/>
      <c r="C562" s="203"/>
      <c r="D562" s="203"/>
      <c r="E562" s="203"/>
      <c r="F562" s="203"/>
      <c r="G562" s="203"/>
      <c r="H562" s="203"/>
      <c r="I562" s="203"/>
      <c r="J562" s="203"/>
      <c r="K562" s="203"/>
      <c r="L562" s="203"/>
      <c r="M562" s="203"/>
      <c r="N562" s="203"/>
      <c r="O562" s="203"/>
    </row>
    <row r="563" spans="1:15" s="224" customFormat="1" ht="15.75" customHeight="1" x14ac:dyDescent="0.2">
      <c r="A563" s="228"/>
      <c r="B563" s="228"/>
      <c r="C563" s="203"/>
      <c r="D563" s="203"/>
      <c r="E563" s="203"/>
      <c r="F563" s="203"/>
      <c r="G563" s="203"/>
      <c r="H563" s="203"/>
      <c r="I563" s="203"/>
      <c r="J563" s="203"/>
      <c r="K563" s="203"/>
      <c r="L563" s="203"/>
      <c r="M563" s="203"/>
      <c r="N563" s="203"/>
      <c r="O563" s="203"/>
    </row>
    <row r="564" spans="1:15" s="224" customFormat="1" ht="15.75" customHeight="1" x14ac:dyDescent="0.2">
      <c r="A564" s="228"/>
      <c r="B564" s="228"/>
      <c r="C564" s="203"/>
      <c r="D564" s="203"/>
      <c r="E564" s="203"/>
      <c r="F564" s="203"/>
      <c r="G564" s="203"/>
      <c r="H564" s="203"/>
      <c r="I564" s="203"/>
      <c r="J564" s="203"/>
      <c r="K564" s="203"/>
      <c r="L564" s="203"/>
      <c r="M564" s="203"/>
      <c r="N564" s="203"/>
      <c r="O564" s="203"/>
    </row>
    <row r="565" spans="1:15" s="224" customFormat="1" ht="15.75" customHeight="1" x14ac:dyDescent="0.2">
      <c r="A565" s="228"/>
      <c r="B565" s="228"/>
      <c r="C565" s="203"/>
      <c r="D565" s="203"/>
      <c r="E565" s="203"/>
      <c r="F565" s="203"/>
      <c r="G565" s="203"/>
      <c r="H565" s="203"/>
      <c r="I565" s="203"/>
      <c r="J565" s="203"/>
      <c r="K565" s="203"/>
      <c r="L565" s="203"/>
      <c r="M565" s="203"/>
      <c r="N565" s="203"/>
      <c r="O565" s="203"/>
    </row>
    <row r="566" spans="1:15" s="224" customFormat="1" ht="15.75" customHeight="1" x14ac:dyDescent="0.2">
      <c r="A566" s="228"/>
      <c r="B566" s="228"/>
      <c r="C566" s="203"/>
      <c r="D566" s="203"/>
      <c r="E566" s="203"/>
      <c r="F566" s="203"/>
      <c r="G566" s="203"/>
      <c r="H566" s="203"/>
      <c r="I566" s="203"/>
      <c r="J566" s="203"/>
      <c r="K566" s="203"/>
      <c r="L566" s="203"/>
      <c r="M566" s="203"/>
      <c r="N566" s="203"/>
      <c r="O566" s="203"/>
    </row>
    <row r="567" spans="1:15" s="224" customFormat="1" ht="15.75" customHeight="1" x14ac:dyDescent="0.2">
      <c r="A567" s="228"/>
      <c r="B567" s="228"/>
      <c r="C567" s="203"/>
      <c r="D567" s="203"/>
      <c r="E567" s="203"/>
      <c r="F567" s="203"/>
      <c r="G567" s="203"/>
      <c r="H567" s="203"/>
      <c r="I567" s="203"/>
      <c r="J567" s="203"/>
      <c r="K567" s="203"/>
      <c r="L567" s="203"/>
      <c r="M567" s="203"/>
      <c r="N567" s="203"/>
      <c r="O567" s="203"/>
    </row>
    <row r="568" spans="1:15" s="224" customFormat="1" ht="15.75" customHeight="1" x14ac:dyDescent="0.2">
      <c r="A568" s="228"/>
      <c r="B568" s="228"/>
      <c r="C568" s="203"/>
      <c r="D568" s="203"/>
      <c r="E568" s="203"/>
      <c r="F568" s="203"/>
      <c r="G568" s="203"/>
      <c r="H568" s="203"/>
      <c r="I568" s="203"/>
      <c r="J568" s="203"/>
      <c r="K568" s="203"/>
      <c r="L568" s="203"/>
      <c r="M568" s="203"/>
      <c r="N568" s="203"/>
      <c r="O568" s="203"/>
    </row>
    <row r="569" spans="1:15" s="224" customFormat="1" ht="15.75" customHeight="1" x14ac:dyDescent="0.2">
      <c r="A569" s="228"/>
      <c r="B569" s="228"/>
      <c r="C569" s="203"/>
      <c r="D569" s="203"/>
      <c r="E569" s="203"/>
      <c r="F569" s="203"/>
      <c r="G569" s="203"/>
      <c r="H569" s="203"/>
      <c r="I569" s="203"/>
      <c r="J569" s="203"/>
      <c r="K569" s="203"/>
      <c r="L569" s="203"/>
      <c r="M569" s="203"/>
      <c r="N569" s="203"/>
      <c r="O569" s="203"/>
    </row>
    <row r="570" spans="1:15" s="224" customFormat="1" ht="15.75" customHeight="1" x14ac:dyDescent="0.2">
      <c r="A570" s="228"/>
      <c r="B570" s="228"/>
      <c r="C570" s="203"/>
      <c r="D570" s="203"/>
      <c r="E570" s="203"/>
      <c r="F570" s="203"/>
      <c r="G570" s="203"/>
      <c r="H570" s="203"/>
      <c r="I570" s="203"/>
      <c r="J570" s="203"/>
      <c r="K570" s="203"/>
      <c r="L570" s="203"/>
      <c r="M570" s="203"/>
      <c r="N570" s="203"/>
      <c r="O570" s="203"/>
    </row>
    <row r="571" spans="1:15" s="224" customFormat="1" ht="15.75" customHeight="1" x14ac:dyDescent="0.2">
      <c r="A571" s="228"/>
      <c r="B571" s="228"/>
      <c r="C571" s="203"/>
      <c r="D571" s="203"/>
      <c r="E571" s="203"/>
      <c r="F571" s="203"/>
      <c r="G571" s="203"/>
      <c r="H571" s="203"/>
      <c r="I571" s="203"/>
      <c r="J571" s="203"/>
      <c r="K571" s="203"/>
      <c r="L571" s="203"/>
      <c r="M571" s="203"/>
      <c r="N571" s="203"/>
      <c r="O571" s="203"/>
    </row>
    <row r="572" spans="1:15" s="224" customFormat="1" ht="15.75" customHeight="1" x14ac:dyDescent="0.2">
      <c r="A572" s="228"/>
      <c r="B572" s="228"/>
      <c r="C572" s="203"/>
      <c r="D572" s="203"/>
      <c r="E572" s="203"/>
      <c r="F572" s="203"/>
      <c r="G572" s="203"/>
      <c r="H572" s="203"/>
      <c r="I572" s="203"/>
      <c r="J572" s="203"/>
      <c r="K572" s="203"/>
      <c r="L572" s="203"/>
      <c r="M572" s="203"/>
      <c r="N572" s="203"/>
      <c r="O572" s="203"/>
    </row>
    <row r="573" spans="1:15" s="224" customFormat="1" ht="15.75" customHeight="1" x14ac:dyDescent="0.2">
      <c r="A573" s="228"/>
      <c r="B573" s="228"/>
      <c r="C573" s="203"/>
      <c r="D573" s="203"/>
      <c r="E573" s="203"/>
      <c r="F573" s="203"/>
      <c r="G573" s="203"/>
      <c r="H573" s="203"/>
      <c r="I573" s="203"/>
      <c r="J573" s="203"/>
      <c r="K573" s="203"/>
      <c r="L573" s="203"/>
      <c r="M573" s="203"/>
      <c r="N573" s="203"/>
      <c r="O573" s="203"/>
    </row>
    <row r="574" spans="1:15" s="224" customFormat="1" ht="15.75" customHeight="1" x14ac:dyDescent="0.2">
      <c r="A574" s="228"/>
      <c r="B574" s="228"/>
      <c r="C574" s="203"/>
      <c r="D574" s="203"/>
      <c r="E574" s="203"/>
      <c r="F574" s="203"/>
      <c r="G574" s="203"/>
      <c r="H574" s="203"/>
      <c r="I574" s="203"/>
      <c r="J574" s="203"/>
      <c r="K574" s="203"/>
      <c r="L574" s="203"/>
      <c r="M574" s="203"/>
      <c r="N574" s="203"/>
      <c r="O574" s="203"/>
    </row>
    <row r="575" spans="1:15" s="224" customFormat="1" ht="15.75" customHeight="1" x14ac:dyDescent="0.2">
      <c r="A575" s="228"/>
      <c r="B575" s="228"/>
      <c r="C575" s="203"/>
      <c r="D575" s="203"/>
      <c r="E575" s="203"/>
      <c r="F575" s="203"/>
      <c r="G575" s="203"/>
      <c r="H575" s="203"/>
      <c r="I575" s="203"/>
      <c r="J575" s="203"/>
      <c r="K575" s="203"/>
      <c r="L575" s="203"/>
      <c r="M575" s="203"/>
      <c r="N575" s="203"/>
      <c r="O575" s="203"/>
    </row>
    <row r="576" spans="1:15" s="224" customFormat="1" ht="15.75" customHeight="1" x14ac:dyDescent="0.2">
      <c r="A576" s="228"/>
      <c r="B576" s="228"/>
      <c r="C576" s="203"/>
      <c r="D576" s="203"/>
      <c r="E576" s="203"/>
      <c r="F576" s="203"/>
      <c r="G576" s="203"/>
      <c r="H576" s="203"/>
      <c r="I576" s="203"/>
      <c r="J576" s="203"/>
      <c r="K576" s="203"/>
      <c r="L576" s="203"/>
      <c r="M576" s="203"/>
      <c r="N576" s="203"/>
      <c r="O576" s="203"/>
    </row>
    <row r="577" spans="1:15" s="224" customFormat="1" ht="15.75" customHeight="1" x14ac:dyDescent="0.2">
      <c r="A577" s="228"/>
      <c r="B577" s="228"/>
      <c r="C577" s="203"/>
      <c r="D577" s="203"/>
      <c r="E577" s="203"/>
      <c r="F577" s="203"/>
      <c r="G577" s="203"/>
      <c r="H577" s="203"/>
      <c r="I577" s="203"/>
      <c r="J577" s="203"/>
      <c r="K577" s="203"/>
      <c r="L577" s="203"/>
      <c r="M577" s="203"/>
      <c r="N577" s="203"/>
      <c r="O577" s="203"/>
    </row>
    <row r="578" spans="1:15" s="224" customFormat="1" ht="15.75" customHeight="1" x14ac:dyDescent="0.2">
      <c r="A578" s="228"/>
      <c r="B578" s="228"/>
      <c r="C578" s="203"/>
      <c r="D578" s="203"/>
      <c r="E578" s="203"/>
      <c r="F578" s="203"/>
      <c r="G578" s="203"/>
      <c r="H578" s="203"/>
      <c r="I578" s="203"/>
      <c r="J578" s="203"/>
      <c r="K578" s="203"/>
      <c r="L578" s="203"/>
      <c r="M578" s="203"/>
      <c r="N578" s="203"/>
      <c r="O578" s="203"/>
    </row>
    <row r="579" spans="1:15" s="224" customFormat="1" ht="15.75" customHeight="1" x14ac:dyDescent="0.2">
      <c r="A579" s="228"/>
      <c r="B579" s="228"/>
      <c r="C579" s="203"/>
      <c r="D579" s="203"/>
      <c r="E579" s="203"/>
      <c r="F579" s="203"/>
      <c r="G579" s="203"/>
      <c r="H579" s="203"/>
      <c r="I579" s="203"/>
      <c r="J579" s="203"/>
      <c r="K579" s="203"/>
      <c r="L579" s="203"/>
      <c r="M579" s="203"/>
      <c r="N579" s="203"/>
      <c r="O579" s="203"/>
    </row>
    <row r="580" spans="1:15" s="224" customFormat="1" ht="15.75" customHeight="1" x14ac:dyDescent="0.2">
      <c r="A580" s="228"/>
      <c r="B580" s="228"/>
      <c r="C580" s="203"/>
      <c r="D580" s="203"/>
      <c r="E580" s="203"/>
      <c r="F580" s="203"/>
      <c r="G580" s="203"/>
      <c r="H580" s="203"/>
      <c r="I580" s="203"/>
      <c r="J580" s="203"/>
      <c r="K580" s="203"/>
      <c r="L580" s="203"/>
      <c r="M580" s="203"/>
      <c r="N580" s="203"/>
      <c r="O580" s="203"/>
    </row>
    <row r="581" spans="1:15" s="224" customFormat="1" ht="15.75" customHeight="1" x14ac:dyDescent="0.2">
      <c r="A581" s="228"/>
      <c r="B581" s="228"/>
      <c r="C581" s="203"/>
      <c r="D581" s="203"/>
      <c r="E581" s="203"/>
      <c r="F581" s="203"/>
      <c r="G581" s="203"/>
      <c r="H581" s="203"/>
      <c r="I581" s="203"/>
      <c r="J581" s="203"/>
      <c r="K581" s="203"/>
      <c r="L581" s="203"/>
      <c r="M581" s="203"/>
      <c r="N581" s="203"/>
      <c r="O581" s="203"/>
    </row>
    <row r="582" spans="1:15" s="224" customFormat="1" ht="15.75" customHeight="1" x14ac:dyDescent="0.2">
      <c r="A582" s="228"/>
      <c r="B582" s="228"/>
      <c r="C582" s="203"/>
      <c r="D582" s="203"/>
      <c r="E582" s="203"/>
      <c r="F582" s="203"/>
      <c r="G582" s="203"/>
      <c r="H582" s="203"/>
      <c r="I582" s="203"/>
      <c r="J582" s="203"/>
      <c r="K582" s="203"/>
      <c r="L582" s="203"/>
      <c r="M582" s="203"/>
      <c r="N582" s="203"/>
      <c r="O582" s="203"/>
    </row>
    <row r="583" spans="1:15" s="224" customFormat="1" ht="15.75" customHeight="1" x14ac:dyDescent="0.2">
      <c r="A583" s="228"/>
      <c r="B583" s="228"/>
      <c r="C583" s="203"/>
      <c r="D583" s="203"/>
      <c r="E583" s="203"/>
      <c r="F583" s="203"/>
      <c r="G583" s="203"/>
      <c r="H583" s="203"/>
      <c r="I583" s="203"/>
      <c r="J583" s="203"/>
      <c r="K583" s="203"/>
      <c r="L583" s="203"/>
      <c r="M583" s="203"/>
      <c r="N583" s="203"/>
      <c r="O583" s="203"/>
    </row>
    <row r="584" spans="1:15" s="224" customFormat="1" ht="15.75" customHeight="1" x14ac:dyDescent="0.2">
      <c r="A584" s="228"/>
      <c r="B584" s="228"/>
      <c r="C584" s="203"/>
      <c r="D584" s="203"/>
      <c r="E584" s="203"/>
      <c r="F584" s="203"/>
      <c r="G584" s="203"/>
      <c r="H584" s="203"/>
      <c r="I584" s="203"/>
      <c r="J584" s="203"/>
      <c r="K584" s="203"/>
      <c r="L584" s="203"/>
      <c r="M584" s="203"/>
      <c r="N584" s="203"/>
      <c r="O584" s="203"/>
    </row>
    <row r="585" spans="1:15" s="224" customFormat="1" ht="15.75" customHeight="1" x14ac:dyDescent="0.2">
      <c r="A585" s="228"/>
      <c r="B585" s="228"/>
      <c r="C585" s="203"/>
      <c r="D585" s="203"/>
      <c r="E585" s="203"/>
      <c r="F585" s="203"/>
      <c r="G585" s="203"/>
      <c r="H585" s="203"/>
      <c r="I585" s="203"/>
      <c r="J585" s="203"/>
      <c r="K585" s="203"/>
      <c r="L585" s="203"/>
      <c r="M585" s="203"/>
      <c r="N585" s="203"/>
      <c r="O585" s="203"/>
    </row>
    <row r="586" spans="1:15" s="224" customFormat="1" ht="15.75" customHeight="1" x14ac:dyDescent="0.2">
      <c r="A586" s="228"/>
      <c r="B586" s="228"/>
      <c r="C586" s="203"/>
      <c r="D586" s="203"/>
      <c r="E586" s="203"/>
      <c r="F586" s="203"/>
      <c r="G586" s="203"/>
      <c r="H586" s="203"/>
      <c r="I586" s="203"/>
      <c r="J586" s="203"/>
      <c r="K586" s="203"/>
      <c r="L586" s="203"/>
      <c r="M586" s="203"/>
      <c r="N586" s="203"/>
      <c r="O586" s="203"/>
    </row>
    <row r="587" spans="1:15" s="224" customFormat="1" ht="15.75" customHeight="1" x14ac:dyDescent="0.2">
      <c r="A587" s="228"/>
      <c r="B587" s="228"/>
      <c r="C587" s="203"/>
      <c r="D587" s="203"/>
      <c r="E587" s="203"/>
      <c r="F587" s="203"/>
      <c r="G587" s="203"/>
      <c r="H587" s="203"/>
      <c r="I587" s="203"/>
      <c r="J587" s="203"/>
      <c r="K587" s="203"/>
      <c r="L587" s="203"/>
      <c r="M587" s="203"/>
      <c r="N587" s="203"/>
      <c r="O587" s="203"/>
    </row>
    <row r="588" spans="1:15" s="224" customFormat="1" ht="15.75" customHeight="1" x14ac:dyDescent="0.2">
      <c r="A588" s="228"/>
      <c r="B588" s="228"/>
      <c r="C588" s="203"/>
      <c r="D588" s="203"/>
      <c r="E588" s="203"/>
      <c r="F588" s="203"/>
      <c r="G588" s="203"/>
      <c r="H588" s="203"/>
      <c r="I588" s="203"/>
      <c r="J588" s="203"/>
      <c r="K588" s="203"/>
      <c r="L588" s="203"/>
      <c r="M588" s="203"/>
      <c r="N588" s="203"/>
      <c r="O588" s="203"/>
    </row>
    <row r="589" spans="1:15" s="224" customFormat="1" ht="15.75" customHeight="1" x14ac:dyDescent="0.2">
      <c r="A589" s="228"/>
      <c r="B589" s="228"/>
      <c r="C589" s="203"/>
      <c r="D589" s="203"/>
      <c r="E589" s="203"/>
      <c r="F589" s="203"/>
      <c r="G589" s="203"/>
      <c r="H589" s="203"/>
      <c r="I589" s="203"/>
      <c r="J589" s="203"/>
      <c r="K589" s="203"/>
      <c r="L589" s="203"/>
      <c r="M589" s="203"/>
      <c r="N589" s="203"/>
      <c r="O589" s="203"/>
    </row>
    <row r="590" spans="1:15" s="224" customFormat="1" ht="15.75" customHeight="1" x14ac:dyDescent="0.2">
      <c r="A590" s="228"/>
      <c r="B590" s="228"/>
      <c r="C590" s="203"/>
      <c r="D590" s="203"/>
      <c r="E590" s="203"/>
      <c r="F590" s="203"/>
      <c r="G590" s="203"/>
      <c r="H590" s="203"/>
      <c r="I590" s="203"/>
      <c r="J590" s="203"/>
      <c r="K590" s="203"/>
      <c r="L590" s="203"/>
      <c r="M590" s="203"/>
      <c r="N590" s="203"/>
      <c r="O590" s="203"/>
    </row>
    <row r="591" spans="1:15" s="224" customFormat="1" ht="15.75" customHeight="1" x14ac:dyDescent="0.2">
      <c r="A591" s="228"/>
      <c r="B591" s="228"/>
      <c r="C591" s="203"/>
      <c r="D591" s="203"/>
      <c r="E591" s="203"/>
      <c r="F591" s="203"/>
      <c r="G591" s="203"/>
      <c r="H591" s="203"/>
      <c r="I591" s="203"/>
      <c r="J591" s="203"/>
      <c r="K591" s="203"/>
      <c r="L591" s="203"/>
      <c r="M591" s="203"/>
      <c r="N591" s="203"/>
      <c r="O591" s="203"/>
    </row>
    <row r="592" spans="1:15" s="224" customFormat="1" ht="15.75" customHeight="1" x14ac:dyDescent="0.2">
      <c r="A592" s="228"/>
      <c r="B592" s="228"/>
      <c r="C592" s="203"/>
      <c r="D592" s="203"/>
      <c r="E592" s="203"/>
      <c r="F592" s="203"/>
      <c r="G592" s="203"/>
      <c r="H592" s="203"/>
      <c r="I592" s="203"/>
      <c r="J592" s="203"/>
      <c r="K592" s="203"/>
      <c r="L592" s="203"/>
      <c r="M592" s="203"/>
      <c r="N592" s="203"/>
      <c r="O592" s="203"/>
    </row>
    <row r="593" spans="1:15" s="224" customFormat="1" ht="15.75" customHeight="1" x14ac:dyDescent="0.2">
      <c r="A593" s="228"/>
      <c r="B593" s="228"/>
      <c r="C593" s="203"/>
      <c r="D593" s="203"/>
      <c r="E593" s="203"/>
      <c r="F593" s="203"/>
      <c r="G593" s="203"/>
      <c r="H593" s="203"/>
      <c r="I593" s="203"/>
      <c r="J593" s="203"/>
      <c r="K593" s="203"/>
      <c r="L593" s="203"/>
      <c r="M593" s="203"/>
      <c r="N593" s="203"/>
      <c r="O593" s="203"/>
    </row>
    <row r="594" spans="1:15" s="224" customFormat="1" ht="15.75" customHeight="1" x14ac:dyDescent="0.2">
      <c r="A594" s="228"/>
      <c r="B594" s="228"/>
      <c r="C594" s="203"/>
      <c r="D594" s="203"/>
      <c r="E594" s="203"/>
      <c r="F594" s="203"/>
      <c r="G594" s="203"/>
      <c r="H594" s="203"/>
      <c r="I594" s="203"/>
      <c r="J594" s="203"/>
      <c r="K594" s="203"/>
      <c r="L594" s="203"/>
      <c r="M594" s="203"/>
      <c r="N594" s="203"/>
      <c r="O594" s="203"/>
    </row>
    <row r="595" spans="1:15" s="224" customFormat="1" ht="15.75" customHeight="1" x14ac:dyDescent="0.2">
      <c r="A595" s="228"/>
      <c r="B595" s="228"/>
      <c r="C595" s="203"/>
      <c r="D595" s="203"/>
      <c r="E595" s="203"/>
      <c r="F595" s="203"/>
      <c r="G595" s="203"/>
      <c r="H595" s="203"/>
      <c r="I595" s="203"/>
      <c r="J595" s="203"/>
      <c r="K595" s="203"/>
      <c r="L595" s="203"/>
      <c r="M595" s="203"/>
      <c r="N595" s="203"/>
      <c r="O595" s="203"/>
    </row>
    <row r="596" spans="1:15" s="224" customFormat="1" ht="15.75" customHeight="1" x14ac:dyDescent="0.2">
      <c r="A596" s="228"/>
      <c r="B596" s="228"/>
      <c r="C596" s="203"/>
      <c r="D596" s="203"/>
      <c r="E596" s="203"/>
      <c r="F596" s="203"/>
      <c r="G596" s="203"/>
      <c r="H596" s="203"/>
      <c r="I596" s="203"/>
      <c r="J596" s="203"/>
      <c r="K596" s="203"/>
      <c r="L596" s="203"/>
      <c r="M596" s="203"/>
      <c r="N596" s="203"/>
      <c r="O596" s="203"/>
    </row>
    <row r="597" spans="1:15" ht="15.75" customHeight="1" x14ac:dyDescent="0.25">
      <c r="A597" s="192"/>
      <c r="B597" s="192"/>
      <c r="C597" s="200"/>
      <c r="D597" s="200"/>
      <c r="E597" s="200"/>
      <c r="F597" s="200"/>
      <c r="G597" s="200"/>
      <c r="H597" s="200"/>
      <c r="I597" s="200"/>
      <c r="J597" s="200"/>
      <c r="K597" s="200"/>
      <c r="L597" s="200"/>
      <c r="M597" s="200"/>
      <c r="N597" s="200"/>
      <c r="O597" s="200"/>
    </row>
    <row r="598" spans="1:15" ht="15.75" customHeight="1" x14ac:dyDescent="0.25">
      <c r="A598" s="192"/>
      <c r="B598" s="192"/>
      <c r="C598" s="200"/>
      <c r="D598" s="200"/>
      <c r="E598" s="200"/>
      <c r="F598" s="200"/>
      <c r="G598" s="200"/>
      <c r="H598" s="200"/>
      <c r="I598" s="200"/>
      <c r="J598" s="200"/>
      <c r="K598" s="200"/>
      <c r="L598" s="200"/>
      <c r="M598" s="200"/>
      <c r="N598" s="200"/>
      <c r="O598" s="200"/>
    </row>
    <row r="599" spans="1:15" ht="15.75" customHeight="1" x14ac:dyDescent="0.25">
      <c r="A599" s="192"/>
      <c r="B599" s="192"/>
      <c r="C599" s="200"/>
      <c r="D599" s="200"/>
      <c r="E599" s="200"/>
      <c r="F599" s="200"/>
      <c r="G599" s="200"/>
      <c r="H599" s="200"/>
      <c r="I599" s="200"/>
      <c r="J599" s="200"/>
      <c r="K599" s="200"/>
      <c r="L599" s="200"/>
      <c r="M599" s="200"/>
      <c r="N599" s="200"/>
      <c r="O599" s="200"/>
    </row>
    <row r="600" spans="1:15" ht="15.75" customHeight="1" x14ac:dyDescent="0.25">
      <c r="A600" s="192"/>
      <c r="B600" s="192"/>
      <c r="C600" s="200"/>
      <c r="D600" s="200"/>
      <c r="E600" s="200"/>
      <c r="F600" s="200"/>
      <c r="G600" s="200"/>
      <c r="H600" s="200"/>
      <c r="I600" s="200"/>
      <c r="J600" s="200"/>
      <c r="K600" s="200"/>
      <c r="L600" s="200"/>
      <c r="M600" s="200"/>
      <c r="N600" s="200"/>
      <c r="O600" s="200"/>
    </row>
    <row r="601" spans="1:15" ht="15.75" customHeight="1" x14ac:dyDescent="0.25">
      <c r="A601" s="192"/>
      <c r="B601" s="192"/>
      <c r="C601" s="200"/>
      <c r="D601" s="200"/>
      <c r="E601" s="200"/>
      <c r="F601" s="200"/>
      <c r="G601" s="200"/>
      <c r="H601" s="200"/>
      <c r="I601" s="200"/>
      <c r="J601" s="200"/>
      <c r="K601" s="200"/>
      <c r="L601" s="200"/>
      <c r="M601" s="200"/>
      <c r="N601" s="200"/>
      <c r="O601" s="200"/>
    </row>
    <row r="602" spans="1:15" ht="15.75" customHeight="1" x14ac:dyDescent="0.25">
      <c r="A602" s="192"/>
      <c r="B602" s="192"/>
      <c r="C602" s="200"/>
      <c r="D602" s="200"/>
      <c r="E602" s="200"/>
      <c r="F602" s="200"/>
      <c r="G602" s="200"/>
      <c r="H602" s="200"/>
      <c r="I602" s="200"/>
      <c r="J602" s="200"/>
      <c r="K602" s="200"/>
      <c r="L602" s="200"/>
      <c r="M602" s="200"/>
      <c r="N602" s="200"/>
      <c r="O602" s="200"/>
    </row>
    <row r="603" spans="1:15" ht="15.75" customHeight="1" x14ac:dyDescent="0.25">
      <c r="A603" s="192"/>
      <c r="B603" s="192"/>
      <c r="C603" s="200"/>
      <c r="D603" s="200"/>
      <c r="E603" s="200"/>
      <c r="F603" s="200"/>
      <c r="G603" s="200"/>
      <c r="H603" s="200"/>
      <c r="I603" s="200"/>
      <c r="J603" s="200"/>
      <c r="K603" s="200"/>
      <c r="L603" s="200"/>
      <c r="M603" s="200"/>
      <c r="N603" s="200"/>
      <c r="O603" s="200"/>
    </row>
    <row r="604" spans="1:15" ht="15.75" customHeight="1" x14ac:dyDescent="0.25">
      <c r="A604" s="192"/>
      <c r="B604" s="192"/>
      <c r="C604" s="200"/>
      <c r="D604" s="200"/>
      <c r="E604" s="200"/>
      <c r="F604" s="200"/>
      <c r="G604" s="200"/>
      <c r="H604" s="200"/>
      <c r="I604" s="200"/>
      <c r="J604" s="200"/>
      <c r="K604" s="200"/>
      <c r="L604" s="200"/>
      <c r="M604" s="200"/>
      <c r="N604" s="200"/>
      <c r="O604" s="200"/>
    </row>
    <row r="605" spans="1:15" ht="15.75" customHeight="1" x14ac:dyDescent="0.25">
      <c r="A605" s="192"/>
      <c r="B605" s="192"/>
      <c r="C605" s="200"/>
      <c r="D605" s="200"/>
      <c r="E605" s="200"/>
      <c r="F605" s="200"/>
      <c r="G605" s="200"/>
      <c r="H605" s="200"/>
      <c r="I605" s="200"/>
      <c r="J605" s="200"/>
      <c r="K605" s="200"/>
      <c r="L605" s="200"/>
      <c r="M605" s="200"/>
      <c r="N605" s="200"/>
      <c r="O605" s="200"/>
    </row>
    <row r="606" spans="1:15" ht="15.75" customHeight="1" x14ac:dyDescent="0.25">
      <c r="A606" s="192"/>
      <c r="B606" s="192"/>
      <c r="C606" s="200"/>
      <c r="D606" s="200"/>
      <c r="E606" s="200"/>
      <c r="F606" s="200"/>
      <c r="G606" s="200"/>
      <c r="H606" s="200"/>
      <c r="I606" s="200"/>
      <c r="J606" s="200"/>
      <c r="K606" s="200"/>
      <c r="L606" s="200"/>
      <c r="M606" s="200"/>
      <c r="N606" s="200"/>
      <c r="O606" s="200"/>
    </row>
    <row r="607" spans="1:15" ht="15.75" customHeight="1" x14ac:dyDescent="0.25">
      <c r="A607" s="192"/>
      <c r="B607" s="192"/>
      <c r="C607" s="200"/>
      <c r="D607" s="200"/>
      <c r="E607" s="200"/>
      <c r="F607" s="200"/>
      <c r="G607" s="200"/>
      <c r="H607" s="200"/>
      <c r="I607" s="200"/>
      <c r="J607" s="200"/>
      <c r="K607" s="200"/>
      <c r="L607" s="200"/>
      <c r="M607" s="200"/>
      <c r="N607" s="200"/>
      <c r="O607" s="200"/>
    </row>
    <row r="608" spans="1:15" ht="15.75" customHeight="1" x14ac:dyDescent="0.25">
      <c r="A608" s="192"/>
      <c r="B608" s="192"/>
      <c r="C608" s="200"/>
      <c r="D608" s="200"/>
      <c r="E608" s="200"/>
      <c r="F608" s="200"/>
      <c r="G608" s="200"/>
      <c r="H608" s="200"/>
      <c r="I608" s="200"/>
      <c r="J608" s="200"/>
      <c r="K608" s="200"/>
      <c r="L608" s="200"/>
      <c r="M608" s="200"/>
      <c r="N608" s="200"/>
      <c r="O608" s="200"/>
    </row>
    <row r="609" spans="1:15" ht="15.75" customHeight="1" x14ac:dyDescent="0.25">
      <c r="A609" s="192"/>
      <c r="B609" s="192"/>
      <c r="C609" s="200"/>
      <c r="D609" s="200"/>
      <c r="E609" s="200"/>
      <c r="F609" s="200"/>
      <c r="G609" s="200"/>
      <c r="H609" s="200"/>
      <c r="I609" s="200"/>
      <c r="J609" s="200"/>
      <c r="K609" s="200"/>
      <c r="L609" s="200"/>
      <c r="M609" s="200"/>
      <c r="N609" s="200"/>
      <c r="O609" s="200"/>
    </row>
    <row r="610" spans="1:15" ht="15.75" customHeight="1" x14ac:dyDescent="0.25">
      <c r="A610" s="192"/>
      <c r="B610" s="192"/>
      <c r="C610" s="200"/>
      <c r="D610" s="200"/>
      <c r="E610" s="200"/>
      <c r="F610" s="200"/>
      <c r="G610" s="200"/>
      <c r="H610" s="200"/>
      <c r="I610" s="200"/>
      <c r="J610" s="200"/>
      <c r="K610" s="200"/>
      <c r="L610" s="200"/>
      <c r="M610" s="200"/>
      <c r="N610" s="200"/>
      <c r="O610" s="200"/>
    </row>
    <row r="611" spans="1:15" ht="15.75" customHeight="1" x14ac:dyDescent="0.25">
      <c r="A611" s="192"/>
      <c r="B611" s="192"/>
      <c r="C611" s="200"/>
      <c r="D611" s="200"/>
      <c r="E611" s="200"/>
      <c r="F611" s="200"/>
      <c r="G611" s="200"/>
      <c r="H611" s="200"/>
      <c r="I611" s="200"/>
      <c r="J611" s="200"/>
      <c r="K611" s="200"/>
      <c r="L611" s="200"/>
      <c r="M611" s="200"/>
      <c r="N611" s="200"/>
      <c r="O611" s="200"/>
    </row>
    <row r="612" spans="1:15" ht="15.75" customHeight="1" x14ac:dyDescent="0.25">
      <c r="A612" s="192"/>
      <c r="B612" s="192"/>
      <c r="C612" s="200"/>
      <c r="D612" s="200"/>
      <c r="E612" s="200"/>
      <c r="F612" s="200"/>
      <c r="G612" s="200"/>
      <c r="H612" s="200"/>
      <c r="I612" s="200"/>
      <c r="J612" s="200"/>
      <c r="K612" s="200"/>
      <c r="L612" s="200"/>
      <c r="M612" s="200"/>
      <c r="N612" s="200"/>
      <c r="O612" s="200"/>
    </row>
    <row r="613" spans="1:15" ht="15.75" customHeight="1" x14ac:dyDescent="0.25">
      <c r="A613" s="192"/>
      <c r="B613" s="192"/>
      <c r="C613" s="200"/>
      <c r="D613" s="200"/>
      <c r="E613" s="200"/>
      <c r="F613" s="200"/>
      <c r="G613" s="200"/>
      <c r="H613" s="200"/>
      <c r="I613" s="200"/>
      <c r="J613" s="200"/>
      <c r="K613" s="200"/>
      <c r="L613" s="200"/>
      <c r="M613" s="200"/>
      <c r="N613" s="200"/>
      <c r="O613" s="200"/>
    </row>
    <row r="614" spans="1:15" ht="15.75" customHeight="1" x14ac:dyDescent="0.25">
      <c r="A614" s="192"/>
      <c r="B614" s="192"/>
      <c r="C614" s="200"/>
      <c r="D614" s="200"/>
      <c r="E614" s="200"/>
      <c r="F614" s="200"/>
      <c r="G614" s="200"/>
      <c r="H614" s="200"/>
      <c r="I614" s="200"/>
      <c r="J614" s="200"/>
      <c r="K614" s="200"/>
      <c r="L614" s="200"/>
      <c r="M614" s="200"/>
      <c r="N614" s="200"/>
      <c r="O614" s="200"/>
    </row>
    <row r="615" spans="1:15" ht="15.75" customHeight="1" x14ac:dyDescent="0.25">
      <c r="A615" s="192"/>
      <c r="B615" s="192"/>
      <c r="C615" s="200"/>
      <c r="D615" s="200"/>
      <c r="E615" s="200"/>
      <c r="F615" s="200"/>
      <c r="G615" s="200"/>
      <c r="H615" s="200"/>
      <c r="I615" s="200"/>
      <c r="J615" s="200"/>
      <c r="K615" s="200"/>
      <c r="L615" s="200"/>
      <c r="M615" s="200"/>
      <c r="N615" s="200"/>
      <c r="O615" s="200"/>
    </row>
    <row r="616" spans="1:15" ht="15.75" customHeight="1" x14ac:dyDescent="0.25">
      <c r="A616" s="192"/>
      <c r="B616" s="192"/>
      <c r="C616" s="200"/>
      <c r="D616" s="200"/>
      <c r="E616" s="200"/>
      <c r="F616" s="200"/>
      <c r="G616" s="200"/>
      <c r="H616" s="200"/>
      <c r="I616" s="200"/>
      <c r="J616" s="200"/>
      <c r="K616" s="200"/>
      <c r="L616" s="200"/>
      <c r="M616" s="200"/>
      <c r="N616" s="200"/>
      <c r="O616" s="200"/>
    </row>
    <row r="617" spans="1:15" ht="15.75" customHeight="1" x14ac:dyDescent="0.25">
      <c r="A617" s="192"/>
      <c r="B617" s="192"/>
      <c r="C617" s="200"/>
      <c r="D617" s="200"/>
      <c r="E617" s="200"/>
      <c r="F617" s="200"/>
      <c r="G617" s="200"/>
      <c r="H617" s="200"/>
      <c r="I617" s="200"/>
      <c r="J617" s="200"/>
      <c r="K617" s="200"/>
      <c r="L617" s="200"/>
      <c r="M617" s="200"/>
      <c r="N617" s="200"/>
      <c r="O617" s="200"/>
    </row>
    <row r="618" spans="1:15" ht="15.75" customHeight="1" x14ac:dyDescent="0.25">
      <c r="A618" s="192"/>
      <c r="B618" s="192"/>
      <c r="C618" s="200"/>
      <c r="D618" s="200"/>
      <c r="E618" s="200"/>
      <c r="F618" s="200"/>
      <c r="G618" s="200"/>
      <c r="H618" s="200"/>
      <c r="I618" s="200"/>
      <c r="J618" s="200"/>
      <c r="K618" s="200"/>
      <c r="L618" s="200"/>
      <c r="M618" s="200"/>
      <c r="N618" s="200"/>
      <c r="O618" s="200"/>
    </row>
    <row r="619" spans="1:15" ht="15.75" customHeight="1" x14ac:dyDescent="0.25">
      <c r="A619" s="192"/>
      <c r="B619" s="192"/>
      <c r="C619" s="200"/>
      <c r="D619" s="200"/>
      <c r="E619" s="200"/>
      <c r="F619" s="200"/>
      <c r="G619" s="200"/>
      <c r="H619" s="200"/>
      <c r="I619" s="200"/>
      <c r="J619" s="200"/>
      <c r="K619" s="200"/>
      <c r="L619" s="200"/>
      <c r="M619" s="200"/>
      <c r="N619" s="200"/>
      <c r="O619" s="200"/>
    </row>
    <row r="620" spans="1:15" ht="15.75" customHeight="1" x14ac:dyDescent="0.25">
      <c r="A620" s="192"/>
      <c r="B620" s="192"/>
      <c r="C620" s="200"/>
      <c r="D620" s="200"/>
      <c r="E620" s="200"/>
      <c r="F620" s="200"/>
      <c r="G620" s="200"/>
      <c r="H620" s="200"/>
      <c r="I620" s="200"/>
      <c r="J620" s="200"/>
      <c r="K620" s="200"/>
      <c r="L620" s="200"/>
      <c r="M620" s="200"/>
      <c r="N620" s="200"/>
      <c r="O620" s="200"/>
    </row>
    <row r="621" spans="1:15" ht="15.75" customHeight="1" x14ac:dyDescent="0.25">
      <c r="A621" s="192"/>
      <c r="B621" s="192"/>
      <c r="C621" s="200"/>
      <c r="D621" s="200"/>
      <c r="E621" s="200"/>
      <c r="F621" s="200"/>
      <c r="G621" s="200"/>
      <c r="H621" s="200"/>
      <c r="I621" s="200"/>
      <c r="J621" s="200"/>
      <c r="K621" s="200"/>
      <c r="L621" s="200"/>
      <c r="M621" s="200"/>
      <c r="N621" s="200"/>
      <c r="O621" s="200"/>
    </row>
    <row r="622" spans="1:15" ht="15.75" customHeight="1" x14ac:dyDescent="0.25">
      <c r="A622" s="192"/>
      <c r="B622" s="192"/>
      <c r="C622" s="200"/>
      <c r="D622" s="200"/>
      <c r="E622" s="200"/>
      <c r="F622" s="200"/>
      <c r="G622" s="200"/>
      <c r="H622" s="200"/>
      <c r="I622" s="200"/>
      <c r="J622" s="200"/>
      <c r="K622" s="200"/>
      <c r="L622" s="200"/>
      <c r="M622" s="200"/>
      <c r="N622" s="200"/>
      <c r="O622" s="200"/>
    </row>
    <row r="623" spans="1:15" ht="15.75" customHeight="1" x14ac:dyDescent="0.25">
      <c r="A623" s="192"/>
      <c r="B623" s="192"/>
      <c r="C623" s="200"/>
      <c r="D623" s="200"/>
      <c r="E623" s="200"/>
      <c r="F623" s="200"/>
      <c r="G623" s="200"/>
      <c r="H623" s="200"/>
      <c r="I623" s="200"/>
      <c r="J623" s="200"/>
      <c r="K623" s="200"/>
      <c r="L623" s="200"/>
      <c r="M623" s="200"/>
      <c r="N623" s="200"/>
      <c r="O623" s="200"/>
    </row>
    <row r="624" spans="1:15" ht="15.75" customHeight="1" x14ac:dyDescent="0.25">
      <c r="A624" s="192"/>
      <c r="B624" s="192"/>
      <c r="C624" s="200"/>
      <c r="D624" s="200"/>
      <c r="E624" s="200"/>
      <c r="F624" s="200"/>
      <c r="G624" s="200"/>
      <c r="H624" s="200"/>
      <c r="I624" s="200"/>
      <c r="J624" s="200"/>
      <c r="K624" s="200"/>
      <c r="L624" s="200"/>
      <c r="M624" s="200"/>
      <c r="N624" s="200"/>
      <c r="O624" s="200"/>
    </row>
    <row r="625" spans="1:15" ht="15.75" customHeight="1" x14ac:dyDescent="0.25">
      <c r="A625" s="192"/>
      <c r="B625" s="192"/>
      <c r="C625" s="200"/>
      <c r="D625" s="200"/>
      <c r="E625" s="200"/>
      <c r="F625" s="200"/>
      <c r="G625" s="200"/>
      <c r="H625" s="200"/>
      <c r="I625" s="200"/>
      <c r="J625" s="200"/>
      <c r="K625" s="200"/>
      <c r="L625" s="200"/>
      <c r="M625" s="200"/>
      <c r="N625" s="200"/>
      <c r="O625" s="200"/>
    </row>
    <row r="626" spans="1:15" ht="15.75" customHeight="1" x14ac:dyDescent="0.25">
      <c r="A626" s="192"/>
      <c r="B626" s="192"/>
      <c r="C626" s="200"/>
      <c r="D626" s="200"/>
      <c r="E626" s="200"/>
      <c r="F626" s="200"/>
      <c r="G626" s="200"/>
      <c r="H626" s="200"/>
      <c r="I626" s="200"/>
      <c r="J626" s="200"/>
      <c r="K626" s="200"/>
      <c r="L626" s="200"/>
      <c r="M626" s="200"/>
      <c r="N626" s="200"/>
      <c r="O626" s="200"/>
    </row>
    <row r="627" spans="1:15" ht="15.75" customHeight="1" x14ac:dyDescent="0.25">
      <c r="A627" s="192"/>
      <c r="B627" s="192"/>
      <c r="C627" s="200"/>
      <c r="D627" s="200"/>
      <c r="E627" s="200"/>
      <c r="F627" s="200"/>
      <c r="G627" s="200"/>
      <c r="H627" s="200"/>
      <c r="I627" s="200"/>
      <c r="J627" s="200"/>
      <c r="K627" s="200"/>
      <c r="L627" s="200"/>
      <c r="M627" s="200"/>
      <c r="N627" s="200"/>
      <c r="O627" s="200"/>
    </row>
    <row r="628" spans="1:15" ht="15.75" customHeight="1" x14ac:dyDescent="0.25">
      <c r="A628" s="192"/>
      <c r="B628" s="192"/>
      <c r="C628" s="200"/>
      <c r="D628" s="200"/>
      <c r="E628" s="200"/>
      <c r="F628" s="200"/>
      <c r="G628" s="200"/>
      <c r="H628" s="200"/>
      <c r="I628" s="200"/>
      <c r="J628" s="200"/>
      <c r="K628" s="200"/>
      <c r="L628" s="200"/>
      <c r="M628" s="200"/>
      <c r="N628" s="200"/>
      <c r="O628" s="200"/>
    </row>
    <row r="629" spans="1:15" ht="15.75" customHeight="1" x14ac:dyDescent="0.25">
      <c r="A629" s="192"/>
      <c r="B629" s="192"/>
      <c r="C629" s="200"/>
      <c r="D629" s="200"/>
      <c r="E629" s="200"/>
      <c r="F629" s="200"/>
      <c r="G629" s="200"/>
      <c r="H629" s="200"/>
      <c r="I629" s="200"/>
      <c r="J629" s="200"/>
      <c r="K629" s="200"/>
      <c r="L629" s="200"/>
      <c r="M629" s="200"/>
      <c r="N629" s="200"/>
      <c r="O629" s="200"/>
    </row>
    <row r="630" spans="1:15" ht="15.75" customHeight="1" x14ac:dyDescent="0.25">
      <c r="A630" s="192"/>
      <c r="B630" s="192"/>
      <c r="C630" s="200"/>
      <c r="D630" s="200"/>
      <c r="E630" s="200"/>
      <c r="F630" s="200"/>
      <c r="G630" s="200"/>
      <c r="H630" s="200"/>
      <c r="I630" s="200"/>
      <c r="J630" s="200"/>
      <c r="K630" s="200"/>
      <c r="L630" s="200"/>
      <c r="M630" s="200"/>
      <c r="N630" s="200"/>
      <c r="O630" s="200"/>
    </row>
    <row r="631" spans="1:15" ht="15.75" customHeight="1" x14ac:dyDescent="0.25">
      <c r="A631" s="192"/>
      <c r="B631" s="192"/>
      <c r="C631" s="200"/>
      <c r="D631" s="200"/>
      <c r="E631" s="200"/>
      <c r="F631" s="200"/>
      <c r="G631" s="200"/>
      <c r="H631" s="200"/>
      <c r="I631" s="200"/>
      <c r="J631" s="200"/>
      <c r="K631" s="200"/>
      <c r="L631" s="200"/>
      <c r="M631" s="200"/>
      <c r="N631" s="200"/>
      <c r="O631" s="200"/>
    </row>
    <row r="632" spans="1:15" ht="15.75" customHeight="1" x14ac:dyDescent="0.25">
      <c r="A632" s="192"/>
      <c r="B632" s="192"/>
      <c r="C632" s="200"/>
      <c r="D632" s="200"/>
      <c r="E632" s="200"/>
      <c r="F632" s="200"/>
      <c r="G632" s="200"/>
      <c r="H632" s="200"/>
      <c r="I632" s="200"/>
      <c r="J632" s="200"/>
      <c r="K632" s="200"/>
      <c r="L632" s="200"/>
      <c r="M632" s="200"/>
      <c r="N632" s="200"/>
      <c r="O632" s="200"/>
    </row>
    <row r="633" spans="1:15" ht="15.75" customHeight="1" x14ac:dyDescent="0.25">
      <c r="A633" s="192"/>
      <c r="B633" s="192"/>
      <c r="C633" s="200"/>
      <c r="D633" s="200"/>
      <c r="E633" s="200"/>
      <c r="F633" s="200"/>
      <c r="G633" s="200"/>
      <c r="H633" s="200"/>
      <c r="I633" s="200"/>
      <c r="J633" s="200"/>
      <c r="K633" s="200"/>
      <c r="L633" s="200"/>
      <c r="M633" s="200"/>
      <c r="N633" s="200"/>
      <c r="O633" s="200"/>
    </row>
    <row r="634" spans="1:15" ht="15.75" customHeight="1" x14ac:dyDescent="0.25">
      <c r="A634" s="192"/>
      <c r="B634" s="192"/>
      <c r="C634" s="200"/>
      <c r="D634" s="200"/>
      <c r="E634" s="200"/>
      <c r="F634" s="200"/>
      <c r="G634" s="200"/>
      <c r="H634" s="200"/>
      <c r="I634" s="200"/>
      <c r="J634" s="200"/>
      <c r="K634" s="200"/>
      <c r="L634" s="200"/>
      <c r="M634" s="200"/>
      <c r="N634" s="200"/>
      <c r="O634" s="200"/>
    </row>
    <row r="635" spans="1:15" ht="15.75" customHeight="1" x14ac:dyDescent="0.25">
      <c r="A635" s="192"/>
      <c r="B635" s="192"/>
      <c r="C635" s="200"/>
      <c r="D635" s="200"/>
      <c r="E635" s="200"/>
      <c r="F635" s="200"/>
      <c r="G635" s="200"/>
      <c r="H635" s="200"/>
      <c r="I635" s="200"/>
      <c r="J635" s="200"/>
      <c r="K635" s="200"/>
      <c r="L635" s="200"/>
      <c r="M635" s="200"/>
      <c r="N635" s="200"/>
      <c r="O635" s="200"/>
    </row>
    <row r="636" spans="1:15" ht="15.75" customHeight="1" x14ac:dyDescent="0.25">
      <c r="A636" s="192"/>
      <c r="B636" s="192"/>
      <c r="C636" s="200"/>
      <c r="D636" s="200"/>
      <c r="E636" s="200"/>
      <c r="F636" s="200"/>
      <c r="G636" s="200"/>
      <c r="H636" s="200"/>
      <c r="I636" s="200"/>
      <c r="J636" s="200"/>
      <c r="K636" s="200"/>
      <c r="L636" s="200"/>
      <c r="M636" s="200"/>
      <c r="N636" s="200"/>
      <c r="O636" s="200"/>
    </row>
    <row r="637" spans="1:15" ht="15.75" customHeight="1" x14ac:dyDescent="0.25">
      <c r="A637" s="192"/>
      <c r="B637" s="192"/>
      <c r="C637" s="200"/>
      <c r="D637" s="200"/>
      <c r="E637" s="200"/>
      <c r="F637" s="200"/>
      <c r="G637" s="200"/>
      <c r="H637" s="200"/>
      <c r="I637" s="200"/>
      <c r="J637" s="200"/>
      <c r="K637" s="200"/>
      <c r="L637" s="200"/>
      <c r="M637" s="200"/>
      <c r="N637" s="200"/>
      <c r="O637" s="200"/>
    </row>
    <row r="638" spans="1:15" ht="15.75" customHeight="1" x14ac:dyDescent="0.25">
      <c r="A638" s="192"/>
      <c r="B638" s="192"/>
      <c r="C638" s="200"/>
      <c r="D638" s="200"/>
      <c r="E638" s="200"/>
      <c r="F638" s="200"/>
      <c r="G638" s="200"/>
      <c r="H638" s="200"/>
      <c r="I638" s="200"/>
      <c r="J638" s="200"/>
      <c r="K638" s="200"/>
      <c r="L638" s="200"/>
      <c r="M638" s="200"/>
      <c r="N638" s="200"/>
      <c r="O638" s="200"/>
    </row>
    <row r="639" spans="1:15" ht="15.75" customHeight="1" x14ac:dyDescent="0.25">
      <c r="A639" s="192"/>
      <c r="B639" s="192"/>
      <c r="C639" s="200"/>
      <c r="D639" s="200"/>
      <c r="E639" s="200"/>
      <c r="F639" s="200"/>
      <c r="G639" s="200"/>
      <c r="H639" s="200"/>
      <c r="I639" s="200"/>
      <c r="J639" s="200"/>
      <c r="K639" s="200"/>
      <c r="L639" s="200"/>
      <c r="M639" s="200"/>
      <c r="N639" s="200"/>
      <c r="O639" s="200"/>
    </row>
    <row r="640" spans="1:15" ht="15.75" customHeight="1" x14ac:dyDescent="0.25">
      <c r="A640" s="192"/>
      <c r="B640" s="192"/>
      <c r="C640" s="200"/>
      <c r="D640" s="200"/>
      <c r="E640" s="200"/>
      <c r="F640" s="200"/>
      <c r="G640" s="200"/>
      <c r="H640" s="200"/>
      <c r="I640" s="200"/>
      <c r="J640" s="200"/>
      <c r="K640" s="200"/>
      <c r="L640" s="200"/>
      <c r="M640" s="200"/>
      <c r="N640" s="200"/>
      <c r="O640" s="200"/>
    </row>
    <row r="641" spans="1:15" ht="15.75" customHeight="1" x14ac:dyDescent="0.25">
      <c r="A641" s="192"/>
      <c r="B641" s="192"/>
      <c r="C641" s="200"/>
      <c r="D641" s="200"/>
      <c r="E641" s="200"/>
      <c r="F641" s="200"/>
      <c r="G641" s="200"/>
      <c r="H641" s="200"/>
      <c r="I641" s="200"/>
      <c r="J641" s="200"/>
      <c r="K641" s="200"/>
      <c r="L641" s="200"/>
      <c r="M641" s="200"/>
      <c r="N641" s="200"/>
      <c r="O641" s="200"/>
    </row>
    <row r="642" spans="1:15" ht="15.75" customHeight="1" x14ac:dyDescent="0.25">
      <c r="A642" s="192"/>
      <c r="B642" s="192"/>
      <c r="C642" s="200"/>
      <c r="D642" s="200"/>
      <c r="E642" s="200"/>
      <c r="F642" s="200"/>
      <c r="G642" s="200"/>
      <c r="H642" s="200"/>
      <c r="I642" s="200"/>
      <c r="J642" s="200"/>
      <c r="K642" s="200"/>
      <c r="L642" s="200"/>
      <c r="M642" s="200"/>
      <c r="N642" s="200"/>
      <c r="O642" s="200"/>
    </row>
    <row r="643" spans="1:15" ht="15.75" customHeight="1" x14ac:dyDescent="0.25">
      <c r="A643" s="192"/>
      <c r="B643" s="192"/>
      <c r="C643" s="200"/>
      <c r="D643" s="200"/>
      <c r="E643" s="200"/>
      <c r="F643" s="200"/>
      <c r="G643" s="200"/>
      <c r="H643" s="200"/>
      <c r="I643" s="200"/>
      <c r="J643" s="200"/>
      <c r="K643" s="200"/>
      <c r="L643" s="200"/>
      <c r="M643" s="200"/>
      <c r="N643" s="200"/>
      <c r="O643" s="200"/>
    </row>
    <row r="644" spans="1:15" ht="15.75" customHeight="1" x14ac:dyDescent="0.25">
      <c r="A644" s="192"/>
      <c r="B644" s="192"/>
      <c r="C644" s="200"/>
      <c r="D644" s="200"/>
      <c r="E644" s="200"/>
      <c r="F644" s="200"/>
      <c r="G644" s="200"/>
      <c r="H644" s="200"/>
      <c r="I644" s="200"/>
      <c r="J644" s="200"/>
      <c r="K644" s="200"/>
      <c r="L644" s="200"/>
      <c r="M644" s="200"/>
      <c r="N644" s="200"/>
      <c r="O644" s="200"/>
    </row>
    <row r="645" spans="1:15" ht="15.75" customHeight="1" x14ac:dyDescent="0.25">
      <c r="A645" s="192"/>
      <c r="B645" s="192"/>
      <c r="C645" s="200"/>
      <c r="D645" s="200"/>
      <c r="E645" s="200"/>
      <c r="F645" s="200"/>
      <c r="G645" s="200"/>
      <c r="H645" s="200"/>
      <c r="I645" s="200"/>
      <c r="J645" s="200"/>
      <c r="K645" s="200"/>
      <c r="L645" s="200"/>
      <c r="M645" s="200"/>
      <c r="N645" s="200"/>
      <c r="O645" s="200"/>
    </row>
    <row r="646" spans="1:15" ht="15.75" customHeight="1" x14ac:dyDescent="0.25">
      <c r="A646" s="192"/>
      <c r="B646" s="192"/>
      <c r="C646" s="200"/>
      <c r="D646" s="200"/>
      <c r="E646" s="200"/>
      <c r="F646" s="200"/>
      <c r="G646" s="200"/>
      <c r="H646" s="200"/>
      <c r="I646" s="200"/>
      <c r="J646" s="200"/>
      <c r="K646" s="200"/>
      <c r="L646" s="200"/>
      <c r="M646" s="200"/>
      <c r="N646" s="200"/>
      <c r="O646" s="200"/>
    </row>
    <row r="647" spans="1:15" ht="15.75" customHeight="1" x14ac:dyDescent="0.25">
      <c r="A647" s="192"/>
      <c r="B647" s="192"/>
      <c r="C647" s="200"/>
      <c r="D647" s="200"/>
      <c r="E647" s="200"/>
      <c r="F647" s="200"/>
      <c r="G647" s="200"/>
      <c r="H647" s="200"/>
      <c r="I647" s="200"/>
      <c r="J647" s="200"/>
      <c r="K647" s="200"/>
      <c r="L647" s="200"/>
      <c r="M647" s="200"/>
      <c r="N647" s="200"/>
      <c r="O647" s="200"/>
    </row>
    <row r="648" spans="1:15" ht="15.75" customHeight="1" x14ac:dyDescent="0.25">
      <c r="A648" s="192"/>
      <c r="B648" s="192"/>
      <c r="C648" s="200"/>
      <c r="D648" s="200"/>
      <c r="E648" s="200"/>
      <c r="F648" s="200"/>
      <c r="G648" s="200"/>
      <c r="H648" s="200"/>
      <c r="I648" s="200"/>
      <c r="J648" s="200"/>
      <c r="K648" s="200"/>
      <c r="L648" s="200"/>
      <c r="M648" s="200"/>
      <c r="N648" s="200"/>
      <c r="O648" s="200"/>
    </row>
    <row r="649" spans="1:15" ht="15.75" customHeight="1" x14ac:dyDescent="0.25">
      <c r="A649" s="192"/>
      <c r="B649" s="192"/>
      <c r="C649" s="200"/>
      <c r="D649" s="200"/>
      <c r="E649" s="200"/>
      <c r="F649" s="200"/>
      <c r="G649" s="200"/>
      <c r="H649" s="200"/>
      <c r="I649" s="200"/>
      <c r="J649" s="200"/>
      <c r="K649" s="200"/>
      <c r="L649" s="200"/>
      <c r="M649" s="200"/>
      <c r="N649" s="200"/>
      <c r="O649" s="200"/>
    </row>
    <row r="650" spans="1:15" ht="15.75" customHeight="1" x14ac:dyDescent="0.25">
      <c r="A650" s="192"/>
      <c r="B650" s="192"/>
      <c r="C650" s="200"/>
      <c r="D650" s="200"/>
      <c r="E650" s="200"/>
      <c r="F650" s="200"/>
      <c r="G650" s="200"/>
      <c r="H650" s="200"/>
      <c r="I650" s="200"/>
      <c r="J650" s="200"/>
      <c r="K650" s="200"/>
      <c r="L650" s="200"/>
      <c r="M650" s="200"/>
      <c r="N650" s="200"/>
      <c r="O650" s="200"/>
    </row>
    <row r="651" spans="1:15" ht="15.75" customHeight="1" x14ac:dyDescent="0.25">
      <c r="A651" s="192"/>
      <c r="B651" s="192"/>
      <c r="C651" s="200"/>
      <c r="D651" s="200"/>
      <c r="E651" s="200"/>
      <c r="F651" s="200"/>
      <c r="G651" s="200"/>
      <c r="H651" s="200"/>
      <c r="I651" s="200"/>
      <c r="J651" s="200"/>
      <c r="K651" s="200"/>
      <c r="L651" s="200"/>
      <c r="M651" s="200"/>
      <c r="N651" s="200"/>
      <c r="O651" s="200"/>
    </row>
    <row r="652" spans="1:15" ht="15.75" customHeight="1" x14ac:dyDescent="0.25">
      <c r="A652" s="192"/>
      <c r="B652" s="192"/>
      <c r="C652" s="200"/>
      <c r="D652" s="200"/>
      <c r="E652" s="200"/>
      <c r="F652" s="200"/>
      <c r="G652" s="200"/>
      <c r="H652" s="200"/>
      <c r="I652" s="200"/>
      <c r="J652" s="200"/>
      <c r="K652" s="200"/>
      <c r="L652" s="200"/>
      <c r="M652" s="200"/>
      <c r="N652" s="200"/>
      <c r="O652" s="200"/>
    </row>
    <row r="653" spans="1:15" ht="15.75" customHeight="1" x14ac:dyDescent="0.25">
      <c r="A653" s="192"/>
      <c r="B653" s="192"/>
      <c r="C653" s="200"/>
      <c r="D653" s="200"/>
      <c r="E653" s="200"/>
      <c r="F653" s="200"/>
      <c r="G653" s="200"/>
      <c r="H653" s="200"/>
      <c r="I653" s="200"/>
      <c r="J653" s="200"/>
      <c r="K653" s="200"/>
      <c r="L653" s="200"/>
      <c r="M653" s="200"/>
      <c r="N653" s="200"/>
      <c r="O653" s="200"/>
    </row>
    <row r="654" spans="1:15" ht="15.75" customHeight="1" x14ac:dyDescent="0.25">
      <c r="A654" s="192"/>
      <c r="B654" s="192"/>
      <c r="C654" s="200"/>
      <c r="D654" s="200"/>
      <c r="E654" s="200"/>
      <c r="F654" s="200"/>
      <c r="G654" s="200"/>
      <c r="H654" s="200"/>
      <c r="I654" s="200"/>
      <c r="J654" s="200"/>
      <c r="K654" s="200"/>
      <c r="L654" s="200"/>
      <c r="M654" s="200"/>
      <c r="N654" s="200"/>
      <c r="O654" s="200"/>
    </row>
    <row r="655" spans="1:15" ht="15.75" customHeight="1" x14ac:dyDescent="0.25">
      <c r="A655" s="192"/>
      <c r="B655" s="192"/>
      <c r="C655" s="200"/>
      <c r="D655" s="200"/>
      <c r="E655" s="200"/>
      <c r="F655" s="200"/>
      <c r="G655" s="200"/>
      <c r="H655" s="200"/>
      <c r="I655" s="200"/>
      <c r="J655" s="200"/>
      <c r="K655" s="200"/>
      <c r="L655" s="200"/>
      <c r="M655" s="200"/>
      <c r="N655" s="200"/>
      <c r="O655" s="200"/>
    </row>
    <row r="656" spans="1:15" ht="15.75" customHeight="1" x14ac:dyDescent="0.25">
      <c r="A656" s="192"/>
      <c r="B656" s="192"/>
      <c r="C656" s="200"/>
      <c r="D656" s="200"/>
      <c r="E656" s="200"/>
      <c r="F656" s="200"/>
      <c r="G656" s="200"/>
      <c r="H656" s="200"/>
      <c r="I656" s="200"/>
      <c r="J656" s="200"/>
      <c r="K656" s="200"/>
      <c r="L656" s="200"/>
      <c r="M656" s="200"/>
      <c r="N656" s="200"/>
      <c r="O656" s="200"/>
    </row>
    <row r="657" spans="1:15" ht="15.75" customHeight="1" x14ac:dyDescent="0.25">
      <c r="A657" s="192"/>
      <c r="B657" s="192"/>
      <c r="C657" s="200"/>
      <c r="D657" s="200"/>
      <c r="E657" s="200"/>
      <c r="F657" s="200"/>
      <c r="G657" s="200"/>
      <c r="H657" s="200"/>
      <c r="I657" s="200"/>
      <c r="J657" s="200"/>
      <c r="K657" s="200"/>
      <c r="L657" s="200"/>
      <c r="M657" s="200"/>
      <c r="N657" s="200"/>
      <c r="O657" s="200"/>
    </row>
    <row r="658" spans="1:15" ht="15.75" customHeight="1" x14ac:dyDescent="0.25">
      <c r="A658" s="192"/>
      <c r="B658" s="192"/>
      <c r="C658" s="200"/>
      <c r="D658" s="200"/>
      <c r="E658" s="200"/>
      <c r="F658" s="200"/>
      <c r="G658" s="200"/>
      <c r="H658" s="200"/>
      <c r="I658" s="200"/>
      <c r="J658" s="200"/>
      <c r="K658" s="200"/>
      <c r="L658" s="200"/>
      <c r="M658" s="200"/>
      <c r="N658" s="200"/>
      <c r="O658" s="200"/>
    </row>
    <row r="659" spans="1:15" ht="15.75" customHeight="1" x14ac:dyDescent="0.25">
      <c r="A659" s="192"/>
      <c r="B659" s="192"/>
      <c r="C659" s="200"/>
      <c r="D659" s="200"/>
      <c r="E659" s="200"/>
      <c r="F659" s="200"/>
      <c r="G659" s="200"/>
      <c r="H659" s="200"/>
      <c r="I659" s="200"/>
      <c r="J659" s="200"/>
      <c r="K659" s="200"/>
      <c r="L659" s="200"/>
      <c r="M659" s="200"/>
      <c r="N659" s="200"/>
      <c r="O659" s="200"/>
    </row>
    <row r="660" spans="1:15" ht="15.75" customHeight="1" x14ac:dyDescent="0.25">
      <c r="A660" s="192"/>
      <c r="B660" s="192"/>
      <c r="C660" s="200"/>
      <c r="D660" s="200"/>
      <c r="E660" s="200"/>
      <c r="F660" s="200"/>
      <c r="G660" s="200"/>
      <c r="H660" s="200"/>
      <c r="I660" s="200"/>
      <c r="J660" s="200"/>
      <c r="K660" s="200"/>
      <c r="L660" s="200"/>
      <c r="M660" s="200"/>
      <c r="N660" s="200"/>
      <c r="O660" s="200"/>
    </row>
    <row r="661" spans="1:15" ht="15.75" customHeight="1" x14ac:dyDescent="0.25">
      <c r="A661" s="192"/>
      <c r="B661" s="192"/>
      <c r="C661" s="200"/>
      <c r="D661" s="200"/>
      <c r="E661" s="200"/>
      <c r="F661" s="200"/>
      <c r="G661" s="200"/>
      <c r="H661" s="200"/>
      <c r="I661" s="200"/>
      <c r="J661" s="200"/>
      <c r="K661" s="200"/>
      <c r="L661" s="200"/>
      <c r="M661" s="200"/>
      <c r="N661" s="200"/>
      <c r="O661" s="200"/>
    </row>
    <row r="662" spans="1:15" ht="15.75" customHeight="1" x14ac:dyDescent="0.25">
      <c r="A662" s="192"/>
      <c r="B662" s="192"/>
      <c r="C662" s="200"/>
      <c r="D662" s="200"/>
      <c r="E662" s="200"/>
      <c r="F662" s="200"/>
      <c r="G662" s="200"/>
      <c r="H662" s="200"/>
      <c r="I662" s="200"/>
      <c r="J662" s="200"/>
      <c r="K662" s="200"/>
      <c r="L662" s="200"/>
      <c r="M662" s="200"/>
      <c r="N662" s="200"/>
      <c r="O662" s="200"/>
    </row>
    <row r="663" spans="1:15" ht="15.75" customHeight="1" x14ac:dyDescent="0.25">
      <c r="A663" s="192"/>
      <c r="B663" s="192"/>
      <c r="C663" s="200"/>
      <c r="D663" s="200"/>
      <c r="E663" s="200"/>
      <c r="F663" s="200"/>
      <c r="G663" s="200"/>
      <c r="H663" s="200"/>
      <c r="I663" s="200"/>
      <c r="J663" s="200"/>
      <c r="K663" s="200"/>
      <c r="L663" s="200"/>
      <c r="M663" s="200"/>
      <c r="N663" s="200"/>
      <c r="O663" s="200"/>
    </row>
    <row r="664" spans="1:15" ht="15.75" customHeight="1" x14ac:dyDescent="0.25">
      <c r="A664" s="192"/>
      <c r="B664" s="192"/>
      <c r="C664" s="200"/>
      <c r="D664" s="200"/>
      <c r="E664" s="200"/>
      <c r="F664" s="200"/>
      <c r="G664" s="200"/>
      <c r="H664" s="200"/>
      <c r="I664" s="200"/>
      <c r="J664" s="200"/>
      <c r="K664" s="200"/>
      <c r="L664" s="200"/>
      <c r="M664" s="200"/>
      <c r="N664" s="200"/>
      <c r="O664" s="200"/>
    </row>
    <row r="665" spans="1:15" ht="15.75" customHeight="1" x14ac:dyDescent="0.25">
      <c r="A665" s="192"/>
      <c r="B665" s="192"/>
      <c r="C665" s="200"/>
      <c r="D665" s="200"/>
      <c r="E665" s="200"/>
      <c r="F665" s="200"/>
      <c r="G665" s="200"/>
      <c r="H665" s="200"/>
      <c r="I665" s="200"/>
      <c r="J665" s="200"/>
      <c r="K665" s="200"/>
      <c r="L665" s="200"/>
      <c r="M665" s="200"/>
      <c r="N665" s="200"/>
      <c r="O665" s="200"/>
    </row>
    <row r="666" spans="1:15" ht="15.75" customHeight="1" x14ac:dyDescent="0.25">
      <c r="A666" s="192"/>
      <c r="B666" s="192"/>
      <c r="C666" s="200"/>
      <c r="D666" s="200"/>
      <c r="E666" s="200"/>
      <c r="F666" s="200"/>
      <c r="G666" s="200"/>
      <c r="H666" s="200"/>
      <c r="I666" s="200"/>
      <c r="J666" s="200"/>
      <c r="K666" s="200"/>
      <c r="L666" s="200"/>
      <c r="M666" s="200"/>
      <c r="N666" s="200"/>
      <c r="O666" s="200"/>
    </row>
    <row r="667" spans="1:15" ht="15.75" customHeight="1" x14ac:dyDescent="0.25">
      <c r="A667" s="192"/>
      <c r="B667" s="192"/>
      <c r="C667" s="200"/>
      <c r="D667" s="200"/>
      <c r="E667" s="200"/>
      <c r="F667" s="200"/>
      <c r="G667" s="200"/>
      <c r="H667" s="200"/>
      <c r="I667" s="200"/>
      <c r="J667" s="200"/>
      <c r="K667" s="200"/>
      <c r="L667" s="200"/>
      <c r="M667" s="200"/>
      <c r="N667" s="200"/>
      <c r="O667" s="200"/>
    </row>
    <row r="668" spans="1:15" ht="15.75" customHeight="1" x14ac:dyDescent="0.25">
      <c r="A668" s="192"/>
      <c r="B668" s="192"/>
      <c r="C668" s="200"/>
      <c r="D668" s="200"/>
      <c r="E668" s="200"/>
      <c r="F668" s="200"/>
      <c r="G668" s="200"/>
      <c r="H668" s="200"/>
      <c r="I668" s="200"/>
      <c r="J668" s="200"/>
      <c r="K668" s="200"/>
      <c r="L668" s="200"/>
      <c r="M668" s="200"/>
      <c r="N668" s="200"/>
      <c r="O668" s="200"/>
    </row>
    <row r="669" spans="1:15" ht="15.75" customHeight="1" x14ac:dyDescent="0.25">
      <c r="A669" s="192"/>
      <c r="B669" s="192"/>
      <c r="C669" s="200"/>
      <c r="D669" s="200"/>
      <c r="E669" s="200"/>
      <c r="F669" s="200"/>
      <c r="G669" s="200"/>
      <c r="H669" s="200"/>
      <c r="I669" s="200"/>
      <c r="J669" s="200"/>
      <c r="K669" s="200"/>
      <c r="L669" s="200"/>
      <c r="M669" s="200"/>
      <c r="N669" s="200"/>
      <c r="O669" s="200"/>
    </row>
    <row r="670" spans="1:15" ht="15.75" customHeight="1" x14ac:dyDescent="0.25">
      <c r="A670" s="192"/>
      <c r="B670" s="192"/>
      <c r="C670" s="200"/>
      <c r="D670" s="200"/>
      <c r="E670" s="200"/>
      <c r="F670" s="200"/>
      <c r="G670" s="200"/>
      <c r="H670" s="200"/>
      <c r="I670" s="200"/>
      <c r="J670" s="200"/>
      <c r="K670" s="200"/>
      <c r="L670" s="200"/>
      <c r="M670" s="200"/>
      <c r="N670" s="200"/>
      <c r="O670" s="200"/>
    </row>
    <row r="671" spans="1:15" ht="15.75" customHeight="1" x14ac:dyDescent="0.25">
      <c r="A671" s="192"/>
      <c r="B671" s="192"/>
      <c r="C671" s="200"/>
      <c r="D671" s="200"/>
      <c r="E671" s="200"/>
      <c r="F671" s="200"/>
      <c r="G671" s="200"/>
      <c r="H671" s="200"/>
      <c r="I671" s="200"/>
      <c r="J671" s="200"/>
      <c r="K671" s="200"/>
      <c r="L671" s="200"/>
      <c r="M671" s="200"/>
      <c r="N671" s="200"/>
      <c r="O671" s="200"/>
    </row>
    <row r="672" spans="1:15" ht="15.75" customHeight="1" x14ac:dyDescent="0.25">
      <c r="A672" s="192"/>
      <c r="B672" s="192"/>
      <c r="C672" s="200"/>
      <c r="D672" s="200"/>
      <c r="E672" s="200"/>
      <c r="F672" s="200"/>
      <c r="G672" s="200"/>
      <c r="H672" s="200"/>
      <c r="I672" s="200"/>
      <c r="J672" s="200"/>
      <c r="K672" s="200"/>
      <c r="L672" s="200"/>
      <c r="M672" s="200"/>
      <c r="N672" s="200"/>
      <c r="O672" s="200"/>
    </row>
    <row r="673" spans="1:15" ht="15.75" customHeight="1" x14ac:dyDescent="0.25">
      <c r="A673" s="192"/>
      <c r="B673" s="192"/>
      <c r="C673" s="200"/>
      <c r="D673" s="200"/>
      <c r="E673" s="200"/>
      <c r="F673" s="200"/>
      <c r="G673" s="200"/>
      <c r="H673" s="200"/>
      <c r="I673" s="200"/>
      <c r="J673" s="200"/>
      <c r="K673" s="200"/>
      <c r="L673" s="200"/>
      <c r="M673" s="200"/>
      <c r="N673" s="200"/>
      <c r="O673" s="200"/>
    </row>
    <row r="674" spans="1:15" ht="15.75" customHeight="1" x14ac:dyDescent="0.25">
      <c r="A674" s="192"/>
      <c r="B674" s="192"/>
      <c r="C674" s="200"/>
      <c r="D674" s="200"/>
      <c r="E674" s="200"/>
      <c r="F674" s="200"/>
      <c r="G674" s="200"/>
      <c r="H674" s="200"/>
      <c r="I674" s="200"/>
      <c r="J674" s="200"/>
      <c r="K674" s="200"/>
      <c r="L674" s="200"/>
      <c r="M674" s="200"/>
      <c r="N674" s="200"/>
      <c r="O674" s="200"/>
    </row>
    <row r="675" spans="1:15" ht="15.75" customHeight="1" x14ac:dyDescent="0.25">
      <c r="A675" s="192"/>
      <c r="B675" s="192"/>
      <c r="C675" s="200"/>
      <c r="D675" s="200"/>
      <c r="E675" s="200"/>
      <c r="F675" s="200"/>
      <c r="G675" s="200"/>
      <c r="H675" s="200"/>
      <c r="I675" s="200"/>
      <c r="J675" s="200"/>
      <c r="K675" s="200"/>
      <c r="L675" s="200"/>
      <c r="M675" s="200"/>
      <c r="N675" s="200"/>
      <c r="O675" s="200"/>
    </row>
    <row r="676" spans="1:15" ht="15.75" customHeight="1" x14ac:dyDescent="0.25">
      <c r="A676" s="192"/>
      <c r="B676" s="192"/>
      <c r="C676" s="200"/>
      <c r="D676" s="200"/>
      <c r="E676" s="200"/>
      <c r="F676" s="200"/>
      <c r="G676" s="200"/>
      <c r="H676" s="200"/>
      <c r="I676" s="200"/>
      <c r="J676" s="200"/>
      <c r="K676" s="200"/>
      <c r="L676" s="200"/>
      <c r="M676" s="200"/>
      <c r="N676" s="200"/>
      <c r="O676" s="200"/>
    </row>
    <row r="677" spans="1:15" ht="15.75" customHeight="1" x14ac:dyDescent="0.25">
      <c r="A677" s="192"/>
      <c r="B677" s="192"/>
      <c r="C677" s="200"/>
      <c r="D677" s="200"/>
      <c r="E677" s="200"/>
      <c r="F677" s="200"/>
      <c r="G677" s="200"/>
      <c r="H677" s="200"/>
      <c r="I677" s="200"/>
      <c r="J677" s="200"/>
      <c r="K677" s="200"/>
      <c r="L677" s="200"/>
      <c r="M677" s="200"/>
      <c r="N677" s="200"/>
      <c r="O677" s="200"/>
    </row>
    <row r="678" spans="1:15" ht="15.75" customHeight="1" x14ac:dyDescent="0.25">
      <c r="A678" s="192"/>
      <c r="B678" s="192"/>
      <c r="C678" s="200"/>
      <c r="D678" s="200"/>
      <c r="E678" s="200"/>
      <c r="F678" s="200"/>
      <c r="G678" s="200"/>
      <c r="H678" s="200"/>
      <c r="I678" s="200"/>
      <c r="J678" s="200"/>
      <c r="K678" s="200"/>
      <c r="L678" s="200"/>
      <c r="M678" s="200"/>
      <c r="N678" s="200"/>
      <c r="O678" s="200"/>
    </row>
    <row r="679" spans="1:15" ht="15.75" customHeight="1" x14ac:dyDescent="0.25">
      <c r="A679" s="192"/>
      <c r="B679" s="192"/>
      <c r="C679" s="200"/>
      <c r="D679" s="200"/>
      <c r="E679" s="200"/>
      <c r="F679" s="200"/>
      <c r="G679" s="200"/>
      <c r="H679" s="200"/>
      <c r="I679" s="200"/>
      <c r="J679" s="200"/>
      <c r="K679" s="200"/>
      <c r="L679" s="200"/>
      <c r="M679" s="200"/>
      <c r="N679" s="200"/>
      <c r="O679" s="200"/>
    </row>
    <row r="680" spans="1:15" ht="15.75" customHeight="1" x14ac:dyDescent="0.25">
      <c r="A680" s="192"/>
      <c r="B680" s="192"/>
      <c r="C680" s="200"/>
      <c r="D680" s="200"/>
      <c r="E680" s="200"/>
      <c r="F680" s="200"/>
      <c r="G680" s="200"/>
      <c r="H680" s="200"/>
      <c r="I680" s="200"/>
      <c r="J680" s="200"/>
      <c r="K680" s="200"/>
      <c r="L680" s="200"/>
      <c r="M680" s="200"/>
      <c r="N680" s="200"/>
      <c r="O680" s="200"/>
    </row>
    <row r="681" spans="1:15" ht="15.75" customHeight="1" x14ac:dyDescent="0.25">
      <c r="A681" s="192"/>
      <c r="B681" s="192"/>
      <c r="C681" s="200"/>
      <c r="D681" s="200"/>
      <c r="E681" s="200"/>
      <c r="F681" s="200"/>
      <c r="G681" s="200"/>
      <c r="H681" s="200"/>
      <c r="I681" s="200"/>
      <c r="J681" s="200"/>
      <c r="K681" s="200"/>
      <c r="L681" s="200"/>
      <c r="M681" s="200"/>
      <c r="N681" s="200"/>
      <c r="O681" s="200"/>
    </row>
    <row r="682" spans="1:15" ht="15.75" customHeight="1" x14ac:dyDescent="0.25">
      <c r="A682" s="192"/>
      <c r="B682" s="192"/>
      <c r="C682" s="200"/>
      <c r="D682" s="200"/>
      <c r="E682" s="200"/>
      <c r="F682" s="200"/>
      <c r="G682" s="200"/>
      <c r="H682" s="200"/>
      <c r="I682" s="200"/>
      <c r="J682" s="200"/>
      <c r="K682" s="200"/>
      <c r="L682" s="200"/>
      <c r="M682" s="200"/>
      <c r="N682" s="200"/>
      <c r="O682" s="200"/>
    </row>
    <row r="683" spans="1:15" ht="15.75" customHeight="1" x14ac:dyDescent="0.25">
      <c r="A683" s="192"/>
      <c r="B683" s="192"/>
      <c r="C683" s="200"/>
      <c r="D683" s="200"/>
      <c r="E683" s="200"/>
      <c r="F683" s="200"/>
      <c r="G683" s="200"/>
      <c r="H683" s="200"/>
      <c r="I683" s="200"/>
      <c r="J683" s="200"/>
      <c r="K683" s="200"/>
      <c r="L683" s="200"/>
      <c r="M683" s="200"/>
      <c r="N683" s="200"/>
      <c r="O683" s="200"/>
    </row>
    <row r="684" spans="1:15" ht="15.75" customHeight="1" x14ac:dyDescent="0.25">
      <c r="A684" s="192"/>
      <c r="B684" s="192"/>
      <c r="C684" s="200"/>
      <c r="D684" s="200"/>
      <c r="E684" s="200"/>
      <c r="F684" s="200"/>
      <c r="G684" s="200"/>
      <c r="H684" s="200"/>
      <c r="I684" s="200"/>
      <c r="J684" s="200"/>
      <c r="K684" s="200"/>
      <c r="L684" s="200"/>
      <c r="M684" s="200"/>
      <c r="N684" s="200"/>
      <c r="O684" s="200"/>
    </row>
    <row r="685" spans="1:15" ht="15.75" customHeight="1" x14ac:dyDescent="0.25">
      <c r="A685" s="192"/>
      <c r="B685" s="192"/>
      <c r="C685" s="200"/>
      <c r="D685" s="200"/>
      <c r="E685" s="200"/>
      <c r="F685" s="200"/>
      <c r="G685" s="200"/>
      <c r="H685" s="200"/>
      <c r="I685" s="200"/>
      <c r="J685" s="200"/>
      <c r="K685" s="200"/>
      <c r="L685" s="200"/>
      <c r="M685" s="200"/>
      <c r="N685" s="200"/>
      <c r="O685" s="200"/>
    </row>
    <row r="686" spans="1:15" ht="15.75" customHeight="1" x14ac:dyDescent="0.25">
      <c r="A686" s="192"/>
      <c r="B686" s="192"/>
      <c r="C686" s="200"/>
      <c r="D686" s="200"/>
      <c r="E686" s="200"/>
      <c r="F686" s="200"/>
      <c r="G686" s="200"/>
      <c r="H686" s="200"/>
      <c r="I686" s="200"/>
      <c r="J686" s="200"/>
      <c r="K686" s="200"/>
      <c r="L686" s="200"/>
      <c r="M686" s="200"/>
      <c r="N686" s="200"/>
      <c r="O686" s="200"/>
    </row>
    <row r="687" spans="1:15" ht="15.75" customHeight="1" x14ac:dyDescent="0.25">
      <c r="A687" s="192"/>
      <c r="B687" s="192"/>
      <c r="C687" s="200"/>
      <c r="D687" s="200"/>
      <c r="E687" s="200"/>
      <c r="F687" s="200"/>
      <c r="G687" s="200"/>
      <c r="H687" s="200"/>
      <c r="I687" s="200"/>
      <c r="J687" s="200"/>
      <c r="K687" s="200"/>
      <c r="L687" s="200"/>
      <c r="M687" s="200"/>
      <c r="N687" s="200"/>
      <c r="O687" s="200"/>
    </row>
    <row r="688" spans="1:15" ht="15.75" customHeight="1" x14ac:dyDescent="0.25">
      <c r="A688" s="192"/>
      <c r="B688" s="192"/>
      <c r="C688" s="200"/>
      <c r="D688" s="200"/>
      <c r="E688" s="200"/>
      <c r="F688" s="200"/>
      <c r="G688" s="200"/>
      <c r="H688" s="200"/>
      <c r="I688" s="200"/>
      <c r="J688" s="200"/>
      <c r="K688" s="200"/>
      <c r="L688" s="200"/>
      <c r="M688" s="200"/>
      <c r="N688" s="200"/>
      <c r="O688" s="200"/>
    </row>
    <row r="689" spans="1:15" ht="15.75" customHeight="1" x14ac:dyDescent="0.25">
      <c r="A689" s="192"/>
      <c r="B689" s="192"/>
      <c r="C689" s="200"/>
      <c r="D689" s="200"/>
      <c r="E689" s="200"/>
      <c r="F689" s="200"/>
      <c r="G689" s="200"/>
      <c r="H689" s="200"/>
      <c r="I689" s="200"/>
      <c r="J689" s="200"/>
      <c r="K689" s="200"/>
      <c r="L689" s="200"/>
      <c r="M689" s="200"/>
      <c r="N689" s="200"/>
      <c r="O689" s="200"/>
    </row>
    <row r="690" spans="1:15" ht="15.75" customHeight="1" x14ac:dyDescent="0.25">
      <c r="A690" s="192"/>
      <c r="B690" s="192"/>
      <c r="C690" s="200"/>
      <c r="D690" s="200"/>
      <c r="E690" s="200"/>
      <c r="F690" s="200"/>
      <c r="G690" s="200"/>
      <c r="H690" s="200"/>
      <c r="I690" s="200"/>
      <c r="J690" s="200"/>
      <c r="K690" s="200"/>
      <c r="L690" s="200"/>
      <c r="M690" s="200"/>
      <c r="N690" s="200"/>
      <c r="O690" s="200"/>
    </row>
    <row r="691" spans="1:15" ht="15.75" customHeight="1" x14ac:dyDescent="0.25">
      <c r="A691" s="192"/>
      <c r="B691" s="192"/>
      <c r="C691" s="200"/>
      <c r="D691" s="200"/>
      <c r="E691" s="200"/>
      <c r="F691" s="200"/>
      <c r="G691" s="200"/>
      <c r="H691" s="200"/>
      <c r="I691" s="200"/>
      <c r="J691" s="200"/>
      <c r="K691" s="200"/>
      <c r="L691" s="200"/>
      <c r="M691" s="200"/>
      <c r="N691" s="200"/>
      <c r="O691" s="200"/>
    </row>
    <row r="692" spans="1:15" ht="15.75" customHeight="1" x14ac:dyDescent="0.25">
      <c r="A692" s="192"/>
      <c r="B692" s="192"/>
      <c r="C692" s="200"/>
      <c r="D692" s="200"/>
      <c r="E692" s="200"/>
      <c r="F692" s="200"/>
      <c r="G692" s="200"/>
      <c r="H692" s="200"/>
      <c r="I692" s="200"/>
      <c r="J692" s="200"/>
      <c r="K692" s="200"/>
      <c r="L692" s="200"/>
      <c r="M692" s="200"/>
      <c r="N692" s="200"/>
      <c r="O692" s="200"/>
    </row>
    <row r="693" spans="1:15" ht="15.75" customHeight="1" x14ac:dyDescent="0.25">
      <c r="A693" s="192"/>
      <c r="B693" s="192"/>
      <c r="C693" s="200"/>
      <c r="D693" s="200"/>
      <c r="E693" s="200"/>
      <c r="F693" s="200"/>
      <c r="G693" s="200"/>
      <c r="H693" s="200"/>
      <c r="I693" s="200"/>
      <c r="J693" s="200"/>
      <c r="K693" s="200"/>
      <c r="L693" s="200"/>
      <c r="M693" s="200"/>
      <c r="N693" s="200"/>
      <c r="O693" s="200"/>
    </row>
    <row r="694" spans="1:15" ht="15.75" customHeight="1" x14ac:dyDescent="0.25">
      <c r="A694" s="192"/>
      <c r="B694" s="192"/>
      <c r="C694" s="200"/>
      <c r="D694" s="200"/>
      <c r="E694" s="200"/>
      <c r="F694" s="200"/>
      <c r="G694" s="200"/>
      <c r="H694" s="200"/>
      <c r="I694" s="200"/>
      <c r="J694" s="200"/>
      <c r="K694" s="200"/>
      <c r="L694" s="200"/>
      <c r="M694" s="200"/>
      <c r="N694" s="200"/>
      <c r="O694" s="200"/>
    </row>
    <row r="695" spans="1:15" ht="15.75" customHeight="1" x14ac:dyDescent="0.25">
      <c r="A695" s="192"/>
      <c r="B695" s="192"/>
      <c r="C695" s="200"/>
      <c r="D695" s="200"/>
      <c r="E695" s="200"/>
      <c r="F695" s="200"/>
      <c r="G695" s="200"/>
      <c r="H695" s="200"/>
      <c r="I695" s="200"/>
      <c r="J695" s="200"/>
      <c r="K695" s="200"/>
      <c r="L695" s="200"/>
      <c r="M695" s="200"/>
      <c r="N695" s="200"/>
      <c r="O695" s="200"/>
    </row>
    <row r="696" spans="1:15" ht="15.75" customHeight="1" x14ac:dyDescent="0.25">
      <c r="A696" s="192"/>
      <c r="B696" s="192"/>
      <c r="C696" s="200"/>
      <c r="D696" s="200"/>
      <c r="E696" s="200"/>
      <c r="F696" s="200"/>
      <c r="G696" s="200"/>
      <c r="H696" s="200"/>
      <c r="I696" s="200"/>
      <c r="J696" s="200"/>
      <c r="K696" s="200"/>
      <c r="L696" s="200"/>
      <c r="M696" s="200"/>
      <c r="N696" s="200"/>
      <c r="O696" s="200"/>
    </row>
    <row r="697" spans="1:15" ht="15.75" customHeight="1" x14ac:dyDescent="0.25">
      <c r="A697" s="192"/>
      <c r="B697" s="192"/>
      <c r="C697" s="200"/>
      <c r="D697" s="200"/>
      <c r="E697" s="200"/>
      <c r="F697" s="200"/>
      <c r="G697" s="200"/>
      <c r="H697" s="200"/>
      <c r="I697" s="200"/>
      <c r="J697" s="200"/>
      <c r="K697" s="200"/>
      <c r="L697" s="200"/>
      <c r="M697" s="200"/>
      <c r="N697" s="200"/>
      <c r="O697" s="200"/>
    </row>
    <row r="698" spans="1:15" ht="15.75" customHeight="1" x14ac:dyDescent="0.25">
      <c r="A698" s="192"/>
      <c r="B698" s="192"/>
      <c r="C698" s="200"/>
      <c r="D698" s="200"/>
      <c r="E698" s="200"/>
      <c r="F698" s="200"/>
      <c r="G698" s="200"/>
      <c r="H698" s="200"/>
      <c r="I698" s="200"/>
      <c r="J698" s="200"/>
      <c r="K698" s="200"/>
      <c r="L698" s="200"/>
      <c r="M698" s="200"/>
      <c r="N698" s="200"/>
      <c r="O698" s="200"/>
    </row>
    <row r="699" spans="1:15" ht="15.75" customHeight="1" x14ac:dyDescent="0.25">
      <c r="A699" s="192"/>
      <c r="B699" s="192"/>
      <c r="C699" s="200"/>
      <c r="D699" s="200"/>
      <c r="E699" s="200"/>
      <c r="F699" s="200"/>
      <c r="G699" s="200"/>
      <c r="H699" s="200"/>
      <c r="I699" s="200"/>
      <c r="J699" s="200"/>
      <c r="K699" s="200"/>
      <c r="L699" s="200"/>
      <c r="M699" s="200"/>
      <c r="N699" s="200"/>
      <c r="O699" s="200"/>
    </row>
    <row r="700" spans="1:15" ht="15.75" customHeight="1" x14ac:dyDescent="0.25">
      <c r="A700" s="192"/>
      <c r="B700" s="192"/>
      <c r="C700" s="200"/>
      <c r="D700" s="200"/>
      <c r="E700" s="200"/>
      <c r="F700" s="200"/>
      <c r="G700" s="200"/>
      <c r="H700" s="200"/>
      <c r="I700" s="200"/>
      <c r="J700" s="200"/>
      <c r="K700" s="200"/>
      <c r="L700" s="200"/>
      <c r="M700" s="200"/>
      <c r="N700" s="200"/>
      <c r="O700" s="200"/>
    </row>
    <row r="701" spans="1:15" ht="15.75" customHeight="1" x14ac:dyDescent="0.25">
      <c r="A701" s="192"/>
      <c r="B701" s="192"/>
      <c r="C701" s="200"/>
      <c r="D701" s="200"/>
      <c r="E701" s="200"/>
      <c r="F701" s="200"/>
      <c r="G701" s="200"/>
      <c r="H701" s="200"/>
      <c r="I701" s="200"/>
      <c r="J701" s="200"/>
      <c r="K701" s="200"/>
      <c r="L701" s="200"/>
      <c r="M701" s="200"/>
      <c r="N701" s="200"/>
      <c r="O701" s="200"/>
    </row>
    <row r="702" spans="1:15" ht="15.75" customHeight="1" x14ac:dyDescent="0.25">
      <c r="A702" s="192"/>
      <c r="B702" s="192"/>
      <c r="C702" s="200"/>
      <c r="D702" s="200"/>
      <c r="E702" s="200"/>
      <c r="F702" s="200"/>
      <c r="G702" s="200"/>
      <c r="H702" s="200"/>
      <c r="I702" s="200"/>
      <c r="J702" s="200"/>
      <c r="K702" s="200"/>
      <c r="L702" s="200"/>
      <c r="M702" s="200"/>
      <c r="N702" s="200"/>
      <c r="O702" s="200"/>
    </row>
    <row r="703" spans="1:15" ht="15.75" customHeight="1" x14ac:dyDescent="0.25">
      <c r="A703" s="192"/>
      <c r="B703" s="192"/>
      <c r="C703" s="200"/>
      <c r="D703" s="200"/>
      <c r="E703" s="200"/>
      <c r="F703" s="200"/>
      <c r="G703" s="200"/>
      <c r="H703" s="200"/>
      <c r="I703" s="200"/>
      <c r="J703" s="200"/>
      <c r="K703" s="200"/>
      <c r="L703" s="200"/>
      <c r="M703" s="200"/>
      <c r="N703" s="200"/>
      <c r="O703" s="200"/>
    </row>
    <row r="704" spans="1:15" ht="15.75" customHeight="1" x14ac:dyDescent="0.25">
      <c r="A704" s="192"/>
      <c r="B704" s="192"/>
      <c r="C704" s="200"/>
      <c r="D704" s="200"/>
      <c r="E704" s="200"/>
      <c r="F704" s="200"/>
      <c r="G704" s="200"/>
      <c r="H704" s="200"/>
      <c r="I704" s="200"/>
      <c r="J704" s="200"/>
      <c r="K704" s="200"/>
      <c r="L704" s="200"/>
      <c r="M704" s="200"/>
      <c r="N704" s="200"/>
      <c r="O704" s="200"/>
    </row>
    <row r="705" spans="1:15" ht="15.75" customHeight="1" x14ac:dyDescent="0.25">
      <c r="A705" s="192"/>
      <c r="B705" s="192"/>
      <c r="C705" s="200"/>
      <c r="D705" s="200"/>
      <c r="E705" s="200"/>
      <c r="F705" s="200"/>
      <c r="G705" s="200"/>
      <c r="H705" s="200"/>
      <c r="I705" s="200"/>
      <c r="J705" s="200"/>
      <c r="K705" s="200"/>
      <c r="L705" s="200"/>
      <c r="M705" s="200"/>
      <c r="N705" s="200"/>
      <c r="O705" s="200"/>
    </row>
    <row r="706" spans="1:15" ht="15.75" customHeight="1" x14ac:dyDescent="0.25">
      <c r="A706" s="192"/>
      <c r="B706" s="192"/>
      <c r="C706" s="200"/>
      <c r="D706" s="200"/>
      <c r="E706" s="200"/>
      <c r="F706" s="200"/>
      <c r="G706" s="200"/>
      <c r="H706" s="200"/>
      <c r="I706" s="200"/>
      <c r="J706" s="200"/>
      <c r="K706" s="200"/>
      <c r="L706" s="200"/>
      <c r="M706" s="200"/>
      <c r="N706" s="200"/>
      <c r="O706" s="200"/>
    </row>
    <row r="707" spans="1:15" ht="15.75" customHeight="1" x14ac:dyDescent="0.25">
      <c r="A707" s="192"/>
      <c r="B707" s="192"/>
      <c r="C707" s="200"/>
      <c r="D707" s="200"/>
      <c r="E707" s="200"/>
      <c r="F707" s="200"/>
      <c r="G707" s="200"/>
      <c r="H707" s="200"/>
      <c r="I707" s="200"/>
      <c r="J707" s="200"/>
      <c r="K707" s="200"/>
      <c r="L707" s="200"/>
      <c r="M707" s="200"/>
      <c r="N707" s="200"/>
      <c r="O707" s="200"/>
    </row>
    <row r="708" spans="1:15" ht="15.75" customHeight="1" x14ac:dyDescent="0.25">
      <c r="A708" s="192"/>
      <c r="B708" s="192"/>
      <c r="C708" s="200"/>
      <c r="D708" s="200"/>
      <c r="E708" s="200"/>
      <c r="F708" s="200"/>
      <c r="G708" s="200"/>
      <c r="H708" s="200"/>
      <c r="I708" s="200"/>
      <c r="J708" s="200"/>
      <c r="K708" s="200"/>
      <c r="L708" s="200"/>
      <c r="M708" s="200"/>
      <c r="N708" s="200"/>
      <c r="O708" s="200"/>
    </row>
    <row r="709" spans="1:15" ht="15.75" customHeight="1" x14ac:dyDescent="0.25">
      <c r="A709" s="192"/>
      <c r="B709" s="192"/>
      <c r="C709" s="200"/>
      <c r="D709" s="200"/>
      <c r="E709" s="200"/>
      <c r="F709" s="200"/>
      <c r="G709" s="200"/>
      <c r="H709" s="200"/>
      <c r="I709" s="200"/>
      <c r="J709" s="200"/>
      <c r="K709" s="200"/>
      <c r="L709" s="200"/>
      <c r="M709" s="200"/>
      <c r="N709" s="200"/>
      <c r="O709" s="200"/>
    </row>
    <row r="710" spans="1:15" ht="15.75" customHeight="1" x14ac:dyDescent="0.25">
      <c r="A710" s="192"/>
      <c r="B710" s="192"/>
      <c r="C710" s="200"/>
      <c r="D710" s="200"/>
      <c r="E710" s="200"/>
      <c r="F710" s="200"/>
      <c r="G710" s="200"/>
      <c r="H710" s="200"/>
      <c r="I710" s="200"/>
      <c r="J710" s="200"/>
      <c r="K710" s="200"/>
      <c r="L710" s="200"/>
      <c r="M710" s="200"/>
      <c r="N710" s="200"/>
      <c r="O710" s="200"/>
    </row>
    <row r="711" spans="1:15" ht="15.75" customHeight="1" x14ac:dyDescent="0.25">
      <c r="A711" s="192"/>
      <c r="B711" s="192"/>
      <c r="C711" s="200"/>
      <c r="D711" s="200"/>
      <c r="E711" s="200"/>
      <c r="F711" s="200"/>
      <c r="G711" s="200"/>
      <c r="H711" s="200"/>
      <c r="I711" s="200"/>
      <c r="J711" s="200"/>
      <c r="K711" s="200"/>
      <c r="L711" s="200"/>
      <c r="M711" s="200"/>
      <c r="N711" s="200"/>
      <c r="O711" s="200"/>
    </row>
    <row r="712" spans="1:15" ht="15.75" customHeight="1" x14ac:dyDescent="0.25">
      <c r="A712" s="192"/>
      <c r="B712" s="192"/>
      <c r="C712" s="200"/>
      <c r="D712" s="200"/>
      <c r="E712" s="200"/>
      <c r="F712" s="200"/>
      <c r="G712" s="200"/>
      <c r="H712" s="200"/>
      <c r="I712" s="200"/>
      <c r="J712" s="200"/>
      <c r="K712" s="200"/>
      <c r="L712" s="200"/>
      <c r="M712" s="200"/>
      <c r="N712" s="200"/>
      <c r="O712" s="200"/>
    </row>
    <row r="713" spans="1:15" ht="15.75" customHeight="1" x14ac:dyDescent="0.25">
      <c r="A713" s="192"/>
      <c r="B713" s="192"/>
      <c r="C713" s="200"/>
      <c r="D713" s="200"/>
      <c r="E713" s="200"/>
      <c r="F713" s="200"/>
      <c r="G713" s="200"/>
      <c r="H713" s="200"/>
      <c r="I713" s="200"/>
      <c r="J713" s="200"/>
      <c r="K713" s="200"/>
      <c r="L713" s="200"/>
      <c r="M713" s="200"/>
      <c r="N713" s="200"/>
      <c r="O713" s="200"/>
    </row>
    <row r="714" spans="1:15" ht="15.75" customHeight="1" x14ac:dyDescent="0.25">
      <c r="A714" s="192"/>
      <c r="B714" s="192"/>
      <c r="C714" s="200"/>
      <c r="D714" s="200"/>
      <c r="E714" s="200"/>
      <c r="F714" s="200"/>
      <c r="G714" s="200"/>
      <c r="H714" s="200"/>
      <c r="I714" s="200"/>
      <c r="J714" s="200"/>
      <c r="K714" s="200"/>
      <c r="L714" s="200"/>
      <c r="M714" s="200"/>
      <c r="N714" s="200"/>
      <c r="O714" s="200"/>
    </row>
    <row r="715" spans="1:15" ht="15.75" customHeight="1" x14ac:dyDescent="0.25">
      <c r="A715" s="192"/>
      <c r="B715" s="192"/>
      <c r="C715" s="200"/>
      <c r="D715" s="200"/>
      <c r="E715" s="200"/>
      <c r="F715" s="200"/>
      <c r="G715" s="200"/>
      <c r="H715" s="200"/>
      <c r="I715" s="200"/>
      <c r="J715" s="200"/>
      <c r="K715" s="200"/>
      <c r="L715" s="200"/>
      <c r="M715" s="200"/>
      <c r="N715" s="200"/>
      <c r="O715" s="200"/>
    </row>
    <row r="716" spans="1:15" ht="15.75" customHeight="1" x14ac:dyDescent="0.25">
      <c r="A716" s="192"/>
      <c r="B716" s="192"/>
      <c r="C716" s="200"/>
      <c r="D716" s="200"/>
      <c r="E716" s="200"/>
      <c r="F716" s="200"/>
      <c r="G716" s="200"/>
      <c r="H716" s="200"/>
      <c r="I716" s="200"/>
      <c r="J716" s="200"/>
      <c r="K716" s="200"/>
      <c r="L716" s="200"/>
      <c r="M716" s="200"/>
      <c r="N716" s="200"/>
      <c r="O716" s="200"/>
    </row>
    <row r="717" spans="1:15" ht="15.75" customHeight="1" x14ac:dyDescent="0.25">
      <c r="A717" s="192"/>
      <c r="B717" s="192"/>
      <c r="C717" s="200"/>
      <c r="D717" s="200"/>
      <c r="E717" s="200"/>
      <c r="F717" s="200"/>
      <c r="G717" s="200"/>
      <c r="H717" s="200"/>
      <c r="I717" s="200"/>
      <c r="J717" s="200"/>
      <c r="K717" s="200"/>
      <c r="L717" s="200"/>
      <c r="M717" s="200"/>
      <c r="N717" s="200"/>
      <c r="O717" s="200"/>
    </row>
    <row r="718" spans="1:15" ht="15.75" customHeight="1" x14ac:dyDescent="0.25">
      <c r="A718" s="192"/>
      <c r="B718" s="192"/>
      <c r="C718" s="200"/>
      <c r="D718" s="200"/>
      <c r="E718" s="200"/>
      <c r="F718" s="200"/>
      <c r="G718" s="200"/>
      <c r="H718" s="200"/>
      <c r="I718" s="200"/>
      <c r="J718" s="200"/>
      <c r="K718" s="200"/>
      <c r="L718" s="200"/>
      <c r="M718" s="200"/>
      <c r="N718" s="200"/>
      <c r="O718" s="200"/>
    </row>
    <row r="719" spans="1:15" ht="15.75" customHeight="1" x14ac:dyDescent="0.25">
      <c r="A719" s="192"/>
      <c r="B719" s="192"/>
      <c r="C719" s="200"/>
      <c r="D719" s="200"/>
      <c r="E719" s="200"/>
      <c r="F719" s="200"/>
      <c r="G719" s="200"/>
      <c r="H719" s="200"/>
      <c r="I719" s="200"/>
      <c r="J719" s="200"/>
      <c r="K719" s="200"/>
      <c r="L719" s="200"/>
      <c r="M719" s="200"/>
      <c r="N719" s="200"/>
      <c r="O719" s="200"/>
    </row>
    <row r="720" spans="1:15" ht="15.75" customHeight="1" x14ac:dyDescent="0.25">
      <c r="A720" s="192"/>
      <c r="B720" s="192"/>
      <c r="C720" s="200"/>
      <c r="D720" s="200"/>
      <c r="E720" s="200"/>
      <c r="F720" s="200"/>
      <c r="G720" s="200"/>
      <c r="H720" s="200"/>
      <c r="I720" s="200"/>
      <c r="J720" s="200"/>
      <c r="K720" s="200"/>
      <c r="L720" s="200"/>
      <c r="M720" s="200"/>
      <c r="N720" s="200"/>
      <c r="O720" s="200"/>
    </row>
    <row r="721" spans="1:15" ht="15.75" customHeight="1" x14ac:dyDescent="0.25">
      <c r="A721" s="192"/>
      <c r="B721" s="192"/>
      <c r="C721" s="200"/>
      <c r="D721" s="200"/>
      <c r="E721" s="200"/>
      <c r="F721" s="200"/>
      <c r="G721" s="200"/>
      <c r="H721" s="200"/>
      <c r="I721" s="200"/>
      <c r="J721" s="200"/>
      <c r="K721" s="200"/>
      <c r="L721" s="200"/>
      <c r="M721" s="200"/>
      <c r="N721" s="200"/>
      <c r="O721" s="200"/>
    </row>
    <row r="722" spans="1:15" ht="15.75" customHeight="1" x14ac:dyDescent="0.25">
      <c r="A722" s="192"/>
      <c r="B722" s="192"/>
      <c r="C722" s="200"/>
      <c r="D722" s="200"/>
      <c r="E722" s="200"/>
      <c r="F722" s="200"/>
      <c r="G722" s="200"/>
      <c r="H722" s="200"/>
      <c r="I722" s="200"/>
      <c r="J722" s="200"/>
      <c r="K722" s="200"/>
      <c r="L722" s="200"/>
      <c r="M722" s="200"/>
      <c r="N722" s="200"/>
      <c r="O722" s="200"/>
    </row>
    <row r="723" spans="1:15" ht="15.75" customHeight="1" x14ac:dyDescent="0.25">
      <c r="A723" s="192"/>
      <c r="B723" s="192"/>
      <c r="C723" s="200"/>
      <c r="D723" s="200"/>
      <c r="E723" s="200"/>
      <c r="F723" s="200"/>
      <c r="G723" s="200"/>
      <c r="H723" s="200"/>
      <c r="I723" s="200"/>
      <c r="J723" s="200"/>
      <c r="K723" s="200"/>
      <c r="L723" s="200"/>
      <c r="M723" s="200"/>
      <c r="N723" s="200"/>
      <c r="O723" s="200"/>
    </row>
    <row r="724" spans="1:15" ht="15.75" customHeight="1" x14ac:dyDescent="0.25">
      <c r="A724" s="192"/>
      <c r="B724" s="192"/>
      <c r="C724" s="200"/>
      <c r="D724" s="200"/>
      <c r="E724" s="200"/>
      <c r="F724" s="200"/>
      <c r="G724" s="200"/>
      <c r="H724" s="200"/>
      <c r="I724" s="200"/>
      <c r="J724" s="200"/>
      <c r="K724" s="200"/>
      <c r="L724" s="200"/>
      <c r="M724" s="200"/>
      <c r="N724" s="200"/>
      <c r="O724" s="200"/>
    </row>
    <row r="725" spans="1:15" ht="15.75" customHeight="1" x14ac:dyDescent="0.25">
      <c r="A725" s="192"/>
      <c r="B725" s="192"/>
      <c r="C725" s="200"/>
      <c r="D725" s="200"/>
      <c r="E725" s="200"/>
      <c r="F725" s="200"/>
      <c r="G725" s="200"/>
      <c r="H725" s="200"/>
      <c r="I725" s="200"/>
      <c r="J725" s="200"/>
      <c r="K725" s="200"/>
      <c r="L725" s="200"/>
      <c r="M725" s="200"/>
      <c r="N725" s="200"/>
      <c r="O725" s="200"/>
    </row>
    <row r="726" spans="1:15" ht="15.75" customHeight="1" x14ac:dyDescent="0.25">
      <c r="A726" s="192"/>
      <c r="B726" s="192"/>
      <c r="C726" s="200"/>
      <c r="D726" s="200"/>
      <c r="E726" s="200"/>
      <c r="F726" s="200"/>
      <c r="G726" s="200"/>
      <c r="H726" s="200"/>
      <c r="I726" s="200"/>
      <c r="J726" s="200"/>
      <c r="K726" s="200"/>
      <c r="L726" s="200"/>
      <c r="M726" s="200"/>
      <c r="N726" s="200"/>
      <c r="O726" s="200"/>
    </row>
    <row r="727" spans="1:15" ht="15.75" customHeight="1" x14ac:dyDescent="0.25">
      <c r="A727" s="192"/>
      <c r="B727" s="192"/>
      <c r="C727" s="200"/>
      <c r="D727" s="200"/>
      <c r="E727" s="200"/>
      <c r="F727" s="200"/>
      <c r="G727" s="200"/>
      <c r="H727" s="200"/>
      <c r="I727" s="200"/>
      <c r="J727" s="200"/>
      <c r="K727" s="200"/>
      <c r="L727" s="200"/>
      <c r="M727" s="200"/>
      <c r="N727" s="200"/>
      <c r="O727" s="200"/>
    </row>
    <row r="728" spans="1:15" ht="15.75" customHeight="1" x14ac:dyDescent="0.25">
      <c r="A728" s="192"/>
      <c r="B728" s="192"/>
      <c r="C728" s="200"/>
      <c r="D728" s="200"/>
      <c r="E728" s="200"/>
      <c r="F728" s="200"/>
      <c r="G728" s="200"/>
      <c r="H728" s="200"/>
      <c r="I728" s="200"/>
      <c r="J728" s="200"/>
      <c r="K728" s="200"/>
      <c r="L728" s="200"/>
      <c r="M728" s="200"/>
      <c r="N728" s="200"/>
      <c r="O728" s="200"/>
    </row>
    <row r="729" spans="1:15" ht="15.75" customHeight="1" x14ac:dyDescent="0.25">
      <c r="A729" s="192"/>
      <c r="B729" s="192"/>
      <c r="C729" s="200"/>
      <c r="D729" s="200"/>
      <c r="E729" s="200"/>
      <c r="F729" s="200"/>
      <c r="G729" s="200"/>
      <c r="H729" s="200"/>
      <c r="I729" s="200"/>
      <c r="J729" s="200"/>
      <c r="K729" s="200"/>
      <c r="L729" s="200"/>
      <c r="M729" s="200"/>
      <c r="N729" s="200"/>
      <c r="O729" s="200"/>
    </row>
    <row r="730" spans="1:15" ht="15.75" customHeight="1" x14ac:dyDescent="0.25">
      <c r="A730" s="192"/>
      <c r="B730" s="192"/>
      <c r="C730" s="200"/>
      <c r="D730" s="200"/>
      <c r="E730" s="200"/>
      <c r="F730" s="200"/>
      <c r="G730" s="200"/>
      <c r="H730" s="200"/>
      <c r="I730" s="200"/>
      <c r="J730" s="200"/>
      <c r="K730" s="200"/>
      <c r="L730" s="200"/>
      <c r="M730" s="200"/>
      <c r="N730" s="200"/>
      <c r="O730" s="200"/>
    </row>
    <row r="731" spans="1:15" ht="15.75" customHeight="1" x14ac:dyDescent="0.25">
      <c r="A731" s="192"/>
      <c r="B731" s="192"/>
      <c r="C731" s="200"/>
      <c r="D731" s="200"/>
      <c r="E731" s="200"/>
      <c r="F731" s="200"/>
      <c r="G731" s="200"/>
      <c r="H731" s="200"/>
      <c r="I731" s="200"/>
      <c r="J731" s="200"/>
      <c r="K731" s="200"/>
      <c r="L731" s="200"/>
      <c r="M731" s="200"/>
      <c r="N731" s="200"/>
      <c r="O731" s="200"/>
    </row>
    <row r="732" spans="1:15" ht="15.75" customHeight="1" x14ac:dyDescent="0.25">
      <c r="A732" s="192"/>
      <c r="B732" s="192"/>
      <c r="C732" s="200"/>
      <c r="D732" s="200"/>
      <c r="E732" s="200"/>
      <c r="F732" s="200"/>
      <c r="G732" s="200"/>
      <c r="H732" s="200"/>
      <c r="I732" s="200"/>
      <c r="J732" s="200"/>
      <c r="K732" s="200"/>
      <c r="L732" s="200"/>
      <c r="M732" s="200"/>
      <c r="N732" s="200"/>
      <c r="O732" s="200"/>
    </row>
    <row r="733" spans="1:15" ht="15.75" customHeight="1" x14ac:dyDescent="0.25">
      <c r="A733" s="192"/>
      <c r="B733" s="192"/>
      <c r="C733" s="200"/>
      <c r="D733" s="200"/>
      <c r="E733" s="200"/>
      <c r="F733" s="200"/>
      <c r="G733" s="200"/>
      <c r="H733" s="200"/>
      <c r="I733" s="200"/>
      <c r="J733" s="200"/>
      <c r="K733" s="200"/>
      <c r="L733" s="200"/>
      <c r="M733" s="200"/>
      <c r="N733" s="200"/>
      <c r="O733" s="200"/>
    </row>
    <row r="734" spans="1:15" ht="15.75" customHeight="1" x14ac:dyDescent="0.25">
      <c r="A734" s="192"/>
      <c r="B734" s="192"/>
      <c r="C734" s="200"/>
      <c r="D734" s="200"/>
      <c r="E734" s="200"/>
      <c r="F734" s="200"/>
      <c r="G734" s="200"/>
      <c r="H734" s="200"/>
      <c r="I734" s="200"/>
      <c r="J734" s="200"/>
      <c r="K734" s="200"/>
      <c r="L734" s="200"/>
      <c r="M734" s="200"/>
      <c r="N734" s="200"/>
      <c r="O734" s="200"/>
    </row>
    <row r="735" spans="1:15" ht="15.75" customHeight="1" x14ac:dyDescent="0.25">
      <c r="A735" s="192"/>
      <c r="B735" s="192"/>
      <c r="C735" s="200"/>
      <c r="D735" s="200"/>
      <c r="E735" s="200"/>
      <c r="F735" s="200"/>
      <c r="G735" s="200"/>
      <c r="H735" s="200"/>
      <c r="I735" s="200"/>
      <c r="J735" s="200"/>
      <c r="K735" s="200"/>
      <c r="L735" s="200"/>
      <c r="M735" s="200"/>
      <c r="N735" s="200"/>
      <c r="O735" s="200"/>
    </row>
    <row r="736" spans="1:15" ht="15.75" customHeight="1" x14ac:dyDescent="0.25">
      <c r="A736" s="192"/>
      <c r="B736" s="192"/>
      <c r="C736" s="200"/>
      <c r="D736" s="200"/>
      <c r="E736" s="200"/>
      <c r="F736" s="200"/>
      <c r="G736" s="200"/>
      <c r="H736" s="200"/>
      <c r="I736" s="200"/>
      <c r="J736" s="200"/>
      <c r="K736" s="200"/>
      <c r="L736" s="200"/>
      <c r="M736" s="200"/>
      <c r="N736" s="200"/>
      <c r="O736" s="200"/>
    </row>
    <row r="737" spans="1:15" ht="15.75" customHeight="1" x14ac:dyDescent="0.25">
      <c r="A737" s="192"/>
      <c r="B737" s="192"/>
      <c r="C737" s="200"/>
      <c r="D737" s="200"/>
      <c r="E737" s="200"/>
      <c r="F737" s="200"/>
      <c r="G737" s="200"/>
      <c r="H737" s="200"/>
      <c r="I737" s="200"/>
      <c r="J737" s="200"/>
      <c r="K737" s="200"/>
      <c r="L737" s="200"/>
      <c r="M737" s="200"/>
      <c r="N737" s="200"/>
      <c r="O737" s="200"/>
    </row>
    <row r="738" spans="1:15" ht="15.75" customHeight="1" x14ac:dyDescent="0.25">
      <c r="A738" s="192"/>
      <c r="B738" s="192"/>
      <c r="C738" s="200"/>
      <c r="D738" s="200"/>
      <c r="E738" s="200"/>
      <c r="F738" s="200"/>
      <c r="G738" s="200"/>
      <c r="H738" s="200"/>
      <c r="I738" s="200"/>
      <c r="J738" s="200"/>
      <c r="K738" s="200"/>
      <c r="L738" s="200"/>
      <c r="M738" s="200"/>
      <c r="N738" s="200"/>
      <c r="O738" s="200"/>
    </row>
    <row r="739" spans="1:15" ht="15.75" customHeight="1" x14ac:dyDescent="0.25">
      <c r="A739" s="192"/>
      <c r="B739" s="192"/>
      <c r="C739" s="200"/>
      <c r="D739" s="200"/>
      <c r="E739" s="200"/>
      <c r="F739" s="200"/>
      <c r="G739" s="200"/>
      <c r="H739" s="200"/>
      <c r="I739" s="200"/>
      <c r="J739" s="200"/>
      <c r="K739" s="200"/>
      <c r="L739" s="200"/>
      <c r="M739" s="200"/>
      <c r="N739" s="200"/>
      <c r="O739" s="200"/>
    </row>
    <row r="740" spans="1:15" ht="15.75" customHeight="1" x14ac:dyDescent="0.25">
      <c r="A740" s="192"/>
      <c r="B740" s="192"/>
      <c r="C740" s="200"/>
      <c r="D740" s="200"/>
      <c r="E740" s="200"/>
      <c r="F740" s="200"/>
      <c r="G740" s="200"/>
      <c r="H740" s="200"/>
      <c r="I740" s="200"/>
      <c r="J740" s="200"/>
      <c r="K740" s="200"/>
      <c r="L740" s="200"/>
      <c r="M740" s="200"/>
      <c r="N740" s="200"/>
      <c r="O740" s="200"/>
    </row>
    <row r="741" spans="1:15" ht="15.75" customHeight="1" x14ac:dyDescent="0.25">
      <c r="A741" s="192"/>
      <c r="B741" s="192"/>
      <c r="C741" s="200"/>
      <c r="D741" s="200"/>
      <c r="E741" s="200"/>
      <c r="F741" s="200"/>
      <c r="G741" s="200"/>
      <c r="H741" s="200"/>
      <c r="I741" s="200"/>
      <c r="J741" s="200"/>
      <c r="K741" s="200"/>
      <c r="L741" s="200"/>
      <c r="M741" s="200"/>
      <c r="N741" s="200"/>
      <c r="O741" s="200"/>
    </row>
    <row r="742" spans="1:15" ht="15.75" customHeight="1" x14ac:dyDescent="0.25">
      <c r="A742" s="192"/>
      <c r="B742" s="192"/>
      <c r="C742" s="200"/>
      <c r="D742" s="200"/>
      <c r="E742" s="200"/>
      <c r="F742" s="200"/>
      <c r="G742" s="200"/>
      <c r="H742" s="200"/>
      <c r="I742" s="200"/>
      <c r="J742" s="200"/>
      <c r="K742" s="200"/>
      <c r="L742" s="200"/>
      <c r="M742" s="200"/>
      <c r="N742" s="200"/>
      <c r="O742" s="200"/>
    </row>
    <row r="743" spans="1:15" ht="15.75" customHeight="1" x14ac:dyDescent="0.25">
      <c r="A743" s="192"/>
      <c r="B743" s="192"/>
      <c r="C743" s="200"/>
      <c r="D743" s="200"/>
      <c r="E743" s="200"/>
      <c r="F743" s="200"/>
      <c r="G743" s="200"/>
      <c r="H743" s="200"/>
      <c r="I743" s="200"/>
      <c r="J743" s="200"/>
      <c r="K743" s="200"/>
      <c r="L743" s="200"/>
      <c r="M743" s="200"/>
      <c r="N743" s="200"/>
      <c r="O743" s="200"/>
    </row>
    <row r="744" spans="1:15" ht="15.75" customHeight="1" x14ac:dyDescent="0.25">
      <c r="A744" s="192"/>
      <c r="B744" s="192"/>
      <c r="C744" s="200"/>
      <c r="D744" s="200"/>
      <c r="E744" s="200"/>
      <c r="F744" s="200"/>
      <c r="G744" s="200"/>
      <c r="H744" s="200"/>
      <c r="I744" s="200"/>
      <c r="J744" s="200"/>
      <c r="K744" s="200"/>
      <c r="L744" s="200"/>
      <c r="M744" s="200"/>
      <c r="N744" s="200"/>
      <c r="O744" s="200"/>
    </row>
    <row r="745" spans="1:15" ht="15.75" customHeight="1" x14ac:dyDescent="0.25">
      <c r="A745" s="192"/>
      <c r="B745" s="192"/>
      <c r="C745" s="200"/>
      <c r="D745" s="200"/>
      <c r="E745" s="200"/>
      <c r="F745" s="200"/>
      <c r="G745" s="200"/>
      <c r="H745" s="200"/>
      <c r="I745" s="200"/>
      <c r="J745" s="200"/>
      <c r="K745" s="200"/>
      <c r="L745" s="200"/>
      <c r="M745" s="200"/>
      <c r="N745" s="200"/>
      <c r="O745" s="200"/>
    </row>
    <row r="746" spans="1:15" ht="15.75" customHeight="1" x14ac:dyDescent="0.25">
      <c r="A746" s="192"/>
      <c r="B746" s="192"/>
      <c r="C746" s="200"/>
      <c r="D746" s="200"/>
      <c r="E746" s="200"/>
      <c r="F746" s="200"/>
      <c r="G746" s="200"/>
      <c r="H746" s="200"/>
      <c r="I746" s="200"/>
      <c r="J746" s="200"/>
      <c r="K746" s="200"/>
      <c r="L746" s="200"/>
      <c r="M746" s="200"/>
      <c r="N746" s="200"/>
      <c r="O746" s="200"/>
    </row>
    <row r="747" spans="1:15" ht="15.75" customHeight="1" x14ac:dyDescent="0.25">
      <c r="A747" s="192"/>
      <c r="B747" s="192"/>
      <c r="C747" s="200"/>
      <c r="D747" s="200"/>
      <c r="E747" s="200"/>
      <c r="F747" s="200"/>
      <c r="G747" s="200"/>
      <c r="H747" s="200"/>
      <c r="I747" s="200"/>
      <c r="J747" s="200"/>
      <c r="K747" s="200"/>
      <c r="L747" s="200"/>
      <c r="M747" s="200"/>
      <c r="N747" s="200"/>
      <c r="O747" s="200"/>
    </row>
    <row r="748" spans="1:15" ht="15.75" customHeight="1" x14ac:dyDescent="0.25">
      <c r="A748" s="192"/>
      <c r="B748" s="192"/>
      <c r="C748" s="200"/>
      <c r="D748" s="200"/>
      <c r="E748" s="200"/>
      <c r="F748" s="200"/>
      <c r="G748" s="200"/>
      <c r="H748" s="200"/>
      <c r="I748" s="200"/>
      <c r="J748" s="200"/>
      <c r="K748" s="200"/>
      <c r="L748" s="200"/>
      <c r="M748" s="200"/>
      <c r="N748" s="200"/>
      <c r="O748" s="200"/>
    </row>
    <row r="749" spans="1:15" ht="15.75" customHeight="1" x14ac:dyDescent="0.25">
      <c r="A749" s="192"/>
      <c r="B749" s="192"/>
      <c r="C749" s="200"/>
      <c r="D749" s="200"/>
      <c r="E749" s="200"/>
      <c r="F749" s="200"/>
      <c r="G749" s="200"/>
      <c r="H749" s="200"/>
      <c r="I749" s="200"/>
      <c r="J749" s="200"/>
      <c r="K749" s="200"/>
      <c r="L749" s="200"/>
      <c r="M749" s="200"/>
      <c r="N749" s="200"/>
      <c r="O749" s="200"/>
    </row>
    <row r="750" spans="1:15" ht="15.75" customHeight="1" x14ac:dyDescent="0.25">
      <c r="A750" s="192"/>
      <c r="B750" s="192"/>
      <c r="C750" s="200"/>
      <c r="D750" s="200"/>
      <c r="E750" s="200"/>
      <c r="F750" s="200"/>
      <c r="G750" s="200"/>
      <c r="H750" s="200"/>
      <c r="I750" s="200"/>
      <c r="J750" s="200"/>
      <c r="K750" s="200"/>
      <c r="L750" s="200"/>
      <c r="M750" s="200"/>
      <c r="N750" s="200"/>
      <c r="O750" s="200"/>
    </row>
    <row r="751" spans="1:15" ht="15.75" customHeight="1" x14ac:dyDescent="0.25">
      <c r="A751" s="192"/>
      <c r="B751" s="192"/>
      <c r="C751" s="200"/>
      <c r="D751" s="200"/>
      <c r="E751" s="200"/>
      <c r="F751" s="200"/>
      <c r="G751" s="200"/>
      <c r="H751" s="200"/>
      <c r="I751" s="200"/>
      <c r="J751" s="200"/>
      <c r="K751" s="200"/>
      <c r="L751" s="200"/>
      <c r="M751" s="200"/>
      <c r="N751" s="200"/>
      <c r="O751" s="200"/>
    </row>
    <row r="752" spans="1:15" ht="15.75" customHeight="1" x14ac:dyDescent="0.25">
      <c r="A752" s="192"/>
      <c r="B752" s="192"/>
      <c r="C752" s="200"/>
      <c r="D752" s="200"/>
      <c r="E752" s="200"/>
      <c r="F752" s="200"/>
      <c r="G752" s="200"/>
      <c r="H752" s="200"/>
      <c r="I752" s="200"/>
      <c r="J752" s="200"/>
      <c r="K752" s="200"/>
      <c r="L752" s="200"/>
      <c r="M752" s="200"/>
      <c r="N752" s="200"/>
      <c r="O752" s="200"/>
    </row>
    <row r="753" spans="1:15" ht="15.75" customHeight="1" x14ac:dyDescent="0.25">
      <c r="A753" s="192"/>
      <c r="B753" s="192"/>
      <c r="C753" s="200"/>
      <c r="D753" s="200"/>
      <c r="E753" s="200"/>
      <c r="F753" s="200"/>
      <c r="G753" s="200"/>
      <c r="H753" s="200"/>
      <c r="I753" s="200"/>
      <c r="J753" s="200"/>
      <c r="K753" s="200"/>
      <c r="L753" s="200"/>
      <c r="M753" s="200"/>
      <c r="N753" s="200"/>
      <c r="O753" s="200"/>
    </row>
    <row r="754" spans="1:15" ht="15.75" customHeight="1" x14ac:dyDescent="0.25">
      <c r="A754" s="192"/>
      <c r="B754" s="192"/>
      <c r="C754" s="200"/>
      <c r="D754" s="200"/>
      <c r="E754" s="200"/>
      <c r="F754" s="200"/>
      <c r="G754" s="200"/>
      <c r="H754" s="200"/>
      <c r="I754" s="200"/>
      <c r="J754" s="200"/>
      <c r="K754" s="200"/>
      <c r="L754" s="200"/>
      <c r="M754" s="200"/>
      <c r="N754" s="200"/>
      <c r="O754" s="200"/>
    </row>
    <row r="755" spans="1:15" ht="15.75" customHeight="1" x14ac:dyDescent="0.25">
      <c r="A755" s="192"/>
      <c r="B755" s="192"/>
      <c r="C755" s="200"/>
      <c r="D755" s="200"/>
      <c r="E755" s="200"/>
      <c r="F755" s="200"/>
      <c r="G755" s="200"/>
      <c r="H755" s="200"/>
      <c r="I755" s="200"/>
      <c r="J755" s="200"/>
      <c r="K755" s="200"/>
      <c r="L755" s="200"/>
      <c r="M755" s="200"/>
      <c r="N755" s="200"/>
      <c r="O755" s="200"/>
    </row>
    <row r="756" spans="1:15" ht="15.75" customHeight="1" x14ac:dyDescent="0.25">
      <c r="A756" s="192"/>
      <c r="B756" s="192"/>
      <c r="C756" s="200"/>
      <c r="D756" s="200"/>
      <c r="E756" s="200"/>
      <c r="F756" s="200"/>
      <c r="G756" s="200"/>
      <c r="H756" s="200"/>
      <c r="I756" s="200"/>
      <c r="J756" s="200"/>
      <c r="K756" s="200"/>
      <c r="L756" s="200"/>
      <c r="M756" s="200"/>
      <c r="N756" s="200"/>
      <c r="O756" s="200"/>
    </row>
    <row r="757" spans="1:15" ht="15.75" customHeight="1" x14ac:dyDescent="0.25">
      <c r="A757" s="192"/>
      <c r="B757" s="192"/>
      <c r="C757" s="200"/>
      <c r="D757" s="200"/>
      <c r="E757" s="200"/>
      <c r="F757" s="200"/>
      <c r="G757" s="200"/>
      <c r="H757" s="200"/>
      <c r="I757" s="200"/>
      <c r="J757" s="200"/>
      <c r="K757" s="200"/>
      <c r="L757" s="200"/>
      <c r="M757" s="200"/>
      <c r="N757" s="200"/>
      <c r="O757" s="200"/>
    </row>
    <row r="758" spans="1:15" ht="15.75" customHeight="1" x14ac:dyDescent="0.25">
      <c r="A758" s="192"/>
      <c r="B758" s="192"/>
      <c r="C758" s="200"/>
      <c r="D758" s="200"/>
      <c r="E758" s="200"/>
      <c r="F758" s="200"/>
      <c r="G758" s="200"/>
      <c r="H758" s="200"/>
      <c r="I758" s="200"/>
      <c r="J758" s="200"/>
      <c r="K758" s="200"/>
      <c r="L758" s="200"/>
      <c r="M758" s="200"/>
      <c r="N758" s="200"/>
      <c r="O758" s="200"/>
    </row>
    <row r="759" spans="1:15" ht="15.75" customHeight="1" x14ac:dyDescent="0.25">
      <c r="A759" s="192"/>
      <c r="B759" s="192"/>
      <c r="C759" s="200"/>
      <c r="D759" s="200"/>
      <c r="E759" s="200"/>
      <c r="F759" s="200"/>
      <c r="G759" s="200"/>
      <c r="H759" s="200"/>
      <c r="I759" s="200"/>
      <c r="J759" s="200"/>
      <c r="K759" s="200"/>
      <c r="L759" s="200"/>
      <c r="M759" s="200"/>
      <c r="N759" s="200"/>
      <c r="O759" s="200"/>
    </row>
    <row r="760" spans="1:15" ht="15.75" customHeight="1" x14ac:dyDescent="0.25">
      <c r="A760" s="192"/>
      <c r="B760" s="192"/>
      <c r="C760" s="200"/>
      <c r="D760" s="200"/>
      <c r="E760" s="200"/>
      <c r="F760" s="200"/>
      <c r="G760" s="200"/>
      <c r="H760" s="200"/>
      <c r="I760" s="200"/>
      <c r="J760" s="200"/>
      <c r="K760" s="200"/>
      <c r="L760" s="200"/>
      <c r="M760" s="200"/>
      <c r="N760" s="200"/>
      <c r="O760" s="200"/>
    </row>
    <row r="761" spans="1:15" ht="15.75" customHeight="1" x14ac:dyDescent="0.25">
      <c r="A761" s="192"/>
      <c r="B761" s="192"/>
      <c r="C761" s="200"/>
      <c r="D761" s="200"/>
      <c r="E761" s="200"/>
      <c r="F761" s="200"/>
      <c r="G761" s="200"/>
      <c r="H761" s="200"/>
      <c r="I761" s="200"/>
      <c r="J761" s="200"/>
      <c r="K761" s="200"/>
      <c r="L761" s="200"/>
      <c r="M761" s="200"/>
      <c r="N761" s="200"/>
      <c r="O761" s="200"/>
    </row>
    <row r="762" spans="1:15" ht="15.75" customHeight="1" x14ac:dyDescent="0.25">
      <c r="A762" s="192"/>
      <c r="B762" s="192"/>
      <c r="C762" s="200"/>
      <c r="D762" s="200"/>
      <c r="E762" s="200"/>
      <c r="F762" s="200"/>
      <c r="G762" s="200"/>
      <c r="H762" s="200"/>
      <c r="I762" s="200"/>
      <c r="J762" s="200"/>
      <c r="K762" s="200"/>
      <c r="L762" s="200"/>
      <c r="M762" s="200"/>
      <c r="N762" s="200"/>
      <c r="O762" s="200"/>
    </row>
    <row r="763" spans="1:15" ht="15.75" customHeight="1" x14ac:dyDescent="0.25">
      <c r="A763" s="192"/>
      <c r="B763" s="192"/>
      <c r="C763" s="200"/>
      <c r="D763" s="200"/>
      <c r="E763" s="200"/>
      <c r="F763" s="200"/>
      <c r="G763" s="200"/>
      <c r="H763" s="200"/>
      <c r="I763" s="200"/>
      <c r="J763" s="200"/>
      <c r="K763" s="200"/>
      <c r="L763" s="200"/>
      <c r="M763" s="200"/>
      <c r="N763" s="200"/>
      <c r="O763" s="200"/>
    </row>
    <row r="764" spans="1:15" ht="15.75" customHeight="1" x14ac:dyDescent="0.25">
      <c r="A764" s="192"/>
      <c r="B764" s="192"/>
      <c r="C764" s="200"/>
      <c r="D764" s="200"/>
      <c r="E764" s="200"/>
      <c r="F764" s="200"/>
      <c r="G764" s="200"/>
      <c r="H764" s="200"/>
      <c r="I764" s="200"/>
      <c r="J764" s="200"/>
      <c r="K764" s="200"/>
      <c r="L764" s="200"/>
      <c r="M764" s="200"/>
      <c r="N764" s="200"/>
      <c r="O764" s="200"/>
    </row>
    <row r="765" spans="1:15" ht="15.75" customHeight="1" x14ac:dyDescent="0.25">
      <c r="A765" s="192"/>
      <c r="B765" s="192"/>
      <c r="C765" s="200"/>
      <c r="D765" s="200"/>
      <c r="E765" s="200"/>
      <c r="F765" s="200"/>
      <c r="G765" s="200"/>
      <c r="H765" s="200"/>
      <c r="I765" s="200"/>
      <c r="J765" s="200"/>
      <c r="K765" s="200"/>
      <c r="L765" s="200"/>
      <c r="M765" s="200"/>
      <c r="N765" s="200"/>
      <c r="O765" s="200"/>
    </row>
    <row r="766" spans="1:15" ht="15.75" customHeight="1" x14ac:dyDescent="0.25">
      <c r="A766" s="192"/>
      <c r="B766" s="192"/>
      <c r="C766" s="200"/>
      <c r="D766" s="200"/>
      <c r="E766" s="200"/>
      <c r="F766" s="200"/>
      <c r="G766" s="200"/>
      <c r="H766" s="200"/>
      <c r="I766" s="200"/>
      <c r="J766" s="200"/>
      <c r="K766" s="200"/>
      <c r="L766" s="200"/>
      <c r="M766" s="200"/>
      <c r="N766" s="200"/>
      <c r="O766" s="200"/>
    </row>
    <row r="767" spans="1:15" ht="15.75" customHeight="1" x14ac:dyDescent="0.25">
      <c r="A767" s="192"/>
      <c r="B767" s="192"/>
      <c r="C767" s="200"/>
      <c r="D767" s="200"/>
      <c r="E767" s="200"/>
      <c r="F767" s="200"/>
      <c r="G767" s="200"/>
      <c r="H767" s="200"/>
      <c r="I767" s="200"/>
      <c r="J767" s="200"/>
      <c r="K767" s="200"/>
      <c r="L767" s="200"/>
      <c r="M767" s="200"/>
      <c r="N767" s="200"/>
      <c r="O767" s="200"/>
    </row>
    <row r="768" spans="1:15" ht="15.75" customHeight="1" x14ac:dyDescent="0.25">
      <c r="A768" s="192"/>
      <c r="B768" s="192"/>
      <c r="C768" s="200"/>
      <c r="D768" s="200"/>
      <c r="E768" s="200"/>
      <c r="F768" s="200"/>
      <c r="G768" s="200"/>
      <c r="H768" s="200"/>
      <c r="I768" s="200"/>
      <c r="J768" s="200"/>
      <c r="K768" s="200"/>
      <c r="L768" s="200"/>
      <c r="M768" s="200"/>
      <c r="N768" s="200"/>
      <c r="O768" s="200"/>
    </row>
    <row r="769" spans="1:15" ht="15.75" customHeight="1" x14ac:dyDescent="0.25">
      <c r="A769" s="192"/>
      <c r="B769" s="192"/>
      <c r="C769" s="200"/>
      <c r="D769" s="200"/>
      <c r="E769" s="200"/>
      <c r="F769" s="200"/>
      <c r="G769" s="200"/>
      <c r="H769" s="200"/>
      <c r="I769" s="200"/>
      <c r="J769" s="200"/>
      <c r="K769" s="200"/>
      <c r="L769" s="200"/>
      <c r="M769" s="200"/>
      <c r="N769" s="200"/>
      <c r="O769" s="200"/>
    </row>
    <row r="770" spans="1:15" ht="15.75" customHeight="1" x14ac:dyDescent="0.25">
      <c r="A770" s="192"/>
      <c r="B770" s="192"/>
      <c r="C770" s="200"/>
      <c r="D770" s="200"/>
      <c r="E770" s="200"/>
      <c r="F770" s="200"/>
      <c r="G770" s="200"/>
      <c r="H770" s="200"/>
      <c r="I770" s="200"/>
      <c r="J770" s="200"/>
      <c r="K770" s="200"/>
      <c r="L770" s="200"/>
      <c r="M770" s="200"/>
      <c r="N770" s="200"/>
      <c r="O770" s="200"/>
    </row>
    <row r="771" spans="1:15" ht="15.75" customHeight="1" x14ac:dyDescent="0.25">
      <c r="A771" s="192"/>
      <c r="B771" s="192"/>
      <c r="C771" s="200"/>
      <c r="D771" s="200"/>
      <c r="E771" s="200"/>
      <c r="F771" s="200"/>
      <c r="G771" s="200"/>
      <c r="H771" s="200"/>
      <c r="I771" s="200"/>
      <c r="J771" s="200"/>
      <c r="K771" s="200"/>
      <c r="L771" s="200"/>
      <c r="M771" s="200"/>
      <c r="N771" s="200"/>
      <c r="O771" s="200"/>
    </row>
    <row r="772" spans="1:15" ht="15.75" customHeight="1" x14ac:dyDescent="0.25">
      <c r="A772" s="192"/>
      <c r="B772" s="192"/>
      <c r="C772" s="200"/>
      <c r="D772" s="200"/>
      <c r="E772" s="200"/>
      <c r="F772" s="200"/>
      <c r="G772" s="200"/>
      <c r="H772" s="200"/>
      <c r="I772" s="200"/>
      <c r="J772" s="200"/>
      <c r="K772" s="200"/>
      <c r="L772" s="200"/>
      <c r="M772" s="200"/>
      <c r="N772" s="200"/>
      <c r="O772" s="200"/>
    </row>
    <row r="773" spans="1:15" ht="15.75" customHeight="1" x14ac:dyDescent="0.25">
      <c r="A773" s="192"/>
      <c r="B773" s="192"/>
      <c r="C773" s="200"/>
      <c r="D773" s="200"/>
      <c r="E773" s="200"/>
      <c r="F773" s="200"/>
      <c r="G773" s="200"/>
      <c r="H773" s="200"/>
      <c r="I773" s="200"/>
      <c r="J773" s="200"/>
      <c r="K773" s="200"/>
      <c r="L773" s="200"/>
      <c r="M773" s="200"/>
      <c r="N773" s="200"/>
      <c r="O773" s="200"/>
    </row>
    <row r="774" spans="1:15" ht="15.75" customHeight="1" x14ac:dyDescent="0.25">
      <c r="A774" s="192"/>
      <c r="B774" s="192"/>
      <c r="C774" s="200"/>
      <c r="D774" s="200"/>
      <c r="E774" s="200"/>
      <c r="F774" s="200"/>
      <c r="G774" s="200"/>
      <c r="H774" s="200"/>
      <c r="I774" s="200"/>
      <c r="J774" s="200"/>
      <c r="K774" s="200"/>
      <c r="L774" s="200"/>
      <c r="M774" s="200"/>
      <c r="N774" s="200"/>
      <c r="O774" s="200"/>
    </row>
    <row r="775" spans="1:15" ht="15.75" customHeight="1" x14ac:dyDescent="0.25">
      <c r="A775" s="192"/>
      <c r="B775" s="192"/>
      <c r="C775" s="200"/>
      <c r="D775" s="200"/>
      <c r="E775" s="200"/>
      <c r="F775" s="200"/>
      <c r="G775" s="200"/>
      <c r="H775" s="200"/>
      <c r="I775" s="200"/>
      <c r="J775" s="200"/>
      <c r="K775" s="200"/>
      <c r="L775" s="200"/>
      <c r="M775" s="200"/>
      <c r="N775" s="200"/>
      <c r="O775" s="200"/>
    </row>
    <row r="776" spans="1:15" ht="15.75" customHeight="1" x14ac:dyDescent="0.25">
      <c r="A776" s="192"/>
      <c r="B776" s="192"/>
      <c r="C776" s="200"/>
      <c r="D776" s="200"/>
      <c r="E776" s="200"/>
      <c r="F776" s="200"/>
      <c r="G776" s="200"/>
      <c r="H776" s="200"/>
      <c r="I776" s="200"/>
      <c r="J776" s="200"/>
      <c r="K776" s="200"/>
      <c r="L776" s="200"/>
      <c r="M776" s="200"/>
      <c r="N776" s="200"/>
      <c r="O776" s="200"/>
    </row>
    <row r="777" spans="1:15" ht="15.75" customHeight="1" x14ac:dyDescent="0.25">
      <c r="A777" s="192"/>
      <c r="B777" s="192"/>
      <c r="C777" s="200"/>
      <c r="D777" s="200"/>
      <c r="E777" s="200"/>
      <c r="F777" s="200"/>
      <c r="G777" s="200"/>
      <c r="H777" s="200"/>
      <c r="I777" s="200"/>
      <c r="J777" s="200"/>
      <c r="K777" s="200"/>
      <c r="L777" s="200"/>
      <c r="M777" s="200"/>
      <c r="N777" s="200"/>
      <c r="O777" s="200"/>
    </row>
    <row r="778" spans="1:15" ht="15.75" customHeight="1" x14ac:dyDescent="0.25">
      <c r="A778" s="192"/>
      <c r="B778" s="192"/>
      <c r="C778" s="200"/>
      <c r="D778" s="200"/>
      <c r="E778" s="200"/>
      <c r="F778" s="200"/>
      <c r="G778" s="200"/>
      <c r="H778" s="200"/>
      <c r="I778" s="200"/>
      <c r="J778" s="200"/>
      <c r="K778" s="200"/>
      <c r="L778" s="200"/>
      <c r="M778" s="200"/>
      <c r="N778" s="200"/>
      <c r="O778" s="200"/>
    </row>
    <row r="779" spans="1:15" ht="15.75" customHeight="1" x14ac:dyDescent="0.25">
      <c r="A779" s="192"/>
      <c r="B779" s="192"/>
      <c r="C779" s="200"/>
      <c r="D779" s="200"/>
      <c r="E779" s="200"/>
      <c r="F779" s="200"/>
      <c r="G779" s="200"/>
      <c r="H779" s="200"/>
      <c r="I779" s="200"/>
      <c r="J779" s="200"/>
      <c r="K779" s="200"/>
      <c r="L779" s="200"/>
      <c r="M779" s="200"/>
      <c r="N779" s="200"/>
      <c r="O779" s="200"/>
    </row>
    <row r="780" spans="1:15" ht="15.75" customHeight="1" x14ac:dyDescent="0.25">
      <c r="A780" s="192"/>
      <c r="B780" s="192"/>
      <c r="C780" s="200"/>
      <c r="D780" s="200"/>
      <c r="E780" s="200"/>
      <c r="F780" s="200"/>
      <c r="G780" s="200"/>
      <c r="H780" s="200"/>
      <c r="I780" s="200"/>
      <c r="J780" s="200"/>
      <c r="K780" s="200"/>
      <c r="L780" s="200"/>
      <c r="M780" s="200"/>
      <c r="N780" s="200"/>
      <c r="O780" s="200"/>
    </row>
    <row r="781" spans="1:15" ht="15.75" customHeight="1" x14ac:dyDescent="0.25">
      <c r="A781" s="192"/>
      <c r="B781" s="192"/>
      <c r="C781" s="200"/>
      <c r="D781" s="200"/>
      <c r="E781" s="200"/>
      <c r="F781" s="200"/>
      <c r="G781" s="200"/>
      <c r="H781" s="200"/>
      <c r="I781" s="200"/>
      <c r="J781" s="200"/>
      <c r="K781" s="200"/>
      <c r="L781" s="200"/>
      <c r="M781" s="200"/>
      <c r="N781" s="200"/>
      <c r="O781" s="200"/>
    </row>
    <row r="782" spans="1:15" ht="15.75" customHeight="1" x14ac:dyDescent="0.25">
      <c r="A782" s="192"/>
      <c r="B782" s="192"/>
      <c r="C782" s="200"/>
      <c r="D782" s="200"/>
      <c r="E782" s="200"/>
      <c r="F782" s="200"/>
      <c r="G782" s="200"/>
      <c r="H782" s="200"/>
      <c r="I782" s="200"/>
      <c r="J782" s="200"/>
      <c r="K782" s="200"/>
      <c r="L782" s="200"/>
      <c r="M782" s="200"/>
      <c r="N782" s="200"/>
      <c r="O782" s="200"/>
    </row>
    <row r="783" spans="1:15" ht="15.75" customHeight="1" x14ac:dyDescent="0.25">
      <c r="A783" s="192"/>
      <c r="B783" s="192"/>
      <c r="C783" s="200"/>
      <c r="D783" s="200"/>
      <c r="E783" s="200"/>
      <c r="F783" s="200"/>
      <c r="G783" s="200"/>
      <c r="H783" s="200"/>
      <c r="I783" s="200"/>
      <c r="J783" s="200"/>
      <c r="K783" s="200"/>
      <c r="L783" s="200"/>
      <c r="M783" s="200"/>
      <c r="N783" s="200"/>
      <c r="O783" s="200"/>
    </row>
    <row r="784" spans="1:15" ht="15.75" customHeight="1" x14ac:dyDescent="0.25">
      <c r="A784" s="192"/>
      <c r="B784" s="192"/>
      <c r="C784" s="200"/>
      <c r="D784" s="200"/>
      <c r="E784" s="200"/>
      <c r="F784" s="200"/>
      <c r="G784" s="200"/>
      <c r="H784" s="200"/>
      <c r="I784" s="200"/>
      <c r="J784" s="200"/>
      <c r="K784" s="200"/>
      <c r="L784" s="200"/>
      <c r="M784" s="200"/>
      <c r="N784" s="200"/>
      <c r="O784" s="200"/>
    </row>
    <row r="785" spans="1:15" ht="15.75" customHeight="1" x14ac:dyDescent="0.25">
      <c r="A785" s="192"/>
      <c r="B785" s="192"/>
      <c r="C785" s="200"/>
      <c r="D785" s="200"/>
      <c r="E785" s="200"/>
      <c r="F785" s="200"/>
      <c r="G785" s="200"/>
      <c r="H785" s="200"/>
      <c r="I785" s="200"/>
      <c r="J785" s="200"/>
      <c r="K785" s="200"/>
      <c r="L785" s="200"/>
      <c r="M785" s="200"/>
      <c r="N785" s="200"/>
      <c r="O785" s="200"/>
    </row>
    <row r="786" spans="1:15" ht="15.75" customHeight="1" x14ac:dyDescent="0.25">
      <c r="A786" s="192"/>
      <c r="B786" s="192"/>
      <c r="C786" s="200"/>
      <c r="D786" s="200"/>
      <c r="E786" s="200"/>
      <c r="F786" s="200"/>
      <c r="G786" s="200"/>
      <c r="H786" s="200"/>
      <c r="I786" s="200"/>
      <c r="J786" s="200"/>
      <c r="K786" s="200"/>
      <c r="L786" s="200"/>
      <c r="M786" s="200"/>
      <c r="N786" s="200"/>
      <c r="O786" s="200"/>
    </row>
    <row r="787" spans="1:15" ht="15.75" customHeight="1" x14ac:dyDescent="0.25">
      <c r="A787" s="192"/>
      <c r="B787" s="192"/>
      <c r="C787" s="200"/>
      <c r="D787" s="200"/>
      <c r="E787" s="200"/>
      <c r="F787" s="200"/>
      <c r="G787" s="200"/>
      <c r="H787" s="200"/>
      <c r="I787" s="200"/>
      <c r="J787" s="200"/>
      <c r="K787" s="200"/>
      <c r="L787" s="200"/>
      <c r="M787" s="200"/>
      <c r="N787" s="200"/>
      <c r="O787" s="200"/>
    </row>
    <row r="788" spans="1:15" ht="15.75" customHeight="1" x14ac:dyDescent="0.25">
      <c r="A788" s="192"/>
      <c r="B788" s="192"/>
      <c r="C788" s="200"/>
      <c r="D788" s="200"/>
      <c r="E788" s="200"/>
      <c r="F788" s="200"/>
      <c r="G788" s="200"/>
      <c r="H788" s="200"/>
      <c r="I788" s="200"/>
      <c r="J788" s="200"/>
      <c r="K788" s="200"/>
      <c r="L788" s="200"/>
      <c r="M788" s="200"/>
      <c r="N788" s="200"/>
      <c r="O788" s="200"/>
    </row>
    <row r="789" spans="1:15" ht="15.75" customHeight="1" x14ac:dyDescent="0.25">
      <c r="A789" s="192"/>
      <c r="B789" s="192"/>
      <c r="C789" s="200"/>
      <c r="D789" s="200"/>
      <c r="E789" s="200"/>
      <c r="F789" s="200"/>
      <c r="G789" s="200"/>
      <c r="H789" s="200"/>
      <c r="I789" s="200"/>
      <c r="J789" s="200"/>
      <c r="K789" s="200"/>
      <c r="L789" s="200"/>
      <c r="M789" s="200"/>
      <c r="N789" s="200"/>
      <c r="O789" s="200"/>
    </row>
    <row r="790" spans="1:15" ht="15.75" customHeight="1" x14ac:dyDescent="0.25">
      <c r="A790" s="192"/>
      <c r="B790" s="192"/>
      <c r="C790" s="200"/>
      <c r="D790" s="200"/>
      <c r="E790" s="200"/>
      <c r="F790" s="200"/>
      <c r="G790" s="200"/>
      <c r="H790" s="200"/>
      <c r="I790" s="200"/>
      <c r="J790" s="200"/>
      <c r="K790" s="200"/>
      <c r="L790" s="200"/>
      <c r="M790" s="200"/>
      <c r="N790" s="200"/>
      <c r="O790" s="200"/>
    </row>
    <row r="791" spans="1:15" ht="15.75" customHeight="1" x14ac:dyDescent="0.25">
      <c r="A791" s="192"/>
      <c r="B791" s="192"/>
      <c r="C791" s="200"/>
      <c r="D791" s="200"/>
      <c r="E791" s="200"/>
      <c r="F791" s="200"/>
      <c r="G791" s="200"/>
      <c r="H791" s="200"/>
      <c r="I791" s="200"/>
      <c r="J791" s="200"/>
      <c r="K791" s="200"/>
      <c r="L791" s="200"/>
      <c r="M791" s="200"/>
      <c r="N791" s="200"/>
      <c r="O791" s="200"/>
    </row>
    <row r="792" spans="1:15" ht="15.75" customHeight="1" x14ac:dyDescent="0.25">
      <c r="A792" s="192"/>
      <c r="B792" s="192"/>
      <c r="C792" s="200"/>
      <c r="D792" s="200"/>
      <c r="E792" s="200"/>
      <c r="F792" s="200"/>
      <c r="G792" s="200"/>
      <c r="H792" s="200"/>
      <c r="I792" s="200"/>
      <c r="J792" s="200"/>
      <c r="K792" s="200"/>
      <c r="L792" s="200"/>
      <c r="M792" s="200"/>
      <c r="N792" s="200"/>
      <c r="O792" s="200"/>
    </row>
    <row r="793" spans="1:15" ht="15.75" customHeight="1" x14ac:dyDescent="0.25">
      <c r="A793" s="192"/>
      <c r="B793" s="192"/>
      <c r="C793" s="200"/>
      <c r="D793" s="200"/>
      <c r="E793" s="200"/>
      <c r="F793" s="200"/>
      <c r="G793" s="200"/>
      <c r="H793" s="200"/>
      <c r="I793" s="200"/>
      <c r="J793" s="200"/>
      <c r="K793" s="200"/>
      <c r="L793" s="200"/>
      <c r="M793" s="200"/>
      <c r="N793" s="200"/>
      <c r="O793" s="200"/>
    </row>
    <row r="794" spans="1:15" ht="15.75" customHeight="1" x14ac:dyDescent="0.25">
      <c r="A794" s="192"/>
      <c r="B794" s="192"/>
      <c r="C794" s="200"/>
      <c r="D794" s="200"/>
      <c r="E794" s="200"/>
      <c r="F794" s="200"/>
      <c r="G794" s="200"/>
      <c r="H794" s="200"/>
      <c r="I794" s="200"/>
      <c r="J794" s="200"/>
      <c r="K794" s="200"/>
      <c r="L794" s="200"/>
      <c r="M794" s="200"/>
      <c r="N794" s="200"/>
      <c r="O794" s="200"/>
    </row>
    <row r="795" spans="1:15" ht="15.75" customHeight="1" x14ac:dyDescent="0.25">
      <c r="A795" s="192"/>
      <c r="B795" s="192"/>
      <c r="C795" s="200"/>
      <c r="D795" s="200"/>
      <c r="E795" s="200"/>
      <c r="F795" s="200"/>
      <c r="G795" s="200"/>
      <c r="H795" s="200"/>
      <c r="I795" s="200"/>
      <c r="J795" s="200"/>
      <c r="K795" s="200"/>
      <c r="L795" s="200"/>
      <c r="M795" s="200"/>
      <c r="N795" s="200"/>
      <c r="O795" s="200"/>
    </row>
    <row r="796" spans="1:15" ht="15.75" customHeight="1" x14ac:dyDescent="0.25">
      <c r="A796" s="192"/>
      <c r="B796" s="192"/>
      <c r="C796" s="200"/>
      <c r="D796" s="200"/>
      <c r="E796" s="200"/>
      <c r="F796" s="200"/>
      <c r="G796" s="200"/>
      <c r="H796" s="200"/>
      <c r="I796" s="200"/>
      <c r="J796" s="200"/>
      <c r="K796" s="200"/>
      <c r="L796" s="200"/>
      <c r="M796" s="200"/>
      <c r="N796" s="200"/>
      <c r="O796" s="200"/>
    </row>
    <row r="797" spans="1:15" ht="15.75" customHeight="1" x14ac:dyDescent="0.25">
      <c r="A797" s="192"/>
      <c r="B797" s="192"/>
      <c r="C797" s="200"/>
      <c r="D797" s="200"/>
      <c r="E797" s="200"/>
      <c r="F797" s="200"/>
      <c r="G797" s="200"/>
      <c r="H797" s="200"/>
      <c r="I797" s="200"/>
      <c r="J797" s="200"/>
      <c r="K797" s="200"/>
      <c r="L797" s="200"/>
      <c r="M797" s="200"/>
      <c r="N797" s="200"/>
      <c r="O797" s="200"/>
    </row>
    <row r="798" spans="1:15" ht="15.75" customHeight="1" x14ac:dyDescent="0.25">
      <c r="A798" s="192"/>
      <c r="B798" s="192"/>
      <c r="C798" s="200"/>
      <c r="D798" s="200"/>
      <c r="E798" s="200"/>
      <c r="F798" s="200"/>
      <c r="G798" s="200"/>
      <c r="H798" s="200"/>
      <c r="I798" s="200"/>
      <c r="J798" s="200"/>
      <c r="K798" s="200"/>
      <c r="L798" s="200"/>
      <c r="M798" s="200"/>
      <c r="N798" s="200"/>
      <c r="O798" s="200"/>
    </row>
    <row r="799" spans="1:15" ht="15.75" customHeight="1" x14ac:dyDescent="0.25">
      <c r="A799" s="192"/>
      <c r="B799" s="192"/>
      <c r="C799" s="200"/>
      <c r="D799" s="200"/>
      <c r="E799" s="200"/>
      <c r="F799" s="200"/>
      <c r="G799" s="200"/>
      <c r="H799" s="200"/>
      <c r="I799" s="200"/>
      <c r="J799" s="200"/>
      <c r="K799" s="200"/>
      <c r="L799" s="200"/>
      <c r="M799" s="200"/>
      <c r="N799" s="200"/>
      <c r="O799" s="200"/>
    </row>
    <row r="800" spans="1:15" ht="15.75" customHeight="1" x14ac:dyDescent="0.25">
      <c r="A800" s="192"/>
      <c r="B800" s="192"/>
      <c r="C800" s="200"/>
      <c r="D800" s="200"/>
      <c r="E800" s="200"/>
      <c r="F800" s="200"/>
      <c r="G800" s="200"/>
      <c r="H800" s="200"/>
      <c r="I800" s="200"/>
      <c r="J800" s="200"/>
      <c r="K800" s="200"/>
      <c r="L800" s="200"/>
      <c r="M800" s="200"/>
      <c r="N800" s="200"/>
      <c r="O800" s="200"/>
    </row>
    <row r="801" spans="1:15" ht="15.75" customHeight="1" x14ac:dyDescent="0.25">
      <c r="A801" s="192"/>
      <c r="B801" s="192"/>
      <c r="C801" s="200"/>
      <c r="D801" s="200"/>
      <c r="E801" s="200"/>
      <c r="F801" s="200"/>
      <c r="G801" s="200"/>
      <c r="H801" s="200"/>
      <c r="I801" s="200"/>
      <c r="J801" s="200"/>
      <c r="K801" s="200"/>
      <c r="L801" s="200"/>
      <c r="M801" s="200"/>
      <c r="N801" s="200"/>
      <c r="O801" s="200"/>
    </row>
    <row r="802" spans="1:15" ht="15.75" customHeight="1" x14ac:dyDescent="0.25">
      <c r="A802" s="192"/>
      <c r="B802" s="192"/>
      <c r="C802" s="200"/>
      <c r="D802" s="200"/>
      <c r="E802" s="200"/>
      <c r="F802" s="200"/>
      <c r="G802" s="200"/>
      <c r="H802" s="200"/>
      <c r="I802" s="200"/>
      <c r="J802" s="200"/>
      <c r="K802" s="200"/>
      <c r="L802" s="200"/>
      <c r="M802" s="200"/>
      <c r="N802" s="200"/>
      <c r="O802" s="200"/>
    </row>
    <row r="803" spans="1:15" ht="15.75" customHeight="1" x14ac:dyDescent="0.25">
      <c r="A803" s="192"/>
      <c r="B803" s="192"/>
      <c r="C803" s="200"/>
      <c r="D803" s="200"/>
      <c r="E803" s="200"/>
      <c r="F803" s="200"/>
      <c r="G803" s="200"/>
      <c r="H803" s="200"/>
      <c r="I803" s="200"/>
      <c r="J803" s="200"/>
      <c r="K803" s="200"/>
      <c r="L803" s="200"/>
      <c r="M803" s="200"/>
      <c r="N803" s="200"/>
      <c r="O803" s="200"/>
    </row>
    <row r="804" spans="1:15" ht="15.75" customHeight="1" x14ac:dyDescent="0.25">
      <c r="A804" s="192"/>
      <c r="B804" s="192"/>
      <c r="C804" s="200"/>
      <c r="D804" s="200"/>
      <c r="E804" s="200"/>
      <c r="F804" s="200"/>
      <c r="G804" s="200"/>
      <c r="H804" s="200"/>
      <c r="I804" s="200"/>
      <c r="J804" s="200"/>
      <c r="K804" s="200"/>
      <c r="L804" s="200"/>
      <c r="M804" s="200"/>
      <c r="N804" s="200"/>
      <c r="O804" s="200"/>
    </row>
    <row r="805" spans="1:15" ht="15.75" customHeight="1" x14ac:dyDescent="0.25">
      <c r="A805" s="192"/>
      <c r="B805" s="192"/>
      <c r="C805" s="200"/>
      <c r="D805" s="200"/>
      <c r="E805" s="200"/>
      <c r="F805" s="200"/>
      <c r="G805" s="200"/>
      <c r="H805" s="200"/>
      <c r="I805" s="200"/>
      <c r="J805" s="200"/>
      <c r="K805" s="200"/>
      <c r="L805" s="200"/>
      <c r="M805" s="200"/>
      <c r="N805" s="200"/>
      <c r="O805" s="200"/>
    </row>
    <row r="806" spans="1:15" ht="15.75" customHeight="1" x14ac:dyDescent="0.25">
      <c r="A806" s="192"/>
      <c r="B806" s="192"/>
      <c r="C806" s="200"/>
      <c r="D806" s="200"/>
      <c r="E806" s="200"/>
      <c r="F806" s="200"/>
      <c r="G806" s="200"/>
      <c r="H806" s="200"/>
      <c r="I806" s="200"/>
      <c r="J806" s="200"/>
      <c r="K806" s="200"/>
      <c r="L806" s="200"/>
      <c r="M806" s="200"/>
      <c r="N806" s="200"/>
      <c r="O806" s="200"/>
    </row>
    <row r="807" spans="1:15" ht="15.75" customHeight="1" x14ac:dyDescent="0.25">
      <c r="A807" s="192"/>
      <c r="B807" s="192"/>
      <c r="C807" s="200"/>
      <c r="D807" s="200"/>
      <c r="E807" s="200"/>
      <c r="F807" s="200"/>
      <c r="G807" s="200"/>
      <c r="H807" s="200"/>
      <c r="I807" s="200"/>
      <c r="J807" s="200"/>
      <c r="K807" s="200"/>
      <c r="L807" s="200"/>
      <c r="M807" s="200"/>
      <c r="N807" s="200"/>
      <c r="O807" s="200"/>
    </row>
    <row r="808" spans="1:15" ht="15.75" customHeight="1" x14ac:dyDescent="0.25">
      <c r="A808" s="192"/>
      <c r="B808" s="192"/>
      <c r="C808" s="200"/>
      <c r="D808" s="200"/>
      <c r="E808" s="200"/>
      <c r="F808" s="200"/>
      <c r="G808" s="200"/>
      <c r="H808" s="200"/>
      <c r="I808" s="200"/>
      <c r="J808" s="200"/>
      <c r="K808" s="200"/>
      <c r="L808" s="200"/>
      <c r="M808" s="200"/>
      <c r="N808" s="200"/>
      <c r="O808" s="200"/>
    </row>
    <row r="809" spans="1:15" ht="15.75" customHeight="1" x14ac:dyDescent="0.25">
      <c r="A809" s="192"/>
      <c r="B809" s="192"/>
      <c r="C809" s="200"/>
      <c r="D809" s="200"/>
      <c r="E809" s="200"/>
      <c r="F809" s="200"/>
      <c r="G809" s="200"/>
      <c r="H809" s="200"/>
      <c r="I809" s="200"/>
      <c r="J809" s="200"/>
      <c r="K809" s="200"/>
      <c r="L809" s="200"/>
      <c r="M809" s="200"/>
      <c r="N809" s="200"/>
      <c r="O809" s="200"/>
    </row>
    <row r="810" spans="1:15" ht="15.75" customHeight="1" x14ac:dyDescent="0.25">
      <c r="A810" s="192"/>
      <c r="B810" s="192"/>
      <c r="C810" s="200"/>
      <c r="D810" s="200"/>
      <c r="E810" s="200"/>
      <c r="F810" s="200"/>
      <c r="G810" s="200"/>
      <c r="H810" s="200"/>
      <c r="I810" s="200"/>
      <c r="J810" s="200"/>
      <c r="K810" s="200"/>
      <c r="L810" s="200"/>
      <c r="M810" s="200"/>
      <c r="N810" s="200"/>
      <c r="O810" s="200"/>
    </row>
    <row r="811" spans="1:15" ht="15.75" customHeight="1" x14ac:dyDescent="0.25">
      <c r="A811" s="192"/>
      <c r="B811" s="192"/>
      <c r="C811" s="200"/>
      <c r="D811" s="200"/>
      <c r="E811" s="200"/>
      <c r="F811" s="200"/>
      <c r="G811" s="200"/>
      <c r="H811" s="200"/>
      <c r="I811" s="200"/>
      <c r="J811" s="200"/>
      <c r="K811" s="200"/>
      <c r="L811" s="200"/>
      <c r="M811" s="200"/>
      <c r="N811" s="200"/>
      <c r="O811" s="200"/>
    </row>
    <row r="812" spans="1:15" ht="15.75" customHeight="1" x14ac:dyDescent="0.25">
      <c r="A812" s="192"/>
      <c r="B812" s="192"/>
      <c r="C812" s="200"/>
      <c r="D812" s="200"/>
      <c r="E812" s="200"/>
      <c r="F812" s="200"/>
      <c r="G812" s="200"/>
      <c r="H812" s="200"/>
      <c r="I812" s="200"/>
      <c r="J812" s="200"/>
      <c r="K812" s="200"/>
      <c r="L812" s="200"/>
      <c r="M812" s="200"/>
      <c r="N812" s="200"/>
      <c r="O812" s="200"/>
    </row>
    <row r="813" spans="1:15" ht="15.75" customHeight="1" x14ac:dyDescent="0.25">
      <c r="A813" s="192"/>
      <c r="B813" s="192"/>
      <c r="C813" s="200"/>
      <c r="D813" s="200"/>
      <c r="E813" s="200"/>
      <c r="F813" s="200"/>
      <c r="G813" s="200"/>
      <c r="H813" s="200"/>
      <c r="I813" s="200"/>
      <c r="J813" s="200"/>
      <c r="K813" s="200"/>
      <c r="L813" s="200"/>
      <c r="M813" s="200"/>
      <c r="N813" s="200"/>
      <c r="O813" s="200"/>
    </row>
    <row r="814" spans="1:15" ht="15.75" customHeight="1" x14ac:dyDescent="0.25">
      <c r="A814" s="192"/>
      <c r="B814" s="192"/>
      <c r="C814" s="200"/>
      <c r="D814" s="200"/>
      <c r="E814" s="200"/>
      <c r="F814" s="200"/>
      <c r="G814" s="200"/>
      <c r="H814" s="200"/>
      <c r="I814" s="200"/>
      <c r="J814" s="200"/>
      <c r="K814" s="200"/>
      <c r="L814" s="200"/>
      <c r="M814" s="200"/>
      <c r="N814" s="200"/>
      <c r="O814" s="200"/>
    </row>
    <row r="815" spans="1:15" ht="15.75" customHeight="1" x14ac:dyDescent="0.25">
      <c r="A815" s="192"/>
      <c r="B815" s="192"/>
      <c r="C815" s="200"/>
      <c r="D815" s="200"/>
      <c r="E815" s="200"/>
      <c r="F815" s="200"/>
      <c r="G815" s="200"/>
      <c r="H815" s="200"/>
      <c r="I815" s="200"/>
      <c r="J815" s="200"/>
      <c r="K815" s="200"/>
      <c r="L815" s="200"/>
      <c r="M815" s="200"/>
      <c r="N815" s="200"/>
      <c r="O815" s="200"/>
    </row>
    <row r="816" spans="1:15" ht="15.75" customHeight="1" x14ac:dyDescent="0.25">
      <c r="A816" s="192"/>
      <c r="B816" s="192"/>
      <c r="C816" s="200"/>
      <c r="D816" s="200"/>
      <c r="E816" s="200"/>
      <c r="F816" s="200"/>
      <c r="G816" s="200"/>
      <c r="H816" s="200"/>
      <c r="I816" s="200"/>
      <c r="J816" s="200"/>
      <c r="K816" s="200"/>
      <c r="L816" s="200"/>
      <c r="M816" s="200"/>
      <c r="N816" s="200"/>
      <c r="O816" s="200"/>
    </row>
    <row r="817" spans="1:15" ht="15.75" customHeight="1" x14ac:dyDescent="0.25">
      <c r="A817" s="192"/>
      <c r="B817" s="192"/>
      <c r="C817" s="200"/>
      <c r="D817" s="200"/>
      <c r="E817" s="200"/>
      <c r="F817" s="200"/>
      <c r="G817" s="200"/>
      <c r="H817" s="200"/>
      <c r="I817" s="200"/>
      <c r="J817" s="200"/>
      <c r="K817" s="200"/>
      <c r="L817" s="200"/>
      <c r="M817" s="200"/>
      <c r="N817" s="200"/>
      <c r="O817" s="200"/>
    </row>
    <row r="818" spans="1:15" ht="15.75" customHeight="1" x14ac:dyDescent="0.25">
      <c r="A818" s="192"/>
      <c r="B818" s="192"/>
      <c r="C818" s="200"/>
      <c r="D818" s="200"/>
      <c r="E818" s="200"/>
      <c r="F818" s="200"/>
      <c r="G818" s="200"/>
      <c r="H818" s="200"/>
      <c r="I818" s="200"/>
      <c r="J818" s="200"/>
      <c r="K818" s="200"/>
      <c r="L818" s="200"/>
      <c r="M818" s="200"/>
      <c r="N818" s="200"/>
      <c r="O818" s="200"/>
    </row>
    <row r="819" spans="1:15" ht="15.75" customHeight="1" x14ac:dyDescent="0.25">
      <c r="A819" s="192"/>
      <c r="B819" s="192"/>
      <c r="C819" s="200"/>
      <c r="D819" s="200"/>
      <c r="E819" s="200"/>
      <c r="F819" s="200"/>
      <c r="G819" s="200"/>
      <c r="H819" s="200"/>
      <c r="I819" s="200"/>
      <c r="J819" s="200"/>
      <c r="K819" s="200"/>
      <c r="L819" s="200"/>
      <c r="M819" s="200"/>
      <c r="N819" s="200"/>
      <c r="O819" s="200"/>
    </row>
    <row r="820" spans="1:15" ht="15.75" customHeight="1" x14ac:dyDescent="0.25">
      <c r="A820" s="192"/>
      <c r="B820" s="192"/>
      <c r="C820" s="200"/>
      <c r="D820" s="200"/>
      <c r="E820" s="200"/>
      <c r="F820" s="200"/>
      <c r="G820" s="200"/>
      <c r="H820" s="200"/>
      <c r="I820" s="200"/>
      <c r="J820" s="200"/>
      <c r="K820" s="200"/>
      <c r="L820" s="200"/>
      <c r="M820" s="200"/>
      <c r="N820" s="200"/>
      <c r="O820" s="200"/>
    </row>
    <row r="821" spans="1:15" ht="15.75" customHeight="1" x14ac:dyDescent="0.25">
      <c r="A821" s="192"/>
      <c r="B821" s="192"/>
      <c r="C821" s="200"/>
      <c r="D821" s="200"/>
      <c r="E821" s="200"/>
      <c r="F821" s="200"/>
      <c r="G821" s="200"/>
      <c r="H821" s="200"/>
      <c r="I821" s="200"/>
      <c r="J821" s="200"/>
      <c r="K821" s="200"/>
      <c r="L821" s="200"/>
      <c r="M821" s="200"/>
      <c r="N821" s="200"/>
      <c r="O821" s="200"/>
    </row>
    <row r="822" spans="1:15" ht="15.75" customHeight="1" x14ac:dyDescent="0.25">
      <c r="A822" s="192"/>
      <c r="B822" s="192"/>
      <c r="C822" s="200"/>
      <c r="D822" s="200"/>
      <c r="E822" s="200"/>
      <c r="F822" s="200"/>
      <c r="G822" s="200"/>
      <c r="H822" s="200"/>
      <c r="I822" s="200"/>
      <c r="J822" s="200"/>
      <c r="K822" s="200"/>
      <c r="L822" s="200"/>
      <c r="M822" s="200"/>
      <c r="N822" s="200"/>
      <c r="O822" s="200"/>
    </row>
    <row r="823" spans="1:15" ht="15.75" customHeight="1" x14ac:dyDescent="0.25">
      <c r="A823" s="192"/>
      <c r="B823" s="192"/>
      <c r="C823" s="200"/>
      <c r="D823" s="200"/>
      <c r="E823" s="200"/>
      <c r="F823" s="200"/>
      <c r="G823" s="200"/>
      <c r="H823" s="200"/>
      <c r="I823" s="200"/>
      <c r="J823" s="200"/>
      <c r="K823" s="200"/>
      <c r="L823" s="200"/>
      <c r="M823" s="200"/>
      <c r="N823" s="200"/>
      <c r="O823" s="200"/>
    </row>
    <row r="824" spans="1:15" ht="15.75" customHeight="1" x14ac:dyDescent="0.25">
      <c r="A824" s="192"/>
      <c r="B824" s="192"/>
      <c r="C824" s="200"/>
      <c r="D824" s="200"/>
      <c r="E824" s="200"/>
      <c r="F824" s="200"/>
      <c r="G824" s="200"/>
      <c r="H824" s="200"/>
      <c r="I824" s="200"/>
      <c r="J824" s="200"/>
      <c r="K824" s="200"/>
      <c r="L824" s="200"/>
      <c r="M824" s="200"/>
      <c r="N824" s="200"/>
      <c r="O824" s="200"/>
    </row>
    <row r="825" spans="1:15" ht="15.75" customHeight="1" x14ac:dyDescent="0.25">
      <c r="A825" s="192"/>
      <c r="B825" s="192"/>
      <c r="C825" s="200"/>
      <c r="D825" s="200"/>
      <c r="E825" s="200"/>
      <c r="F825" s="200"/>
      <c r="G825" s="200"/>
      <c r="H825" s="200"/>
      <c r="I825" s="200"/>
      <c r="J825" s="200"/>
      <c r="K825" s="200"/>
      <c r="L825" s="200"/>
      <c r="M825" s="200"/>
      <c r="N825" s="200"/>
      <c r="O825" s="200"/>
    </row>
    <row r="826" spans="1:15" ht="15.75" customHeight="1" x14ac:dyDescent="0.25">
      <c r="A826" s="192"/>
      <c r="B826" s="192"/>
      <c r="C826" s="200"/>
      <c r="D826" s="200"/>
      <c r="E826" s="200"/>
      <c r="F826" s="200"/>
      <c r="G826" s="200"/>
      <c r="H826" s="200"/>
      <c r="I826" s="200"/>
      <c r="J826" s="200"/>
      <c r="K826" s="200"/>
      <c r="L826" s="200"/>
      <c r="M826" s="200"/>
      <c r="N826" s="200"/>
      <c r="O826" s="200"/>
    </row>
    <row r="827" spans="1:15" ht="15.75" customHeight="1" x14ac:dyDescent="0.25">
      <c r="A827" s="192"/>
      <c r="B827" s="192"/>
      <c r="C827" s="200"/>
      <c r="D827" s="200"/>
      <c r="E827" s="200"/>
      <c r="F827" s="200"/>
      <c r="G827" s="200"/>
      <c r="H827" s="200"/>
      <c r="I827" s="200"/>
      <c r="J827" s="200"/>
      <c r="K827" s="200"/>
      <c r="L827" s="200"/>
      <c r="M827" s="200"/>
      <c r="N827" s="200"/>
      <c r="O827" s="200"/>
    </row>
    <row r="828" spans="1:15" ht="15.75" customHeight="1" x14ac:dyDescent="0.25">
      <c r="A828" s="192"/>
      <c r="B828" s="192"/>
      <c r="C828" s="200"/>
      <c r="D828" s="200"/>
      <c r="E828" s="200"/>
      <c r="F828" s="200"/>
      <c r="G828" s="200"/>
      <c r="H828" s="200"/>
      <c r="I828" s="200"/>
      <c r="J828" s="200"/>
      <c r="K828" s="200"/>
      <c r="L828" s="200"/>
      <c r="M828" s="200"/>
      <c r="N828" s="200"/>
      <c r="O828" s="200"/>
    </row>
    <row r="829" spans="1:15" ht="15.75" customHeight="1" x14ac:dyDescent="0.25">
      <c r="A829" s="192"/>
      <c r="B829" s="192"/>
      <c r="C829" s="200"/>
      <c r="D829" s="200"/>
      <c r="E829" s="200"/>
      <c r="F829" s="200"/>
      <c r="G829" s="200"/>
      <c r="H829" s="200"/>
      <c r="I829" s="200"/>
      <c r="J829" s="200"/>
      <c r="K829" s="200"/>
      <c r="L829" s="200"/>
      <c r="M829" s="200"/>
      <c r="N829" s="200"/>
      <c r="O829" s="200"/>
    </row>
    <row r="830" spans="1:15" ht="15.75" customHeight="1" x14ac:dyDescent="0.25">
      <c r="A830" s="192"/>
      <c r="B830" s="192"/>
      <c r="C830" s="200"/>
      <c r="D830" s="200"/>
      <c r="E830" s="200"/>
      <c r="F830" s="200"/>
      <c r="G830" s="200"/>
      <c r="H830" s="200"/>
      <c r="I830" s="200"/>
      <c r="J830" s="200"/>
      <c r="K830" s="200"/>
      <c r="L830" s="200"/>
      <c r="M830" s="200"/>
      <c r="N830" s="200"/>
      <c r="O830" s="200"/>
    </row>
    <row r="831" spans="1:15" ht="15.75" customHeight="1" x14ac:dyDescent="0.25">
      <c r="A831" s="192"/>
      <c r="B831" s="192"/>
      <c r="C831" s="200"/>
      <c r="D831" s="200"/>
      <c r="E831" s="200"/>
      <c r="F831" s="200"/>
      <c r="G831" s="200"/>
      <c r="H831" s="200"/>
      <c r="I831" s="200"/>
      <c r="J831" s="200"/>
      <c r="K831" s="200"/>
      <c r="L831" s="200"/>
      <c r="M831" s="200"/>
      <c r="N831" s="200"/>
      <c r="O831" s="200"/>
    </row>
    <row r="832" spans="1:15" ht="15.75" customHeight="1" x14ac:dyDescent="0.25">
      <c r="A832" s="192"/>
      <c r="B832" s="192"/>
      <c r="C832" s="200"/>
      <c r="D832" s="200"/>
      <c r="E832" s="200"/>
      <c r="F832" s="200"/>
      <c r="G832" s="200"/>
      <c r="H832" s="200"/>
      <c r="I832" s="200"/>
      <c r="J832" s="200"/>
      <c r="K832" s="200"/>
      <c r="L832" s="200"/>
      <c r="M832" s="200"/>
      <c r="N832" s="200"/>
      <c r="O832" s="200"/>
    </row>
    <row r="833" spans="1:15" ht="15.75" customHeight="1" x14ac:dyDescent="0.25">
      <c r="A833" s="192"/>
      <c r="B833" s="192"/>
      <c r="C833" s="200"/>
      <c r="D833" s="200"/>
      <c r="E833" s="200"/>
      <c r="F833" s="200"/>
      <c r="G833" s="200"/>
      <c r="H833" s="200"/>
      <c r="I833" s="200"/>
      <c r="J833" s="200"/>
      <c r="K833" s="200"/>
      <c r="L833" s="200"/>
      <c r="M833" s="200"/>
      <c r="N833" s="200"/>
      <c r="O833" s="200"/>
    </row>
    <row r="834" spans="1:15" ht="15.75" customHeight="1" x14ac:dyDescent="0.25">
      <c r="A834" s="192"/>
      <c r="B834" s="192"/>
      <c r="C834" s="200"/>
      <c r="D834" s="200"/>
      <c r="E834" s="200"/>
      <c r="F834" s="200"/>
      <c r="G834" s="200"/>
      <c r="H834" s="200"/>
      <c r="I834" s="200"/>
      <c r="J834" s="200"/>
      <c r="K834" s="200"/>
      <c r="L834" s="200"/>
      <c r="M834" s="200"/>
      <c r="N834" s="200"/>
      <c r="O834" s="200"/>
    </row>
    <row r="835" spans="1:15" ht="15.75" customHeight="1" x14ac:dyDescent="0.25">
      <c r="A835" s="192"/>
      <c r="B835" s="192"/>
      <c r="C835" s="200"/>
      <c r="D835" s="200"/>
      <c r="E835" s="200"/>
      <c r="F835" s="200"/>
      <c r="G835" s="200"/>
      <c r="H835" s="200"/>
      <c r="I835" s="200"/>
      <c r="J835" s="200"/>
      <c r="K835" s="200"/>
      <c r="L835" s="200"/>
      <c r="M835" s="200"/>
      <c r="N835" s="200"/>
      <c r="O835" s="200"/>
    </row>
    <row r="836" spans="1:15" ht="15.75" customHeight="1" x14ac:dyDescent="0.25">
      <c r="A836" s="192"/>
      <c r="B836" s="192"/>
      <c r="C836" s="200"/>
      <c r="D836" s="200"/>
      <c r="E836" s="200"/>
      <c r="F836" s="200"/>
      <c r="G836" s="200"/>
      <c r="H836" s="200"/>
      <c r="I836" s="200"/>
      <c r="J836" s="200"/>
      <c r="K836" s="200"/>
      <c r="L836" s="200"/>
      <c r="M836" s="200"/>
      <c r="N836" s="200"/>
      <c r="O836" s="200"/>
    </row>
    <row r="837" spans="1:15" ht="15.75" customHeight="1" x14ac:dyDescent="0.25">
      <c r="A837" s="192"/>
      <c r="B837" s="192"/>
      <c r="C837" s="200"/>
      <c r="D837" s="200"/>
      <c r="E837" s="200"/>
      <c r="F837" s="200"/>
      <c r="G837" s="200"/>
      <c r="H837" s="200"/>
      <c r="I837" s="200"/>
      <c r="J837" s="200"/>
      <c r="K837" s="200"/>
      <c r="L837" s="200"/>
      <c r="M837" s="200"/>
      <c r="N837" s="200"/>
      <c r="O837" s="200"/>
    </row>
    <row r="838" spans="1:15" ht="15.75" customHeight="1" x14ac:dyDescent="0.25">
      <c r="A838" s="192"/>
      <c r="B838" s="192"/>
      <c r="C838" s="200"/>
      <c r="D838" s="200"/>
      <c r="E838" s="200"/>
      <c r="F838" s="200"/>
      <c r="G838" s="200"/>
      <c r="H838" s="200"/>
      <c r="I838" s="200"/>
      <c r="J838" s="200"/>
      <c r="K838" s="200"/>
      <c r="L838" s="200"/>
      <c r="M838" s="200"/>
      <c r="N838" s="200"/>
      <c r="O838" s="200"/>
    </row>
    <row r="839" spans="1:15" ht="15.75" customHeight="1" x14ac:dyDescent="0.25">
      <c r="A839" s="192"/>
      <c r="B839" s="192"/>
      <c r="C839" s="200"/>
      <c r="D839" s="200"/>
      <c r="E839" s="200"/>
      <c r="F839" s="200"/>
      <c r="G839" s="200"/>
      <c r="H839" s="200"/>
      <c r="I839" s="200"/>
      <c r="J839" s="200"/>
      <c r="K839" s="200"/>
      <c r="L839" s="200"/>
      <c r="M839" s="200"/>
      <c r="N839" s="200"/>
      <c r="O839" s="200"/>
    </row>
    <row r="840" spans="1:15" ht="15.75" customHeight="1" x14ac:dyDescent="0.25">
      <c r="A840" s="192"/>
      <c r="B840" s="192"/>
      <c r="C840" s="200"/>
      <c r="D840" s="200"/>
      <c r="E840" s="200"/>
      <c r="F840" s="200"/>
      <c r="G840" s="200"/>
      <c r="H840" s="200"/>
      <c r="I840" s="200"/>
      <c r="J840" s="200"/>
      <c r="K840" s="200"/>
      <c r="L840" s="200"/>
      <c r="M840" s="200"/>
      <c r="N840" s="200"/>
      <c r="O840" s="200"/>
    </row>
    <row r="841" spans="1:15" ht="15.75" customHeight="1" x14ac:dyDescent="0.25">
      <c r="A841" s="192"/>
      <c r="B841" s="192"/>
      <c r="C841" s="200"/>
      <c r="D841" s="200"/>
      <c r="E841" s="200"/>
      <c r="F841" s="200"/>
      <c r="G841" s="200"/>
      <c r="H841" s="200"/>
      <c r="I841" s="200"/>
      <c r="J841" s="200"/>
      <c r="K841" s="200"/>
      <c r="L841" s="200"/>
      <c r="M841" s="200"/>
      <c r="N841" s="200"/>
      <c r="O841" s="200"/>
    </row>
    <row r="842" spans="1:15" ht="15.75" customHeight="1" x14ac:dyDescent="0.25">
      <c r="A842" s="192"/>
      <c r="B842" s="192"/>
      <c r="C842" s="200"/>
      <c r="D842" s="200"/>
      <c r="E842" s="200"/>
      <c r="F842" s="200"/>
      <c r="G842" s="200"/>
      <c r="H842" s="200"/>
      <c r="I842" s="200"/>
      <c r="J842" s="200"/>
      <c r="K842" s="200"/>
      <c r="L842" s="200"/>
      <c r="M842" s="200"/>
      <c r="N842" s="200"/>
      <c r="O842" s="200"/>
    </row>
    <row r="843" spans="1:15" ht="15.75" customHeight="1" x14ac:dyDescent="0.25">
      <c r="A843" s="192"/>
      <c r="B843" s="192"/>
      <c r="C843" s="200"/>
      <c r="D843" s="200"/>
      <c r="E843" s="200"/>
      <c r="F843" s="200"/>
      <c r="G843" s="200"/>
      <c r="H843" s="200"/>
      <c r="I843" s="200"/>
      <c r="J843" s="200"/>
      <c r="K843" s="200"/>
      <c r="L843" s="200"/>
      <c r="M843" s="200"/>
      <c r="N843" s="200"/>
      <c r="O843" s="200"/>
    </row>
    <row r="844" spans="1:15" ht="15.75" customHeight="1" x14ac:dyDescent="0.25">
      <c r="A844" s="192"/>
      <c r="B844" s="192"/>
      <c r="C844" s="200"/>
      <c r="D844" s="200"/>
      <c r="E844" s="200"/>
      <c r="F844" s="200"/>
      <c r="G844" s="200"/>
      <c r="H844" s="200"/>
      <c r="I844" s="200"/>
      <c r="J844" s="200"/>
      <c r="K844" s="200"/>
      <c r="L844" s="200"/>
      <c r="M844" s="200"/>
      <c r="N844" s="200"/>
      <c r="O844" s="200"/>
    </row>
    <row r="845" spans="1:15" ht="15.75" customHeight="1" x14ac:dyDescent="0.25">
      <c r="A845" s="192"/>
      <c r="B845" s="192"/>
      <c r="C845" s="200"/>
      <c r="D845" s="200"/>
      <c r="E845" s="200"/>
      <c r="F845" s="200"/>
      <c r="G845" s="200"/>
      <c r="H845" s="200"/>
      <c r="I845" s="200"/>
      <c r="J845" s="200"/>
      <c r="K845" s="200"/>
      <c r="L845" s="200"/>
      <c r="M845" s="200"/>
      <c r="N845" s="200"/>
      <c r="O845" s="200"/>
    </row>
    <row r="846" spans="1:15" ht="15.75" customHeight="1" x14ac:dyDescent="0.25">
      <c r="A846" s="192"/>
      <c r="B846" s="192"/>
      <c r="C846" s="200"/>
      <c r="D846" s="200"/>
      <c r="E846" s="200"/>
      <c r="F846" s="200"/>
      <c r="G846" s="200"/>
      <c r="H846" s="200"/>
      <c r="I846" s="200"/>
      <c r="J846" s="200"/>
      <c r="K846" s="200"/>
      <c r="L846" s="200"/>
      <c r="M846" s="200"/>
      <c r="N846" s="200"/>
      <c r="O846" s="200"/>
    </row>
    <row r="847" spans="1:15" ht="15.75" customHeight="1" x14ac:dyDescent="0.25">
      <c r="A847" s="192"/>
      <c r="B847" s="192"/>
      <c r="C847" s="200"/>
      <c r="D847" s="200"/>
      <c r="E847" s="200"/>
      <c r="F847" s="200"/>
      <c r="G847" s="200"/>
      <c r="H847" s="200"/>
      <c r="I847" s="200"/>
      <c r="J847" s="200"/>
      <c r="K847" s="200"/>
      <c r="L847" s="200"/>
      <c r="M847" s="200"/>
      <c r="N847" s="200"/>
      <c r="O847" s="200"/>
    </row>
    <row r="848" spans="1:15" ht="15.75" customHeight="1" x14ac:dyDescent="0.25">
      <c r="A848" s="192"/>
      <c r="B848" s="192"/>
      <c r="C848" s="200"/>
      <c r="D848" s="200"/>
      <c r="E848" s="200"/>
      <c r="F848" s="200"/>
      <c r="G848" s="200"/>
      <c r="H848" s="200"/>
      <c r="I848" s="200"/>
      <c r="J848" s="200"/>
      <c r="K848" s="200"/>
      <c r="L848" s="200"/>
      <c r="M848" s="200"/>
      <c r="N848" s="200"/>
      <c r="O848" s="200"/>
    </row>
    <row r="849" spans="1:15" ht="15.75" customHeight="1" x14ac:dyDescent="0.25">
      <c r="A849" s="192"/>
      <c r="B849" s="192"/>
      <c r="C849" s="200"/>
      <c r="D849" s="200"/>
      <c r="E849" s="200"/>
      <c r="F849" s="200"/>
      <c r="G849" s="200"/>
      <c r="H849" s="200"/>
      <c r="I849" s="200"/>
      <c r="J849" s="200"/>
      <c r="K849" s="200"/>
      <c r="L849" s="200"/>
      <c r="M849" s="200"/>
      <c r="N849" s="200"/>
      <c r="O849" s="200"/>
    </row>
    <row r="850" spans="1:15" ht="15.75" customHeight="1" x14ac:dyDescent="0.25">
      <c r="A850" s="192"/>
      <c r="B850" s="192"/>
      <c r="C850" s="200"/>
      <c r="D850" s="200"/>
      <c r="E850" s="200"/>
      <c r="F850" s="200"/>
      <c r="G850" s="200"/>
      <c r="H850" s="200"/>
      <c r="I850" s="200"/>
      <c r="J850" s="200"/>
      <c r="K850" s="200"/>
      <c r="L850" s="200"/>
      <c r="M850" s="200"/>
      <c r="N850" s="200"/>
      <c r="O850" s="200"/>
    </row>
    <row r="851" spans="1:15" ht="15.75" customHeight="1" x14ac:dyDescent="0.25">
      <c r="A851" s="192"/>
      <c r="B851" s="192"/>
      <c r="C851" s="200"/>
      <c r="D851" s="200"/>
      <c r="E851" s="200"/>
      <c r="F851" s="200"/>
      <c r="G851" s="200"/>
      <c r="H851" s="200"/>
      <c r="I851" s="200"/>
      <c r="J851" s="200"/>
      <c r="K851" s="200"/>
      <c r="L851" s="200"/>
      <c r="M851" s="200"/>
      <c r="N851" s="200"/>
      <c r="O851" s="200"/>
    </row>
    <row r="852" spans="1:15" ht="15.75" customHeight="1" x14ac:dyDescent="0.25">
      <c r="A852" s="192"/>
      <c r="B852" s="192"/>
      <c r="C852" s="200"/>
      <c r="D852" s="200"/>
      <c r="E852" s="200"/>
      <c r="F852" s="200"/>
      <c r="G852" s="200"/>
      <c r="H852" s="200"/>
      <c r="I852" s="200"/>
      <c r="J852" s="200"/>
      <c r="K852" s="200"/>
      <c r="L852" s="200"/>
      <c r="M852" s="200"/>
      <c r="N852" s="200"/>
      <c r="O852" s="200"/>
    </row>
    <row r="853" spans="1:15" ht="15.75" customHeight="1" x14ac:dyDescent="0.25">
      <c r="A853" s="192"/>
      <c r="B853" s="192"/>
      <c r="C853" s="200"/>
      <c r="D853" s="200"/>
      <c r="E853" s="200"/>
      <c r="F853" s="200"/>
      <c r="G853" s="200"/>
      <c r="H853" s="200"/>
      <c r="I853" s="200"/>
      <c r="J853" s="200"/>
      <c r="K853" s="200"/>
      <c r="L853" s="200"/>
      <c r="M853" s="200"/>
      <c r="N853" s="200"/>
      <c r="O853" s="200"/>
    </row>
    <row r="854" spans="1:15" ht="15.75" customHeight="1" x14ac:dyDescent="0.25">
      <c r="A854" s="192"/>
      <c r="B854" s="192"/>
      <c r="C854" s="200"/>
      <c r="D854" s="200"/>
      <c r="E854" s="200"/>
      <c r="F854" s="200"/>
      <c r="G854" s="200"/>
      <c r="H854" s="200"/>
      <c r="I854" s="200"/>
      <c r="J854" s="200"/>
      <c r="K854" s="200"/>
      <c r="L854" s="200"/>
      <c r="M854" s="200"/>
      <c r="N854" s="200"/>
      <c r="O854" s="200"/>
    </row>
    <row r="855" spans="1:15" ht="15.75" customHeight="1" x14ac:dyDescent="0.25">
      <c r="A855" s="192"/>
      <c r="B855" s="192"/>
      <c r="C855" s="200"/>
      <c r="D855" s="200"/>
      <c r="E855" s="200"/>
      <c r="F855" s="200"/>
      <c r="G855" s="200"/>
      <c r="H855" s="200"/>
      <c r="I855" s="200"/>
      <c r="J855" s="200"/>
      <c r="K855" s="200"/>
      <c r="L855" s="200"/>
      <c r="M855" s="200"/>
      <c r="N855" s="200"/>
      <c r="O855" s="200"/>
    </row>
    <row r="856" spans="1:15" ht="15.75" customHeight="1" x14ac:dyDescent="0.25">
      <c r="A856" s="192"/>
      <c r="B856" s="192"/>
      <c r="C856" s="200"/>
      <c r="D856" s="200"/>
      <c r="E856" s="200"/>
      <c r="F856" s="200"/>
      <c r="G856" s="200"/>
      <c r="H856" s="200"/>
      <c r="I856" s="200"/>
      <c r="J856" s="200"/>
      <c r="K856" s="200"/>
      <c r="L856" s="200"/>
      <c r="M856" s="200"/>
      <c r="N856" s="200"/>
      <c r="O856" s="200"/>
    </row>
    <row r="857" spans="1:15" ht="15.75" customHeight="1" x14ac:dyDescent="0.25">
      <c r="A857" s="192"/>
      <c r="B857" s="192"/>
      <c r="C857" s="200"/>
      <c r="D857" s="200"/>
      <c r="E857" s="200"/>
      <c r="F857" s="200"/>
      <c r="G857" s="200"/>
      <c r="H857" s="200"/>
      <c r="I857" s="200"/>
      <c r="J857" s="200"/>
      <c r="K857" s="200"/>
      <c r="L857" s="200"/>
      <c r="M857" s="200"/>
      <c r="N857" s="200"/>
      <c r="O857" s="200"/>
    </row>
    <row r="858" spans="1:15" ht="15.75" customHeight="1" x14ac:dyDescent="0.25">
      <c r="A858" s="192"/>
      <c r="B858" s="192"/>
      <c r="C858" s="200"/>
      <c r="D858" s="200"/>
      <c r="E858" s="200"/>
      <c r="F858" s="200"/>
      <c r="G858" s="200"/>
      <c r="H858" s="200"/>
      <c r="I858" s="200"/>
      <c r="J858" s="200"/>
      <c r="K858" s="200"/>
      <c r="L858" s="200"/>
      <c r="M858" s="200"/>
      <c r="N858" s="200"/>
      <c r="O858" s="200"/>
    </row>
    <row r="859" spans="1:15" ht="15.75" customHeight="1" x14ac:dyDescent="0.25">
      <c r="A859" s="192"/>
      <c r="B859" s="192"/>
      <c r="C859" s="200"/>
      <c r="D859" s="200"/>
      <c r="E859" s="200"/>
      <c r="F859" s="200"/>
      <c r="G859" s="200"/>
      <c r="H859" s="200"/>
      <c r="I859" s="200"/>
      <c r="J859" s="200"/>
      <c r="K859" s="200"/>
      <c r="L859" s="200"/>
      <c r="M859" s="200"/>
      <c r="N859" s="200"/>
      <c r="O859" s="200"/>
    </row>
    <row r="860" spans="1:15" ht="15.75" customHeight="1" x14ac:dyDescent="0.25">
      <c r="A860" s="192"/>
      <c r="B860" s="192"/>
      <c r="C860" s="200"/>
      <c r="D860" s="200"/>
      <c r="E860" s="200"/>
      <c r="F860" s="200"/>
      <c r="G860" s="200"/>
      <c r="H860" s="200"/>
      <c r="I860" s="200"/>
      <c r="J860" s="200"/>
      <c r="K860" s="200"/>
      <c r="L860" s="200"/>
      <c r="M860" s="200"/>
      <c r="N860" s="200"/>
      <c r="O860" s="200"/>
    </row>
    <row r="861" spans="1:15" ht="15.75" customHeight="1" x14ac:dyDescent="0.25">
      <c r="A861" s="192"/>
      <c r="B861" s="192"/>
      <c r="C861" s="200"/>
      <c r="D861" s="200"/>
      <c r="E861" s="200"/>
      <c r="F861" s="200"/>
      <c r="G861" s="200"/>
      <c r="H861" s="200"/>
      <c r="I861" s="200"/>
      <c r="J861" s="200"/>
      <c r="K861" s="200"/>
      <c r="L861" s="200"/>
      <c r="M861" s="200"/>
      <c r="N861" s="200"/>
      <c r="O861" s="200"/>
    </row>
    <row r="862" spans="1:15" ht="15.75" customHeight="1" x14ac:dyDescent="0.25">
      <c r="A862" s="192"/>
      <c r="B862" s="192"/>
      <c r="C862" s="200"/>
      <c r="D862" s="200"/>
      <c r="E862" s="200"/>
      <c r="F862" s="200"/>
      <c r="G862" s="200"/>
      <c r="H862" s="200"/>
      <c r="I862" s="200"/>
      <c r="J862" s="200"/>
      <c r="K862" s="200"/>
      <c r="L862" s="200"/>
      <c r="M862" s="200"/>
      <c r="N862" s="200"/>
      <c r="O862" s="200"/>
    </row>
    <row r="863" spans="1:15" ht="15.75" customHeight="1" x14ac:dyDescent="0.25">
      <c r="A863" s="192"/>
      <c r="B863" s="192"/>
      <c r="C863" s="200"/>
      <c r="D863" s="200"/>
      <c r="E863" s="200"/>
      <c r="F863" s="200"/>
      <c r="G863" s="200"/>
      <c r="H863" s="200"/>
      <c r="I863" s="200"/>
      <c r="J863" s="200"/>
      <c r="K863" s="200"/>
      <c r="L863" s="200"/>
      <c r="M863" s="200"/>
      <c r="N863" s="200"/>
      <c r="O863" s="200"/>
    </row>
    <row r="864" spans="1:15" ht="15.75" customHeight="1" x14ac:dyDescent="0.25">
      <c r="A864" s="192"/>
      <c r="B864" s="192"/>
      <c r="C864" s="200"/>
      <c r="D864" s="200"/>
      <c r="E864" s="200"/>
      <c r="F864" s="200"/>
      <c r="G864" s="200"/>
      <c r="H864" s="200"/>
      <c r="I864" s="200"/>
      <c r="J864" s="200"/>
      <c r="K864" s="200"/>
      <c r="L864" s="200"/>
      <c r="M864" s="200"/>
      <c r="N864" s="200"/>
      <c r="O864" s="200"/>
    </row>
    <row r="865" spans="1:15" ht="15.75" customHeight="1" x14ac:dyDescent="0.25">
      <c r="A865" s="192"/>
      <c r="B865" s="192"/>
      <c r="C865" s="200"/>
      <c r="D865" s="200"/>
      <c r="E865" s="200"/>
      <c r="F865" s="200"/>
      <c r="G865" s="200"/>
      <c r="H865" s="200"/>
      <c r="I865" s="200"/>
      <c r="J865" s="200"/>
      <c r="K865" s="200"/>
      <c r="L865" s="200"/>
      <c r="M865" s="200"/>
      <c r="N865" s="200"/>
      <c r="O865" s="200"/>
    </row>
    <row r="866" spans="1:15" ht="15.75" customHeight="1" x14ac:dyDescent="0.25">
      <c r="A866" s="192"/>
      <c r="B866" s="192"/>
      <c r="C866" s="200"/>
      <c r="D866" s="200"/>
      <c r="E866" s="200"/>
      <c r="F866" s="200"/>
      <c r="G866" s="200"/>
      <c r="H866" s="200"/>
      <c r="I866" s="200"/>
      <c r="J866" s="200"/>
      <c r="K866" s="200"/>
      <c r="L866" s="200"/>
      <c r="M866" s="200"/>
      <c r="N866" s="200"/>
      <c r="O866" s="200"/>
    </row>
    <row r="867" spans="1:15" ht="15.75" customHeight="1" x14ac:dyDescent="0.25">
      <c r="A867" s="192"/>
      <c r="B867" s="192"/>
      <c r="C867" s="200"/>
      <c r="D867" s="200"/>
      <c r="E867" s="200"/>
      <c r="F867" s="200"/>
      <c r="G867" s="200"/>
      <c r="H867" s="200"/>
      <c r="I867" s="200"/>
      <c r="J867" s="200"/>
      <c r="K867" s="200"/>
      <c r="L867" s="200"/>
      <c r="M867" s="200"/>
      <c r="N867" s="200"/>
      <c r="O867" s="200"/>
    </row>
    <row r="868" spans="1:15" ht="15.75" customHeight="1" x14ac:dyDescent="0.25">
      <c r="A868" s="192"/>
      <c r="B868" s="192"/>
      <c r="C868" s="200"/>
      <c r="D868" s="200"/>
      <c r="E868" s="200"/>
      <c r="F868" s="200"/>
      <c r="G868" s="200"/>
      <c r="H868" s="200"/>
      <c r="I868" s="200"/>
      <c r="J868" s="200"/>
      <c r="K868" s="200"/>
      <c r="L868" s="200"/>
      <c r="M868" s="200"/>
      <c r="N868" s="200"/>
      <c r="O868" s="200"/>
    </row>
    <row r="869" spans="1:15" ht="15.75" customHeight="1" x14ac:dyDescent="0.25">
      <c r="A869" s="192"/>
      <c r="B869" s="192"/>
      <c r="C869" s="200"/>
      <c r="D869" s="200"/>
      <c r="E869" s="200"/>
      <c r="F869" s="200"/>
      <c r="G869" s="200"/>
      <c r="H869" s="200"/>
      <c r="I869" s="200"/>
      <c r="J869" s="200"/>
      <c r="K869" s="200"/>
      <c r="L869" s="200"/>
      <c r="M869" s="200"/>
      <c r="N869" s="200"/>
      <c r="O869" s="200"/>
    </row>
    <row r="870" spans="1:15" ht="15.75" customHeight="1" x14ac:dyDescent="0.25">
      <c r="A870" s="192"/>
      <c r="B870" s="192"/>
      <c r="C870" s="200"/>
      <c r="D870" s="200"/>
      <c r="E870" s="200"/>
      <c r="F870" s="200"/>
      <c r="G870" s="200"/>
      <c r="H870" s="200"/>
      <c r="I870" s="200"/>
      <c r="J870" s="200"/>
      <c r="K870" s="200"/>
      <c r="L870" s="200"/>
      <c r="M870" s="200"/>
      <c r="N870" s="200"/>
      <c r="O870" s="200"/>
    </row>
    <row r="871" spans="1:15" ht="15.75" customHeight="1" x14ac:dyDescent="0.25">
      <c r="A871" s="192"/>
      <c r="B871" s="192"/>
      <c r="C871" s="200"/>
      <c r="D871" s="200"/>
      <c r="E871" s="200"/>
      <c r="F871" s="200"/>
      <c r="G871" s="200"/>
      <c r="H871" s="200"/>
      <c r="I871" s="200"/>
      <c r="J871" s="200"/>
      <c r="K871" s="200"/>
      <c r="L871" s="200"/>
      <c r="M871" s="200"/>
      <c r="N871" s="200"/>
      <c r="O871" s="200"/>
    </row>
    <row r="872" spans="1:15" ht="15.75" customHeight="1" x14ac:dyDescent="0.25">
      <c r="A872" s="192"/>
      <c r="B872" s="192"/>
      <c r="C872" s="200"/>
      <c r="D872" s="200"/>
      <c r="E872" s="200"/>
      <c r="F872" s="200"/>
      <c r="G872" s="200"/>
      <c r="H872" s="200"/>
      <c r="I872" s="200"/>
      <c r="J872" s="200"/>
      <c r="K872" s="200"/>
      <c r="L872" s="200"/>
      <c r="M872" s="200"/>
      <c r="N872" s="200"/>
      <c r="O872" s="200"/>
    </row>
    <row r="873" spans="1:15" ht="15.75" customHeight="1" x14ac:dyDescent="0.25">
      <c r="A873" s="192"/>
      <c r="B873" s="192"/>
      <c r="C873" s="200"/>
      <c r="D873" s="200"/>
      <c r="E873" s="200"/>
      <c r="F873" s="200"/>
      <c r="G873" s="200"/>
      <c r="H873" s="200"/>
      <c r="I873" s="200"/>
      <c r="J873" s="200"/>
      <c r="K873" s="200"/>
      <c r="L873" s="200"/>
      <c r="M873" s="200"/>
      <c r="N873" s="200"/>
      <c r="O873" s="200"/>
    </row>
    <row r="874" spans="1:15" ht="15.75" customHeight="1" x14ac:dyDescent="0.25">
      <c r="A874" s="192"/>
      <c r="B874" s="192"/>
      <c r="C874" s="200"/>
      <c r="D874" s="200"/>
      <c r="E874" s="200"/>
      <c r="F874" s="200"/>
      <c r="G874" s="200"/>
      <c r="H874" s="200"/>
      <c r="I874" s="200"/>
      <c r="J874" s="200"/>
      <c r="K874" s="200"/>
      <c r="L874" s="200"/>
      <c r="M874" s="200"/>
      <c r="N874" s="200"/>
      <c r="O874" s="200"/>
    </row>
    <row r="875" spans="1:15" ht="15.75" customHeight="1" x14ac:dyDescent="0.25">
      <c r="A875" s="192"/>
      <c r="B875" s="192"/>
      <c r="C875" s="200"/>
      <c r="D875" s="200"/>
      <c r="E875" s="200"/>
      <c r="F875" s="200"/>
      <c r="G875" s="200"/>
      <c r="H875" s="200"/>
      <c r="I875" s="200"/>
      <c r="J875" s="200"/>
      <c r="K875" s="200"/>
      <c r="L875" s="200"/>
      <c r="M875" s="200"/>
      <c r="N875" s="200"/>
      <c r="O875" s="200"/>
    </row>
    <row r="876" spans="1:15" ht="15.75" customHeight="1" x14ac:dyDescent="0.25">
      <c r="A876" s="192"/>
      <c r="B876" s="192"/>
      <c r="C876" s="200"/>
      <c r="D876" s="200"/>
      <c r="E876" s="200"/>
      <c r="F876" s="200"/>
      <c r="G876" s="200"/>
      <c r="H876" s="200"/>
      <c r="I876" s="200"/>
      <c r="J876" s="200"/>
      <c r="K876" s="200"/>
      <c r="L876" s="200"/>
      <c r="M876" s="200"/>
      <c r="N876" s="200"/>
      <c r="O876" s="200"/>
    </row>
    <row r="877" spans="1:15" ht="15.75" customHeight="1" x14ac:dyDescent="0.25">
      <c r="A877" s="192"/>
      <c r="B877" s="192"/>
      <c r="C877" s="200"/>
      <c r="D877" s="200"/>
      <c r="E877" s="200"/>
      <c r="F877" s="200"/>
      <c r="G877" s="200"/>
      <c r="H877" s="200"/>
      <c r="I877" s="200"/>
      <c r="J877" s="200"/>
      <c r="K877" s="200"/>
      <c r="L877" s="200"/>
      <c r="M877" s="200"/>
      <c r="N877" s="200"/>
      <c r="O877" s="200"/>
    </row>
    <row r="878" spans="1:15" ht="15.75" customHeight="1" x14ac:dyDescent="0.25">
      <c r="A878" s="192"/>
      <c r="B878" s="192"/>
      <c r="C878" s="200"/>
      <c r="D878" s="200"/>
      <c r="E878" s="200"/>
      <c r="F878" s="200"/>
      <c r="G878" s="200"/>
      <c r="H878" s="200"/>
      <c r="I878" s="200"/>
      <c r="J878" s="200"/>
      <c r="K878" s="200"/>
      <c r="L878" s="200"/>
      <c r="M878" s="200"/>
      <c r="N878" s="200"/>
      <c r="O878" s="200"/>
    </row>
    <row r="879" spans="1:15" ht="15.75" customHeight="1" x14ac:dyDescent="0.25">
      <c r="A879" s="192"/>
      <c r="B879" s="192"/>
      <c r="C879" s="200"/>
      <c r="D879" s="200"/>
      <c r="E879" s="200"/>
      <c r="F879" s="200"/>
      <c r="G879" s="200"/>
      <c r="H879" s="200"/>
      <c r="I879" s="200"/>
      <c r="J879" s="200"/>
      <c r="K879" s="200"/>
      <c r="L879" s="200"/>
      <c r="M879" s="200"/>
      <c r="N879" s="200"/>
      <c r="O879" s="200"/>
    </row>
    <row r="880" spans="1:15" ht="15.75" customHeight="1" x14ac:dyDescent="0.25">
      <c r="A880" s="192"/>
      <c r="B880" s="192"/>
      <c r="C880" s="200"/>
      <c r="D880" s="200"/>
      <c r="E880" s="200"/>
      <c r="F880" s="200"/>
      <c r="G880" s="200"/>
      <c r="H880" s="200"/>
      <c r="I880" s="200"/>
      <c r="J880" s="200"/>
      <c r="K880" s="200"/>
      <c r="L880" s="200"/>
      <c r="M880" s="200"/>
      <c r="N880" s="200"/>
      <c r="O880" s="200"/>
    </row>
    <row r="881" spans="1:15" ht="15.75" customHeight="1" x14ac:dyDescent="0.25">
      <c r="A881" s="192"/>
      <c r="B881" s="192"/>
      <c r="C881" s="200"/>
      <c r="D881" s="200"/>
      <c r="E881" s="200"/>
      <c r="F881" s="200"/>
      <c r="G881" s="200"/>
      <c r="H881" s="200"/>
      <c r="I881" s="200"/>
      <c r="J881" s="200"/>
      <c r="K881" s="200"/>
      <c r="L881" s="200"/>
      <c r="M881" s="200"/>
      <c r="N881" s="200"/>
      <c r="O881" s="200"/>
    </row>
    <row r="882" spans="1:15" ht="15.75" customHeight="1" x14ac:dyDescent="0.25">
      <c r="A882" s="192"/>
      <c r="B882" s="192"/>
      <c r="C882" s="200"/>
      <c r="D882" s="200"/>
      <c r="E882" s="200"/>
      <c r="F882" s="200"/>
      <c r="G882" s="200"/>
      <c r="H882" s="200"/>
      <c r="I882" s="200"/>
      <c r="J882" s="200"/>
      <c r="K882" s="200"/>
      <c r="L882" s="200"/>
      <c r="M882" s="200"/>
      <c r="N882" s="200"/>
      <c r="O882" s="200"/>
    </row>
    <row r="883" spans="1:15" ht="15.75" customHeight="1" x14ac:dyDescent="0.25">
      <c r="A883" s="192"/>
      <c r="B883" s="192"/>
      <c r="C883" s="200"/>
      <c r="D883" s="200"/>
      <c r="E883" s="200"/>
      <c r="F883" s="200"/>
      <c r="G883" s="200"/>
      <c r="H883" s="200"/>
      <c r="I883" s="200"/>
      <c r="J883" s="200"/>
      <c r="K883" s="200"/>
      <c r="L883" s="200"/>
      <c r="M883" s="200"/>
      <c r="N883" s="200"/>
      <c r="O883" s="200"/>
    </row>
    <row r="884" spans="1:15" ht="15.75" customHeight="1" x14ac:dyDescent="0.25">
      <c r="A884" s="192"/>
      <c r="B884" s="192"/>
      <c r="C884" s="200"/>
      <c r="D884" s="200"/>
      <c r="E884" s="200"/>
      <c r="F884" s="200"/>
      <c r="G884" s="200"/>
      <c r="H884" s="200"/>
      <c r="I884" s="200"/>
      <c r="J884" s="200"/>
      <c r="K884" s="200"/>
      <c r="L884" s="200"/>
      <c r="M884" s="200"/>
      <c r="N884" s="200"/>
      <c r="O884" s="200"/>
    </row>
    <row r="885" spans="1:15" ht="15.75" customHeight="1" x14ac:dyDescent="0.25">
      <c r="A885" s="192"/>
      <c r="B885" s="192"/>
      <c r="C885" s="200"/>
      <c r="D885" s="200"/>
      <c r="E885" s="200"/>
      <c r="F885" s="200"/>
      <c r="G885" s="200"/>
      <c r="H885" s="200"/>
      <c r="I885" s="200"/>
      <c r="J885" s="200"/>
      <c r="K885" s="200"/>
      <c r="L885" s="200"/>
      <c r="M885" s="200"/>
      <c r="N885" s="200"/>
      <c r="O885" s="200"/>
    </row>
    <row r="886" spans="1:15" ht="15.75" customHeight="1" x14ac:dyDescent="0.25">
      <c r="A886" s="192"/>
      <c r="B886" s="192"/>
      <c r="C886" s="200"/>
      <c r="D886" s="200"/>
      <c r="E886" s="200"/>
      <c r="F886" s="200"/>
      <c r="G886" s="200"/>
      <c r="H886" s="200"/>
      <c r="I886" s="200"/>
      <c r="J886" s="200"/>
      <c r="K886" s="200"/>
      <c r="L886" s="200"/>
      <c r="M886" s="200"/>
      <c r="N886" s="200"/>
      <c r="O886" s="200"/>
    </row>
    <row r="887" spans="1:15" ht="15.75" customHeight="1" x14ac:dyDescent="0.25">
      <c r="A887" s="192"/>
      <c r="B887" s="192"/>
      <c r="C887" s="200"/>
      <c r="D887" s="200"/>
      <c r="E887" s="200"/>
      <c r="F887" s="200"/>
      <c r="G887" s="200"/>
      <c r="H887" s="200"/>
      <c r="I887" s="200"/>
      <c r="J887" s="200"/>
      <c r="K887" s="200"/>
      <c r="L887" s="200"/>
      <c r="M887" s="200"/>
      <c r="N887" s="200"/>
      <c r="O887" s="200"/>
    </row>
    <row r="888" spans="1:15" ht="15.75" customHeight="1" x14ac:dyDescent="0.25">
      <c r="A888" s="192"/>
      <c r="B888" s="192"/>
      <c r="C888" s="200"/>
      <c r="D888" s="200"/>
      <c r="E888" s="200"/>
      <c r="F888" s="200"/>
      <c r="G888" s="200"/>
      <c r="H888" s="200"/>
      <c r="I888" s="200"/>
      <c r="J888" s="200"/>
      <c r="K888" s="200"/>
      <c r="L888" s="200"/>
      <c r="M888" s="200"/>
      <c r="N888" s="200"/>
      <c r="O888" s="200"/>
    </row>
    <row r="889" spans="1:15" ht="15.75" customHeight="1" x14ac:dyDescent="0.25">
      <c r="A889" s="192"/>
      <c r="B889" s="192"/>
      <c r="C889" s="200"/>
      <c r="D889" s="200"/>
      <c r="E889" s="200"/>
      <c r="F889" s="200"/>
      <c r="G889" s="200"/>
      <c r="H889" s="200"/>
      <c r="I889" s="200"/>
      <c r="J889" s="200"/>
      <c r="K889" s="200"/>
      <c r="L889" s="200"/>
      <c r="M889" s="200"/>
      <c r="N889" s="200"/>
      <c r="O889" s="200"/>
    </row>
    <row r="890" spans="1:15" ht="15.75" customHeight="1" x14ac:dyDescent="0.25">
      <c r="A890" s="192"/>
      <c r="B890" s="192"/>
      <c r="C890" s="200"/>
      <c r="D890" s="200"/>
      <c r="E890" s="200"/>
      <c r="F890" s="200"/>
      <c r="G890" s="200"/>
      <c r="H890" s="200"/>
      <c r="I890" s="200"/>
      <c r="J890" s="200"/>
      <c r="K890" s="200"/>
      <c r="L890" s="200"/>
      <c r="M890" s="200"/>
      <c r="N890" s="200"/>
      <c r="O890" s="200"/>
    </row>
    <row r="891" spans="1:15" ht="15.75" customHeight="1" x14ac:dyDescent="0.25">
      <c r="A891" s="192"/>
      <c r="B891" s="192"/>
      <c r="C891" s="200"/>
      <c r="D891" s="200"/>
      <c r="E891" s="200"/>
      <c r="F891" s="200"/>
      <c r="G891" s="200"/>
      <c r="H891" s="200"/>
      <c r="I891" s="200"/>
      <c r="J891" s="200"/>
      <c r="K891" s="200"/>
      <c r="L891" s="200"/>
      <c r="M891" s="200"/>
      <c r="N891" s="200"/>
      <c r="O891" s="200"/>
    </row>
    <row r="892" spans="1:15" ht="15.75" customHeight="1" x14ac:dyDescent="0.25">
      <c r="A892" s="192"/>
      <c r="B892" s="192"/>
      <c r="C892" s="200"/>
      <c r="D892" s="200"/>
      <c r="E892" s="200"/>
      <c r="F892" s="200"/>
      <c r="G892" s="200"/>
      <c r="H892" s="200"/>
      <c r="I892" s="200"/>
      <c r="J892" s="200"/>
      <c r="K892" s="200"/>
      <c r="L892" s="200"/>
      <c r="M892" s="200"/>
      <c r="N892" s="200"/>
      <c r="O892" s="200"/>
    </row>
    <row r="893" spans="1:15" ht="15.75" customHeight="1" x14ac:dyDescent="0.25">
      <c r="A893" s="192"/>
      <c r="B893" s="192"/>
      <c r="C893" s="200"/>
      <c r="D893" s="200"/>
      <c r="E893" s="200"/>
      <c r="F893" s="200"/>
      <c r="G893" s="200"/>
      <c r="H893" s="200"/>
      <c r="I893" s="200"/>
      <c r="J893" s="200"/>
      <c r="K893" s="200"/>
      <c r="L893" s="200"/>
      <c r="M893" s="200"/>
      <c r="N893" s="200"/>
      <c r="O893" s="200"/>
    </row>
    <row r="894" spans="1:15" ht="15.75" customHeight="1" x14ac:dyDescent="0.25">
      <c r="A894" s="192"/>
      <c r="B894" s="192"/>
      <c r="C894" s="200"/>
      <c r="D894" s="200"/>
      <c r="E894" s="200"/>
      <c r="F894" s="200"/>
      <c r="G894" s="200"/>
      <c r="H894" s="200"/>
      <c r="I894" s="200"/>
      <c r="J894" s="200"/>
      <c r="K894" s="200"/>
      <c r="L894" s="200"/>
      <c r="M894" s="200"/>
      <c r="N894" s="200"/>
      <c r="O894" s="200"/>
    </row>
    <row r="895" spans="1:15" ht="15.75" customHeight="1" x14ac:dyDescent="0.25">
      <c r="A895" s="192"/>
      <c r="B895" s="192"/>
      <c r="C895" s="200"/>
      <c r="D895" s="200"/>
      <c r="E895" s="200"/>
      <c r="F895" s="200"/>
      <c r="G895" s="200"/>
      <c r="H895" s="200"/>
      <c r="I895" s="200"/>
      <c r="J895" s="200"/>
      <c r="K895" s="200"/>
      <c r="L895" s="200"/>
      <c r="M895" s="200"/>
      <c r="N895" s="200"/>
      <c r="O895" s="200"/>
    </row>
    <row r="896" spans="1:15" ht="15.75" customHeight="1" x14ac:dyDescent="0.25">
      <c r="A896" s="192"/>
      <c r="B896" s="192"/>
      <c r="C896" s="200"/>
      <c r="D896" s="200"/>
      <c r="E896" s="200"/>
      <c r="F896" s="200"/>
      <c r="G896" s="200"/>
      <c r="H896" s="200"/>
      <c r="I896" s="200"/>
      <c r="J896" s="200"/>
      <c r="K896" s="200"/>
      <c r="L896" s="200"/>
      <c r="M896" s="200"/>
      <c r="N896" s="200"/>
      <c r="O896" s="200"/>
    </row>
    <row r="897" spans="1:15" ht="15.75" customHeight="1" x14ac:dyDescent="0.25">
      <c r="A897" s="192"/>
      <c r="B897" s="192"/>
      <c r="C897" s="200"/>
      <c r="D897" s="200"/>
      <c r="E897" s="200"/>
      <c r="F897" s="200"/>
      <c r="G897" s="200"/>
      <c r="H897" s="200"/>
      <c r="I897" s="200"/>
      <c r="J897" s="200"/>
      <c r="K897" s="200"/>
      <c r="L897" s="200"/>
      <c r="M897" s="200"/>
      <c r="N897" s="200"/>
      <c r="O897" s="200"/>
    </row>
    <row r="898" spans="1:15" ht="15.75" customHeight="1" x14ac:dyDescent="0.25">
      <c r="A898" s="192"/>
      <c r="B898" s="192"/>
      <c r="C898" s="200"/>
      <c r="D898" s="200"/>
      <c r="E898" s="200"/>
      <c r="F898" s="200"/>
      <c r="G898" s="200"/>
      <c r="H898" s="200"/>
      <c r="I898" s="200"/>
      <c r="J898" s="200"/>
      <c r="K898" s="200"/>
      <c r="L898" s="200"/>
      <c r="M898" s="200"/>
      <c r="N898" s="200"/>
      <c r="O898" s="200"/>
    </row>
    <row r="899" spans="1:15" ht="15.75" customHeight="1" x14ac:dyDescent="0.25">
      <c r="A899" s="192"/>
      <c r="B899" s="192"/>
      <c r="C899" s="200"/>
      <c r="D899" s="200"/>
      <c r="E899" s="200"/>
      <c r="F899" s="200"/>
      <c r="G899" s="200"/>
      <c r="H899" s="200"/>
      <c r="I899" s="200"/>
      <c r="J899" s="200"/>
      <c r="K899" s="200"/>
      <c r="L899" s="200"/>
      <c r="M899" s="200"/>
      <c r="N899" s="200"/>
      <c r="O899" s="200"/>
    </row>
    <row r="900" spans="1:15" ht="15.75" customHeight="1" x14ac:dyDescent="0.25">
      <c r="A900" s="192"/>
      <c r="B900" s="192"/>
      <c r="C900" s="200"/>
      <c r="D900" s="200"/>
      <c r="E900" s="200"/>
      <c r="F900" s="200"/>
      <c r="G900" s="200"/>
      <c r="H900" s="200"/>
      <c r="I900" s="200"/>
      <c r="J900" s="200"/>
      <c r="K900" s="200"/>
      <c r="L900" s="200"/>
      <c r="M900" s="200"/>
      <c r="N900" s="200"/>
      <c r="O900" s="200"/>
    </row>
    <row r="901" spans="1:15" ht="15.75" customHeight="1" x14ac:dyDescent="0.25">
      <c r="A901" s="192"/>
      <c r="B901" s="192"/>
      <c r="C901" s="200"/>
      <c r="D901" s="200"/>
      <c r="E901" s="200"/>
      <c r="F901" s="200"/>
      <c r="G901" s="200"/>
      <c r="H901" s="200"/>
      <c r="I901" s="200"/>
      <c r="J901" s="200"/>
      <c r="K901" s="200"/>
      <c r="L901" s="200"/>
      <c r="M901" s="200"/>
      <c r="N901" s="200"/>
      <c r="O901" s="200"/>
    </row>
    <row r="902" spans="1:15" ht="15.75" customHeight="1" x14ac:dyDescent="0.25">
      <c r="A902" s="192"/>
      <c r="B902" s="192"/>
      <c r="C902" s="200"/>
      <c r="D902" s="200"/>
      <c r="E902" s="200"/>
      <c r="F902" s="200"/>
      <c r="G902" s="200"/>
      <c r="H902" s="200"/>
      <c r="I902" s="200"/>
      <c r="J902" s="200"/>
      <c r="K902" s="200"/>
      <c r="L902" s="200"/>
      <c r="M902" s="200"/>
      <c r="N902" s="200"/>
      <c r="O902" s="200"/>
    </row>
    <row r="903" spans="1:15" ht="15.75" customHeight="1" x14ac:dyDescent="0.25">
      <c r="A903" s="192"/>
      <c r="B903" s="192"/>
      <c r="C903" s="200"/>
      <c r="D903" s="200"/>
      <c r="E903" s="200"/>
      <c r="F903" s="200"/>
      <c r="G903" s="200"/>
      <c r="H903" s="200"/>
      <c r="I903" s="200"/>
      <c r="J903" s="200"/>
      <c r="K903" s="200"/>
      <c r="L903" s="200"/>
      <c r="M903" s="200"/>
      <c r="N903" s="200"/>
      <c r="O903" s="200"/>
    </row>
    <row r="904" spans="1:15" ht="15.75" customHeight="1" x14ac:dyDescent="0.25">
      <c r="A904" s="192"/>
      <c r="B904" s="192"/>
      <c r="C904" s="200"/>
      <c r="D904" s="200"/>
      <c r="E904" s="200"/>
      <c r="F904" s="200"/>
      <c r="G904" s="200"/>
      <c r="H904" s="200"/>
      <c r="I904" s="200"/>
      <c r="J904" s="200"/>
      <c r="K904" s="200"/>
      <c r="L904" s="200"/>
      <c r="M904" s="200"/>
      <c r="N904" s="200"/>
      <c r="O904" s="200"/>
    </row>
    <row r="905" spans="1:15" ht="15.75" customHeight="1" x14ac:dyDescent="0.25">
      <c r="A905" s="192"/>
      <c r="B905" s="192"/>
      <c r="C905" s="200"/>
      <c r="D905" s="200"/>
      <c r="E905" s="200"/>
      <c r="F905" s="200"/>
      <c r="G905" s="200"/>
      <c r="H905" s="200"/>
      <c r="I905" s="200"/>
      <c r="J905" s="200"/>
      <c r="K905" s="200"/>
      <c r="L905" s="200"/>
      <c r="M905" s="200"/>
      <c r="N905" s="200"/>
      <c r="O905" s="200"/>
    </row>
    <row r="906" spans="1:15" ht="15.75" customHeight="1" x14ac:dyDescent="0.25">
      <c r="A906" s="192"/>
      <c r="B906" s="192"/>
      <c r="C906" s="200"/>
      <c r="D906" s="200"/>
      <c r="E906" s="200"/>
      <c r="F906" s="200"/>
      <c r="G906" s="200"/>
      <c r="H906" s="200"/>
      <c r="I906" s="200"/>
      <c r="J906" s="200"/>
      <c r="K906" s="200"/>
      <c r="L906" s="200"/>
      <c r="M906" s="200"/>
      <c r="N906" s="200"/>
      <c r="O906" s="200"/>
    </row>
    <row r="907" spans="1:15" ht="15.75" customHeight="1" x14ac:dyDescent="0.25">
      <c r="A907" s="192"/>
      <c r="B907" s="192"/>
      <c r="C907" s="200"/>
      <c r="D907" s="200"/>
      <c r="E907" s="200"/>
      <c r="F907" s="200"/>
      <c r="G907" s="200"/>
      <c r="H907" s="200"/>
      <c r="I907" s="200"/>
      <c r="J907" s="200"/>
      <c r="K907" s="200"/>
      <c r="L907" s="200"/>
      <c r="M907" s="200"/>
      <c r="N907" s="200"/>
      <c r="O907" s="200"/>
    </row>
    <row r="908" spans="1:15" ht="15.75" customHeight="1" x14ac:dyDescent="0.25">
      <c r="A908" s="192"/>
      <c r="B908" s="192"/>
      <c r="C908" s="200"/>
      <c r="D908" s="200"/>
      <c r="E908" s="200"/>
      <c r="F908" s="200"/>
      <c r="G908" s="200"/>
      <c r="H908" s="200"/>
      <c r="I908" s="200"/>
      <c r="J908" s="200"/>
      <c r="K908" s="200"/>
      <c r="L908" s="200"/>
      <c r="M908" s="200"/>
      <c r="N908" s="200"/>
      <c r="O908" s="200"/>
    </row>
    <row r="909" spans="1:15" ht="15.75" customHeight="1" x14ac:dyDescent="0.25">
      <c r="A909" s="192"/>
      <c r="B909" s="192"/>
      <c r="C909" s="200"/>
      <c r="D909" s="200"/>
      <c r="E909" s="200"/>
      <c r="F909" s="200"/>
      <c r="G909" s="200"/>
      <c r="H909" s="200"/>
      <c r="I909" s="200"/>
      <c r="J909" s="200"/>
      <c r="K909" s="200"/>
      <c r="L909" s="200"/>
      <c r="M909" s="200"/>
      <c r="N909" s="200"/>
      <c r="O909" s="200"/>
    </row>
    <row r="910" spans="1:15" ht="15.75" customHeight="1" x14ac:dyDescent="0.25">
      <c r="A910" s="192"/>
      <c r="B910" s="192"/>
      <c r="C910" s="200"/>
      <c r="D910" s="200"/>
      <c r="E910" s="200"/>
      <c r="F910" s="200"/>
      <c r="G910" s="200"/>
      <c r="H910" s="200"/>
      <c r="I910" s="200"/>
      <c r="J910" s="200"/>
      <c r="K910" s="200"/>
      <c r="L910" s="200"/>
      <c r="M910" s="200"/>
      <c r="N910" s="200"/>
      <c r="O910" s="200"/>
    </row>
    <row r="911" spans="1:15" ht="15.75" customHeight="1" x14ac:dyDescent="0.25">
      <c r="A911" s="192"/>
      <c r="B911" s="192"/>
      <c r="C911" s="200"/>
      <c r="D911" s="200"/>
      <c r="E911" s="200"/>
      <c r="F911" s="200"/>
      <c r="G911" s="200"/>
      <c r="H911" s="200"/>
      <c r="I911" s="200"/>
      <c r="J911" s="200"/>
      <c r="K911" s="200"/>
      <c r="L911" s="200"/>
      <c r="M911" s="200"/>
      <c r="N911" s="200"/>
      <c r="O911" s="200"/>
    </row>
    <row r="912" spans="1:15" ht="15.75" customHeight="1" x14ac:dyDescent="0.25">
      <c r="A912" s="192"/>
      <c r="B912" s="192"/>
      <c r="C912" s="200"/>
      <c r="D912" s="200"/>
      <c r="E912" s="200"/>
      <c r="F912" s="200"/>
      <c r="G912" s="200"/>
      <c r="H912" s="200"/>
      <c r="I912" s="200"/>
      <c r="J912" s="200"/>
      <c r="K912" s="200"/>
      <c r="L912" s="200"/>
      <c r="M912" s="200"/>
      <c r="N912" s="200"/>
      <c r="O912" s="200"/>
    </row>
    <row r="913" spans="1:15" ht="15.75" customHeight="1" x14ac:dyDescent="0.25">
      <c r="A913" s="192"/>
      <c r="B913" s="192"/>
      <c r="C913" s="200"/>
      <c r="D913" s="200"/>
      <c r="E913" s="200"/>
      <c r="F913" s="200"/>
      <c r="G913" s="200"/>
      <c r="H913" s="200"/>
      <c r="I913" s="200"/>
      <c r="J913" s="200"/>
      <c r="K913" s="200"/>
      <c r="L913" s="200"/>
      <c r="M913" s="200"/>
      <c r="N913" s="200"/>
      <c r="O913" s="200"/>
    </row>
    <row r="914" spans="1:15" ht="15.75" customHeight="1" x14ac:dyDescent="0.25">
      <c r="A914" s="192"/>
      <c r="B914" s="192"/>
      <c r="C914" s="200"/>
      <c r="D914" s="200"/>
      <c r="E914" s="200"/>
      <c r="F914" s="200"/>
      <c r="G914" s="200"/>
      <c r="H914" s="200"/>
      <c r="I914" s="200"/>
      <c r="J914" s="200"/>
      <c r="K914" s="200"/>
      <c r="L914" s="200"/>
      <c r="M914" s="200"/>
      <c r="N914" s="200"/>
      <c r="O914" s="200"/>
    </row>
    <row r="915" spans="1:15" ht="15.75" customHeight="1" x14ac:dyDescent="0.25">
      <c r="A915" s="192"/>
      <c r="B915" s="192"/>
      <c r="C915" s="200"/>
      <c r="D915" s="200"/>
      <c r="E915" s="200"/>
      <c r="F915" s="200"/>
      <c r="G915" s="200"/>
      <c r="H915" s="200"/>
      <c r="I915" s="200"/>
      <c r="J915" s="200"/>
      <c r="K915" s="200"/>
      <c r="L915" s="200"/>
      <c r="M915" s="200"/>
      <c r="N915" s="200"/>
      <c r="O915" s="200"/>
    </row>
    <row r="916" spans="1:15" ht="15.75" customHeight="1" x14ac:dyDescent="0.25">
      <c r="A916" s="192"/>
      <c r="B916" s="192"/>
      <c r="C916" s="200"/>
      <c r="D916" s="200"/>
      <c r="E916" s="200"/>
      <c r="F916" s="200"/>
      <c r="G916" s="200"/>
      <c r="H916" s="200"/>
      <c r="I916" s="200"/>
      <c r="J916" s="200"/>
      <c r="K916" s="200"/>
      <c r="L916" s="200"/>
      <c r="M916" s="200"/>
      <c r="N916" s="200"/>
      <c r="O916" s="200"/>
    </row>
    <row r="917" spans="1:15" ht="15.75" customHeight="1" x14ac:dyDescent="0.25">
      <c r="A917" s="192"/>
      <c r="B917" s="192"/>
      <c r="C917" s="200"/>
      <c r="D917" s="200"/>
      <c r="E917" s="200"/>
      <c r="F917" s="200"/>
      <c r="G917" s="200"/>
      <c r="H917" s="200"/>
      <c r="I917" s="200"/>
      <c r="J917" s="200"/>
      <c r="K917" s="200"/>
      <c r="L917" s="200"/>
      <c r="M917" s="200"/>
      <c r="N917" s="200"/>
      <c r="O917" s="200"/>
    </row>
    <row r="918" spans="1:15" ht="15.75" customHeight="1" x14ac:dyDescent="0.25">
      <c r="A918" s="192"/>
      <c r="B918" s="192"/>
      <c r="C918" s="200"/>
      <c r="D918" s="200"/>
      <c r="E918" s="200"/>
      <c r="F918" s="200"/>
      <c r="G918" s="200"/>
      <c r="H918" s="200"/>
      <c r="I918" s="200"/>
      <c r="J918" s="200"/>
      <c r="K918" s="200"/>
      <c r="L918" s="200"/>
      <c r="M918" s="200"/>
      <c r="N918" s="200"/>
      <c r="O918" s="200"/>
    </row>
    <row r="919" spans="1:15" ht="15.75" customHeight="1" x14ac:dyDescent="0.25">
      <c r="A919" s="192"/>
      <c r="B919" s="192"/>
      <c r="C919" s="200"/>
      <c r="D919" s="200"/>
      <c r="E919" s="200"/>
      <c r="F919" s="200"/>
      <c r="G919" s="200"/>
      <c r="H919" s="200"/>
      <c r="I919" s="200"/>
      <c r="J919" s="200"/>
      <c r="K919" s="200"/>
      <c r="L919" s="200"/>
      <c r="M919" s="200"/>
      <c r="N919" s="200"/>
      <c r="O919" s="200"/>
    </row>
    <row r="920" spans="1:15" ht="15.75" customHeight="1" x14ac:dyDescent="0.25">
      <c r="A920" s="192"/>
      <c r="B920" s="192"/>
      <c r="C920" s="200"/>
      <c r="D920" s="200"/>
      <c r="E920" s="200"/>
      <c r="F920" s="200"/>
      <c r="G920" s="200"/>
      <c r="H920" s="200"/>
      <c r="I920" s="200"/>
      <c r="J920" s="200"/>
      <c r="K920" s="200"/>
      <c r="L920" s="200"/>
      <c r="M920" s="200"/>
      <c r="N920" s="200"/>
      <c r="O920" s="200"/>
    </row>
    <row r="921" spans="1:15" ht="15.75" customHeight="1" x14ac:dyDescent="0.25">
      <c r="A921" s="192"/>
      <c r="B921" s="192"/>
      <c r="C921" s="200"/>
      <c r="D921" s="200"/>
      <c r="E921" s="200"/>
      <c r="F921" s="200"/>
      <c r="G921" s="200"/>
      <c r="H921" s="200"/>
      <c r="I921" s="200"/>
      <c r="J921" s="200"/>
      <c r="K921" s="200"/>
      <c r="L921" s="200"/>
      <c r="M921" s="200"/>
      <c r="N921" s="200"/>
      <c r="O921" s="200"/>
    </row>
    <row r="922" spans="1:15" ht="15.75" customHeight="1" x14ac:dyDescent="0.25">
      <c r="A922" s="192"/>
      <c r="B922" s="192"/>
      <c r="C922" s="200"/>
      <c r="D922" s="200"/>
      <c r="E922" s="200"/>
      <c r="F922" s="200"/>
      <c r="G922" s="200"/>
      <c r="H922" s="200"/>
      <c r="I922" s="200"/>
      <c r="J922" s="200"/>
      <c r="K922" s="200"/>
      <c r="L922" s="200"/>
      <c r="M922" s="200"/>
      <c r="N922" s="200"/>
      <c r="O922" s="200"/>
    </row>
    <row r="923" spans="1:15" ht="15.75" customHeight="1" x14ac:dyDescent="0.25">
      <c r="A923" s="192"/>
      <c r="B923" s="192"/>
      <c r="C923" s="200"/>
      <c r="D923" s="200"/>
      <c r="E923" s="200"/>
      <c r="F923" s="200"/>
      <c r="G923" s="200"/>
      <c r="H923" s="200"/>
      <c r="I923" s="200"/>
      <c r="J923" s="200"/>
      <c r="K923" s="200"/>
      <c r="L923" s="200"/>
      <c r="M923" s="200"/>
      <c r="N923" s="200"/>
      <c r="O923" s="200"/>
    </row>
    <row r="924" spans="1:15" ht="15.75" customHeight="1" x14ac:dyDescent="0.25">
      <c r="A924" s="192"/>
      <c r="B924" s="192"/>
      <c r="C924" s="200"/>
      <c r="D924" s="200"/>
      <c r="E924" s="200"/>
      <c r="F924" s="200"/>
      <c r="G924" s="200"/>
      <c r="H924" s="200"/>
      <c r="I924" s="200"/>
      <c r="J924" s="200"/>
      <c r="K924" s="200"/>
      <c r="L924" s="200"/>
      <c r="M924" s="200"/>
      <c r="N924" s="200"/>
      <c r="O924" s="200"/>
    </row>
    <row r="925" spans="1:15" ht="15.75" customHeight="1" x14ac:dyDescent="0.25">
      <c r="A925" s="192"/>
      <c r="B925" s="192"/>
      <c r="C925" s="200"/>
      <c r="D925" s="200"/>
      <c r="E925" s="200"/>
      <c r="F925" s="200"/>
      <c r="G925" s="200"/>
      <c r="H925" s="200"/>
      <c r="I925" s="200"/>
      <c r="J925" s="200"/>
      <c r="K925" s="200"/>
      <c r="L925" s="200"/>
      <c r="M925" s="200"/>
      <c r="N925" s="200"/>
      <c r="O925" s="200"/>
    </row>
    <row r="926" spans="1:15" ht="15.75" customHeight="1" x14ac:dyDescent="0.25">
      <c r="A926" s="192"/>
      <c r="B926" s="192"/>
      <c r="C926" s="200"/>
      <c r="D926" s="200"/>
      <c r="E926" s="200"/>
      <c r="F926" s="200"/>
      <c r="G926" s="200"/>
      <c r="H926" s="200"/>
      <c r="I926" s="200"/>
      <c r="J926" s="200"/>
      <c r="K926" s="200"/>
      <c r="L926" s="200"/>
      <c r="M926" s="200"/>
      <c r="N926" s="200"/>
      <c r="O926" s="200"/>
    </row>
    <row r="927" spans="1:15" ht="15.75" customHeight="1" x14ac:dyDescent="0.25">
      <c r="A927" s="192"/>
      <c r="B927" s="192"/>
      <c r="C927" s="200"/>
      <c r="D927" s="200"/>
      <c r="E927" s="200"/>
      <c r="F927" s="200"/>
      <c r="G927" s="200"/>
      <c r="H927" s="200"/>
      <c r="I927" s="200"/>
      <c r="J927" s="200"/>
      <c r="K927" s="200"/>
      <c r="L927" s="200"/>
      <c r="M927" s="200"/>
      <c r="N927" s="200"/>
      <c r="O927" s="200"/>
    </row>
    <row r="928" spans="1:15" ht="15.75" customHeight="1" x14ac:dyDescent="0.25">
      <c r="A928" s="192"/>
      <c r="B928" s="192"/>
      <c r="C928" s="200"/>
      <c r="D928" s="200"/>
      <c r="E928" s="200"/>
      <c r="F928" s="200"/>
      <c r="G928" s="200"/>
      <c r="H928" s="200"/>
      <c r="I928" s="200"/>
      <c r="J928" s="200"/>
      <c r="K928" s="200"/>
      <c r="L928" s="200"/>
      <c r="M928" s="200"/>
      <c r="N928" s="200"/>
      <c r="O928" s="200"/>
    </row>
    <row r="929" spans="1:15" ht="15.75" customHeight="1" x14ac:dyDescent="0.25">
      <c r="A929" s="192"/>
      <c r="B929" s="192"/>
      <c r="C929" s="200"/>
      <c r="D929" s="200"/>
      <c r="E929" s="200"/>
      <c r="F929" s="200"/>
      <c r="G929" s="200"/>
      <c r="H929" s="200"/>
      <c r="I929" s="200"/>
      <c r="J929" s="200"/>
      <c r="K929" s="200"/>
      <c r="L929" s="200"/>
      <c r="M929" s="200"/>
      <c r="N929" s="200"/>
      <c r="O929" s="200"/>
    </row>
    <row r="930" spans="1:15" ht="15.75" customHeight="1" x14ac:dyDescent="0.25">
      <c r="A930" s="192"/>
      <c r="B930" s="192"/>
      <c r="C930" s="200"/>
      <c r="D930" s="200"/>
      <c r="E930" s="200"/>
      <c r="F930" s="200"/>
      <c r="G930" s="200"/>
      <c r="H930" s="200"/>
      <c r="I930" s="200"/>
      <c r="J930" s="200"/>
      <c r="K930" s="200"/>
      <c r="L930" s="200"/>
      <c r="M930" s="200"/>
      <c r="N930" s="200"/>
      <c r="O930" s="200"/>
    </row>
    <row r="931" spans="1:15" ht="15.75" customHeight="1" x14ac:dyDescent="0.25">
      <c r="A931" s="192"/>
      <c r="B931" s="192"/>
      <c r="C931" s="200"/>
      <c r="D931" s="200"/>
      <c r="E931" s="200"/>
      <c r="F931" s="200"/>
      <c r="G931" s="200"/>
      <c r="H931" s="200"/>
      <c r="I931" s="200"/>
      <c r="J931" s="200"/>
      <c r="K931" s="200"/>
      <c r="L931" s="200"/>
      <c r="M931" s="200"/>
      <c r="N931" s="200"/>
      <c r="O931" s="200"/>
    </row>
    <row r="932" spans="1:15" ht="15.75" customHeight="1" x14ac:dyDescent="0.25">
      <c r="A932" s="192"/>
      <c r="B932" s="192"/>
      <c r="C932" s="200"/>
      <c r="D932" s="200"/>
      <c r="E932" s="200"/>
      <c r="F932" s="200"/>
      <c r="G932" s="200"/>
      <c r="H932" s="200"/>
      <c r="I932" s="200"/>
      <c r="J932" s="200"/>
      <c r="K932" s="200"/>
      <c r="L932" s="200"/>
      <c r="M932" s="200"/>
      <c r="N932" s="200"/>
      <c r="O932" s="200"/>
    </row>
    <row r="933" spans="1:15" ht="15.75" customHeight="1" x14ac:dyDescent="0.25">
      <c r="A933" s="192"/>
      <c r="B933" s="192"/>
      <c r="C933" s="200"/>
      <c r="D933" s="200"/>
      <c r="E933" s="200"/>
      <c r="F933" s="200"/>
      <c r="G933" s="200"/>
      <c r="H933" s="200"/>
      <c r="I933" s="200"/>
      <c r="J933" s="200"/>
      <c r="K933" s="200"/>
      <c r="L933" s="200"/>
      <c r="M933" s="200"/>
      <c r="N933" s="200"/>
      <c r="O933" s="200"/>
    </row>
    <row r="934" spans="1:15" ht="15.75" customHeight="1" x14ac:dyDescent="0.25">
      <c r="A934" s="192"/>
      <c r="B934" s="192"/>
      <c r="C934" s="200"/>
      <c r="D934" s="200"/>
      <c r="E934" s="200"/>
      <c r="F934" s="200"/>
      <c r="G934" s="200"/>
      <c r="H934" s="200"/>
      <c r="I934" s="200"/>
      <c r="J934" s="200"/>
      <c r="K934" s="200"/>
      <c r="L934" s="200"/>
      <c r="M934" s="200"/>
      <c r="N934" s="200"/>
      <c r="O934" s="200"/>
    </row>
    <row r="935" spans="1:15" ht="15.75" customHeight="1" x14ac:dyDescent="0.25">
      <c r="A935" s="192"/>
      <c r="B935" s="192"/>
      <c r="C935" s="200"/>
      <c r="D935" s="200"/>
      <c r="E935" s="200"/>
      <c r="F935" s="200"/>
      <c r="G935" s="200"/>
      <c r="H935" s="200"/>
      <c r="I935" s="200"/>
      <c r="J935" s="200"/>
      <c r="K935" s="200"/>
      <c r="L935" s="200"/>
      <c r="M935" s="200"/>
      <c r="N935" s="200"/>
      <c r="O935" s="200"/>
    </row>
    <row r="936" spans="1:15" ht="15.75" customHeight="1" x14ac:dyDescent="0.25">
      <c r="A936" s="192"/>
      <c r="B936" s="192"/>
      <c r="C936" s="200"/>
      <c r="D936" s="200"/>
      <c r="E936" s="200"/>
      <c r="F936" s="200"/>
      <c r="G936" s="200"/>
      <c r="H936" s="200"/>
      <c r="I936" s="200"/>
      <c r="J936" s="200"/>
      <c r="K936" s="200"/>
      <c r="L936" s="200"/>
      <c r="M936" s="200"/>
      <c r="N936" s="200"/>
      <c r="O936" s="200"/>
    </row>
    <row r="937" spans="1:15" ht="15.75" customHeight="1" x14ac:dyDescent="0.25">
      <c r="A937" s="192"/>
      <c r="B937" s="192"/>
      <c r="C937" s="200"/>
      <c r="D937" s="200"/>
      <c r="E937" s="200"/>
      <c r="F937" s="200"/>
      <c r="G937" s="200"/>
      <c r="H937" s="200"/>
      <c r="I937" s="200"/>
      <c r="J937" s="200"/>
      <c r="K937" s="200"/>
      <c r="L937" s="200"/>
      <c r="M937" s="200"/>
      <c r="N937" s="200"/>
      <c r="O937" s="200"/>
    </row>
    <row r="938" spans="1:15" ht="15.75" customHeight="1" x14ac:dyDescent="0.25">
      <c r="A938" s="192"/>
      <c r="B938" s="192"/>
      <c r="C938" s="200"/>
      <c r="D938" s="200"/>
      <c r="E938" s="200"/>
      <c r="F938" s="200"/>
      <c r="G938" s="200"/>
      <c r="H938" s="200"/>
      <c r="I938" s="200"/>
      <c r="J938" s="200"/>
      <c r="K938" s="200"/>
      <c r="L938" s="200"/>
      <c r="M938" s="200"/>
      <c r="N938" s="200"/>
      <c r="O938" s="200"/>
    </row>
    <row r="939" spans="1:15" ht="15.75" customHeight="1" x14ac:dyDescent="0.25">
      <c r="A939" s="192"/>
      <c r="B939" s="192"/>
      <c r="C939" s="200"/>
      <c r="D939" s="200"/>
      <c r="E939" s="200"/>
      <c r="F939" s="200"/>
      <c r="G939" s="200"/>
      <c r="H939" s="200"/>
      <c r="I939" s="200"/>
      <c r="J939" s="200"/>
      <c r="K939" s="200"/>
      <c r="L939" s="200"/>
      <c r="M939" s="200"/>
      <c r="N939" s="200"/>
      <c r="O939" s="200"/>
    </row>
    <row r="940" spans="1:15" ht="15.75" customHeight="1" x14ac:dyDescent="0.25">
      <c r="A940" s="192"/>
      <c r="B940" s="192"/>
      <c r="C940" s="200"/>
      <c r="D940" s="200"/>
      <c r="E940" s="200"/>
      <c r="F940" s="200"/>
      <c r="G940" s="200"/>
      <c r="H940" s="200"/>
      <c r="I940" s="200"/>
      <c r="J940" s="200"/>
      <c r="K940" s="200"/>
      <c r="L940" s="200"/>
      <c r="M940" s="200"/>
      <c r="N940" s="200"/>
      <c r="O940" s="200"/>
    </row>
    <row r="941" spans="1:15" ht="15.75" customHeight="1" x14ac:dyDescent="0.25">
      <c r="A941" s="192"/>
      <c r="B941" s="192"/>
      <c r="C941" s="200"/>
      <c r="D941" s="200"/>
      <c r="E941" s="200"/>
      <c r="F941" s="200"/>
      <c r="G941" s="200"/>
      <c r="H941" s="200"/>
      <c r="I941" s="200"/>
      <c r="J941" s="200"/>
      <c r="K941" s="200"/>
      <c r="L941" s="200"/>
      <c r="M941" s="200"/>
      <c r="N941" s="200"/>
      <c r="O941" s="200"/>
    </row>
    <row r="942" spans="1:15" ht="15.75" customHeight="1" x14ac:dyDescent="0.25">
      <c r="A942" s="192"/>
      <c r="B942" s="192"/>
      <c r="C942" s="200"/>
      <c r="D942" s="200"/>
      <c r="E942" s="200"/>
      <c r="F942" s="200"/>
      <c r="G942" s="200"/>
      <c r="H942" s="200"/>
      <c r="I942" s="200"/>
      <c r="J942" s="200"/>
      <c r="K942" s="200"/>
      <c r="L942" s="200"/>
      <c r="M942" s="200"/>
      <c r="N942" s="200"/>
      <c r="O942" s="200"/>
    </row>
    <row r="943" spans="1:15" ht="15.75" customHeight="1" x14ac:dyDescent="0.25">
      <c r="A943" s="192"/>
      <c r="B943" s="192"/>
      <c r="C943" s="200"/>
      <c r="D943" s="200"/>
      <c r="E943" s="200"/>
      <c r="F943" s="200"/>
      <c r="G943" s="200"/>
      <c r="H943" s="200"/>
      <c r="I943" s="200"/>
      <c r="J943" s="200"/>
      <c r="K943" s="200"/>
      <c r="L943" s="200"/>
      <c r="M943" s="200"/>
      <c r="N943" s="200"/>
      <c r="O943" s="200"/>
    </row>
    <row r="944" spans="1:15" ht="15.75" customHeight="1" x14ac:dyDescent="0.25">
      <c r="A944" s="192"/>
      <c r="B944" s="192"/>
      <c r="C944" s="200"/>
      <c r="D944" s="200"/>
      <c r="E944" s="200"/>
      <c r="F944" s="200"/>
      <c r="G944" s="200"/>
      <c r="H944" s="200"/>
      <c r="I944" s="200"/>
      <c r="J944" s="200"/>
      <c r="K944" s="200"/>
      <c r="L944" s="200"/>
      <c r="M944" s="200"/>
      <c r="N944" s="200"/>
      <c r="O944" s="200"/>
    </row>
    <row r="945" spans="1:15" ht="15.75" customHeight="1" x14ac:dyDescent="0.25">
      <c r="A945" s="192"/>
      <c r="B945" s="192"/>
      <c r="C945" s="200"/>
      <c r="D945" s="200"/>
      <c r="E945" s="200"/>
      <c r="F945" s="200"/>
      <c r="G945" s="200"/>
      <c r="H945" s="200"/>
      <c r="I945" s="200"/>
      <c r="J945" s="200"/>
      <c r="K945" s="200"/>
      <c r="L945" s="200"/>
      <c r="M945" s="200"/>
      <c r="N945" s="200"/>
      <c r="O945" s="200"/>
    </row>
    <row r="946" spans="1:15" ht="15.75" customHeight="1" x14ac:dyDescent="0.25">
      <c r="A946" s="192"/>
      <c r="B946" s="192"/>
      <c r="C946" s="200"/>
      <c r="D946" s="200"/>
      <c r="E946" s="200"/>
      <c r="F946" s="200"/>
      <c r="G946" s="200"/>
      <c r="H946" s="200"/>
      <c r="I946" s="200"/>
      <c r="J946" s="200"/>
      <c r="K946" s="200"/>
      <c r="L946" s="200"/>
      <c r="M946" s="200"/>
      <c r="N946" s="200"/>
      <c r="O946" s="200"/>
    </row>
    <row r="947" spans="1:15" ht="15.75" customHeight="1" x14ac:dyDescent="0.25">
      <c r="A947" s="192"/>
      <c r="B947" s="192"/>
      <c r="C947" s="200"/>
      <c r="D947" s="200"/>
      <c r="E947" s="200"/>
      <c r="F947" s="200"/>
      <c r="G947" s="200"/>
      <c r="H947" s="200"/>
      <c r="I947" s="200"/>
      <c r="J947" s="200"/>
      <c r="K947" s="200"/>
      <c r="L947" s="200"/>
      <c r="M947" s="200"/>
      <c r="N947" s="200"/>
      <c r="O947" s="200"/>
    </row>
    <row r="948" spans="1:15" ht="15.75" customHeight="1" x14ac:dyDescent="0.25">
      <c r="A948" s="192"/>
      <c r="B948" s="192"/>
      <c r="C948" s="200"/>
      <c r="D948" s="200"/>
      <c r="E948" s="200"/>
      <c r="F948" s="200"/>
      <c r="G948" s="200"/>
      <c r="H948" s="200"/>
      <c r="I948" s="200"/>
      <c r="J948" s="200"/>
      <c r="K948" s="200"/>
      <c r="L948" s="200"/>
      <c r="M948" s="200"/>
      <c r="N948" s="200"/>
      <c r="O948" s="200"/>
    </row>
    <row r="949" spans="1:15" ht="15.75" customHeight="1" x14ac:dyDescent="0.25">
      <c r="A949" s="192"/>
      <c r="B949" s="192"/>
      <c r="C949" s="200"/>
      <c r="D949" s="200"/>
      <c r="E949" s="200"/>
      <c r="F949" s="200"/>
      <c r="G949" s="200"/>
      <c r="H949" s="200"/>
      <c r="I949" s="200"/>
      <c r="J949" s="200"/>
      <c r="K949" s="200"/>
      <c r="L949" s="200"/>
      <c r="M949" s="200"/>
      <c r="N949" s="200"/>
      <c r="O949" s="200"/>
    </row>
    <row r="950" spans="1:15" ht="15.75" customHeight="1" x14ac:dyDescent="0.25">
      <c r="A950" s="192"/>
      <c r="B950" s="192"/>
      <c r="C950" s="200"/>
      <c r="D950" s="200"/>
      <c r="E950" s="200"/>
      <c r="F950" s="200"/>
      <c r="G950" s="200"/>
      <c r="H950" s="200"/>
      <c r="I950" s="200"/>
      <c r="J950" s="200"/>
      <c r="K950" s="200"/>
      <c r="L950" s="200"/>
      <c r="M950" s="200"/>
      <c r="N950" s="200"/>
      <c r="O950" s="200"/>
    </row>
    <row r="951" spans="1:15" ht="15.75" customHeight="1" x14ac:dyDescent="0.25">
      <c r="A951" s="192"/>
      <c r="B951" s="192"/>
      <c r="C951" s="200"/>
      <c r="D951" s="200"/>
      <c r="E951" s="200"/>
      <c r="F951" s="200"/>
      <c r="G951" s="200"/>
      <c r="H951" s="200"/>
      <c r="I951" s="200"/>
      <c r="J951" s="200"/>
      <c r="K951" s="200"/>
      <c r="L951" s="200"/>
      <c r="M951" s="200"/>
      <c r="N951" s="200"/>
      <c r="O951" s="200"/>
    </row>
    <row r="952" spans="1:15" ht="15.75" customHeight="1" x14ac:dyDescent="0.25">
      <c r="A952" s="192"/>
      <c r="B952" s="192"/>
      <c r="C952" s="200"/>
      <c r="D952" s="200"/>
      <c r="E952" s="200"/>
      <c r="F952" s="200"/>
      <c r="G952" s="200"/>
      <c r="H952" s="200"/>
      <c r="I952" s="200"/>
      <c r="J952" s="200"/>
      <c r="K952" s="200"/>
      <c r="L952" s="200"/>
      <c r="M952" s="200"/>
      <c r="N952" s="200"/>
      <c r="O952" s="200"/>
    </row>
    <row r="953" spans="1:15" ht="15.75" customHeight="1" x14ac:dyDescent="0.25">
      <c r="A953" s="192"/>
      <c r="B953" s="192"/>
      <c r="C953" s="200"/>
      <c r="D953" s="200"/>
      <c r="E953" s="200"/>
      <c r="F953" s="200"/>
      <c r="G953" s="200"/>
      <c r="H953" s="200"/>
      <c r="I953" s="200"/>
      <c r="J953" s="200"/>
      <c r="K953" s="200"/>
      <c r="L953" s="200"/>
      <c r="M953" s="200"/>
      <c r="N953" s="200"/>
      <c r="O953" s="200"/>
    </row>
    <row r="954" spans="1:15" ht="15.75" customHeight="1" x14ac:dyDescent="0.25">
      <c r="A954" s="192"/>
      <c r="B954" s="192"/>
      <c r="C954" s="200"/>
      <c r="D954" s="200"/>
      <c r="E954" s="200"/>
      <c r="F954" s="200"/>
      <c r="G954" s="200"/>
      <c r="H954" s="200"/>
      <c r="I954" s="200"/>
      <c r="J954" s="200"/>
      <c r="K954" s="200"/>
      <c r="L954" s="200"/>
      <c r="M954" s="200"/>
      <c r="N954" s="200"/>
      <c r="O954" s="200"/>
    </row>
    <row r="955" spans="1:15" ht="15.75" customHeight="1" x14ac:dyDescent="0.25">
      <c r="A955" s="192"/>
      <c r="B955" s="192"/>
      <c r="C955" s="200"/>
      <c r="D955" s="200"/>
      <c r="E955" s="200"/>
      <c r="F955" s="200"/>
      <c r="G955" s="200"/>
      <c r="H955" s="200"/>
      <c r="I955" s="200"/>
      <c r="J955" s="200"/>
      <c r="K955" s="200"/>
      <c r="L955" s="200"/>
      <c r="M955" s="200"/>
      <c r="N955" s="200"/>
      <c r="O955" s="200"/>
    </row>
    <row r="956" spans="1:15" ht="15.75" customHeight="1" x14ac:dyDescent="0.25">
      <c r="A956" s="192"/>
      <c r="B956" s="192"/>
      <c r="C956" s="200"/>
      <c r="D956" s="200"/>
      <c r="E956" s="200"/>
      <c r="F956" s="200"/>
      <c r="G956" s="200"/>
      <c r="H956" s="200"/>
      <c r="I956" s="200"/>
      <c r="J956" s="200"/>
      <c r="K956" s="200"/>
      <c r="L956" s="200"/>
      <c r="M956" s="200"/>
      <c r="N956" s="200"/>
      <c r="O956" s="200"/>
    </row>
    <row r="957" spans="1:15" ht="15.75" customHeight="1" x14ac:dyDescent="0.25">
      <c r="A957" s="192"/>
      <c r="B957" s="192"/>
      <c r="C957" s="200"/>
      <c r="D957" s="200"/>
      <c r="E957" s="200"/>
      <c r="F957" s="200"/>
      <c r="G957" s="200"/>
      <c r="H957" s="200"/>
      <c r="I957" s="200"/>
      <c r="J957" s="200"/>
      <c r="K957" s="200"/>
      <c r="L957" s="200"/>
      <c r="M957" s="200"/>
      <c r="N957" s="200"/>
      <c r="O957" s="200"/>
    </row>
    <row r="958" spans="1:15" ht="15.75" customHeight="1" x14ac:dyDescent="0.25">
      <c r="A958" s="192"/>
      <c r="B958" s="192"/>
      <c r="C958" s="200"/>
      <c r="D958" s="200"/>
      <c r="E958" s="200"/>
      <c r="F958" s="200"/>
      <c r="G958" s="200"/>
      <c r="H958" s="200"/>
      <c r="I958" s="200"/>
      <c r="J958" s="200"/>
      <c r="K958" s="200"/>
      <c r="L958" s="200"/>
      <c r="M958" s="200"/>
      <c r="N958" s="200"/>
      <c r="O958" s="200"/>
    </row>
    <row r="959" spans="1:15" ht="15.75" customHeight="1" x14ac:dyDescent="0.25">
      <c r="A959" s="192"/>
      <c r="B959" s="192"/>
      <c r="C959" s="200"/>
      <c r="D959" s="200"/>
      <c r="E959" s="200"/>
      <c r="F959" s="200"/>
      <c r="G959" s="200"/>
      <c r="H959" s="200"/>
      <c r="I959" s="200"/>
      <c r="J959" s="200"/>
      <c r="K959" s="200"/>
      <c r="L959" s="200"/>
      <c r="M959" s="200"/>
      <c r="N959" s="200"/>
      <c r="O959" s="200"/>
    </row>
    <row r="960" spans="1:15" ht="15.75" customHeight="1" x14ac:dyDescent="0.25">
      <c r="A960" s="192"/>
      <c r="B960" s="192"/>
      <c r="C960" s="200"/>
      <c r="D960" s="200"/>
      <c r="E960" s="200"/>
      <c r="F960" s="200"/>
      <c r="G960" s="200"/>
      <c r="H960" s="200"/>
      <c r="I960" s="200"/>
      <c r="J960" s="200"/>
      <c r="K960" s="200"/>
      <c r="L960" s="200"/>
      <c r="M960" s="200"/>
      <c r="N960" s="200"/>
      <c r="O960" s="200"/>
    </row>
    <row r="961" spans="1:15" ht="15.75" customHeight="1" x14ac:dyDescent="0.25">
      <c r="A961" s="192"/>
      <c r="B961" s="192"/>
      <c r="C961" s="200"/>
      <c r="D961" s="200"/>
      <c r="E961" s="200"/>
      <c r="F961" s="200"/>
      <c r="G961" s="200"/>
      <c r="H961" s="200"/>
      <c r="I961" s="200"/>
      <c r="J961" s="200"/>
      <c r="K961" s="200"/>
      <c r="L961" s="200"/>
      <c r="M961" s="200"/>
      <c r="N961" s="200"/>
      <c r="O961" s="200"/>
    </row>
    <row r="962" spans="1:15" ht="15.75" customHeight="1" x14ac:dyDescent="0.25">
      <c r="A962" s="192"/>
      <c r="B962" s="192"/>
      <c r="C962" s="200"/>
      <c r="D962" s="200"/>
      <c r="E962" s="200"/>
      <c r="F962" s="200"/>
      <c r="G962" s="200"/>
      <c r="H962" s="200"/>
      <c r="I962" s="200"/>
      <c r="J962" s="200"/>
      <c r="K962" s="200"/>
      <c r="L962" s="200"/>
      <c r="M962" s="200"/>
      <c r="N962" s="200"/>
      <c r="O962" s="200"/>
    </row>
    <row r="963" spans="1:15" ht="15.75" customHeight="1" x14ac:dyDescent="0.25">
      <c r="A963" s="192"/>
      <c r="B963" s="192"/>
      <c r="C963" s="200"/>
      <c r="D963" s="200"/>
      <c r="E963" s="200"/>
      <c r="F963" s="200"/>
      <c r="G963" s="200"/>
      <c r="H963" s="200"/>
      <c r="I963" s="200"/>
      <c r="J963" s="200"/>
      <c r="K963" s="200"/>
      <c r="L963" s="200"/>
      <c r="M963" s="200"/>
      <c r="N963" s="200"/>
      <c r="O963" s="200"/>
    </row>
    <row r="964" spans="1:15" ht="15.75" customHeight="1" x14ac:dyDescent="0.25">
      <c r="A964" s="192"/>
      <c r="B964" s="192"/>
      <c r="C964" s="200"/>
      <c r="D964" s="200"/>
      <c r="E964" s="200"/>
      <c r="F964" s="200"/>
      <c r="G964" s="200"/>
      <c r="H964" s="200"/>
      <c r="I964" s="200"/>
      <c r="J964" s="200"/>
      <c r="K964" s="200"/>
      <c r="L964" s="200"/>
      <c r="M964" s="200"/>
      <c r="N964" s="200"/>
      <c r="O964" s="200"/>
    </row>
    <row r="965" spans="1:15" ht="15.75" customHeight="1" x14ac:dyDescent="0.25">
      <c r="A965" s="192"/>
      <c r="B965" s="192"/>
      <c r="C965" s="200"/>
      <c r="D965" s="200"/>
      <c r="E965" s="200"/>
      <c r="F965" s="200"/>
      <c r="G965" s="200"/>
      <c r="H965" s="200"/>
      <c r="I965" s="200"/>
      <c r="J965" s="200"/>
      <c r="K965" s="200"/>
      <c r="L965" s="200"/>
      <c r="M965" s="200"/>
      <c r="N965" s="200"/>
      <c r="O965" s="200"/>
    </row>
    <row r="966" spans="1:15" ht="15.75" customHeight="1" x14ac:dyDescent="0.25">
      <c r="A966" s="192"/>
      <c r="B966" s="192"/>
      <c r="C966" s="200"/>
      <c r="D966" s="200"/>
      <c r="E966" s="200"/>
      <c r="F966" s="200"/>
      <c r="G966" s="200"/>
      <c r="H966" s="200"/>
      <c r="I966" s="200"/>
      <c r="J966" s="200"/>
      <c r="K966" s="200"/>
      <c r="L966" s="200"/>
      <c r="M966" s="200"/>
      <c r="N966" s="200"/>
      <c r="O966" s="200"/>
    </row>
    <row r="967" spans="1:15" ht="15.75" customHeight="1" x14ac:dyDescent="0.25">
      <c r="A967" s="192"/>
      <c r="B967" s="192"/>
      <c r="C967" s="200"/>
      <c r="D967" s="200"/>
      <c r="E967" s="200"/>
      <c r="F967" s="200"/>
      <c r="G967" s="200"/>
      <c r="H967" s="200"/>
      <c r="I967" s="200"/>
      <c r="J967" s="200"/>
      <c r="K967" s="200"/>
      <c r="L967" s="200"/>
      <c r="M967" s="200"/>
      <c r="N967" s="200"/>
      <c r="O967" s="200"/>
    </row>
    <row r="968" spans="1:15" ht="15.75" customHeight="1" x14ac:dyDescent="0.25">
      <c r="A968" s="192"/>
      <c r="B968" s="192"/>
      <c r="C968" s="200"/>
      <c r="D968" s="200"/>
      <c r="E968" s="200"/>
      <c r="F968" s="200"/>
      <c r="G968" s="200"/>
      <c r="H968" s="200"/>
      <c r="I968" s="200"/>
      <c r="J968" s="200"/>
      <c r="K968" s="200"/>
      <c r="L968" s="200"/>
      <c r="M968" s="200"/>
      <c r="N968" s="200"/>
      <c r="O968" s="200"/>
    </row>
    <row r="969" spans="1:15" ht="15.75" customHeight="1" x14ac:dyDescent="0.25">
      <c r="A969" s="192"/>
      <c r="B969" s="192"/>
      <c r="C969" s="200"/>
      <c r="D969" s="200"/>
      <c r="E969" s="200"/>
      <c r="F969" s="200"/>
      <c r="G969" s="200"/>
      <c r="H969" s="200"/>
      <c r="I969" s="200"/>
      <c r="J969" s="200"/>
      <c r="K969" s="200"/>
      <c r="L969" s="200"/>
      <c r="M969" s="200"/>
      <c r="N969" s="200"/>
      <c r="O969" s="200"/>
    </row>
    <row r="970" spans="1:15" ht="15.75" customHeight="1" x14ac:dyDescent="0.25">
      <c r="A970" s="192"/>
      <c r="B970" s="192"/>
      <c r="C970" s="200"/>
      <c r="D970" s="200"/>
      <c r="E970" s="200"/>
      <c r="F970" s="200"/>
      <c r="G970" s="200"/>
      <c r="H970" s="200"/>
      <c r="I970" s="200"/>
      <c r="J970" s="200"/>
      <c r="K970" s="200"/>
      <c r="L970" s="200"/>
      <c r="M970" s="200"/>
      <c r="N970" s="200"/>
      <c r="O970" s="200"/>
    </row>
    <row r="971" spans="1:15" ht="15.75" customHeight="1" x14ac:dyDescent="0.25">
      <c r="A971" s="192"/>
      <c r="B971" s="192"/>
      <c r="C971" s="200"/>
      <c r="D971" s="200"/>
      <c r="E971" s="200"/>
      <c r="F971" s="200"/>
      <c r="G971" s="200"/>
      <c r="H971" s="200"/>
      <c r="I971" s="200"/>
      <c r="J971" s="200"/>
      <c r="K971" s="200"/>
      <c r="L971" s="200"/>
      <c r="M971" s="200"/>
      <c r="N971" s="200"/>
      <c r="O971" s="200"/>
    </row>
    <row r="972" spans="1:15" ht="15.75" customHeight="1" x14ac:dyDescent="0.25">
      <c r="A972" s="192"/>
      <c r="B972" s="192"/>
      <c r="C972" s="200"/>
      <c r="D972" s="200"/>
      <c r="E972" s="200"/>
      <c r="F972" s="200"/>
      <c r="G972" s="200"/>
      <c r="H972" s="200"/>
      <c r="I972" s="200"/>
      <c r="J972" s="200"/>
      <c r="K972" s="200"/>
      <c r="L972" s="200"/>
      <c r="M972" s="200"/>
      <c r="N972" s="200"/>
      <c r="O972" s="200"/>
    </row>
    <row r="973" spans="1:15" ht="15.75" customHeight="1" x14ac:dyDescent="0.25">
      <c r="A973" s="192"/>
      <c r="B973" s="192"/>
      <c r="C973" s="200"/>
      <c r="D973" s="200"/>
      <c r="E973" s="200"/>
      <c r="F973" s="200"/>
      <c r="G973" s="200"/>
      <c r="H973" s="200"/>
      <c r="I973" s="200"/>
      <c r="J973" s="200"/>
      <c r="K973" s="200"/>
      <c r="L973" s="200"/>
      <c r="M973" s="200"/>
      <c r="N973" s="200"/>
      <c r="O973" s="200"/>
    </row>
    <row r="974" spans="1:15" ht="15.75" customHeight="1" x14ac:dyDescent="0.25">
      <c r="A974" s="192"/>
      <c r="B974" s="192"/>
      <c r="C974" s="200"/>
      <c r="D974" s="200"/>
      <c r="E974" s="200"/>
      <c r="F974" s="200"/>
      <c r="G974" s="200"/>
      <c r="H974" s="200"/>
      <c r="I974" s="200"/>
      <c r="J974" s="200"/>
      <c r="K974" s="200"/>
      <c r="L974" s="200"/>
      <c r="M974" s="200"/>
      <c r="N974" s="200"/>
      <c r="O974" s="200"/>
    </row>
    <row r="975" spans="1:15" ht="15.75" customHeight="1" x14ac:dyDescent="0.25">
      <c r="A975" s="192"/>
      <c r="B975" s="192"/>
      <c r="C975" s="200"/>
      <c r="D975" s="200"/>
      <c r="E975" s="200"/>
      <c r="F975" s="200"/>
      <c r="G975" s="200"/>
      <c r="H975" s="200"/>
      <c r="I975" s="200"/>
      <c r="J975" s="200"/>
      <c r="K975" s="200"/>
      <c r="L975" s="200"/>
      <c r="M975" s="200"/>
      <c r="N975" s="200"/>
      <c r="O975" s="200"/>
    </row>
    <row r="976" spans="1:15" ht="15.75" customHeight="1" x14ac:dyDescent="0.25">
      <c r="A976" s="192"/>
      <c r="B976" s="192"/>
      <c r="C976" s="200"/>
      <c r="D976" s="200"/>
      <c r="E976" s="200"/>
      <c r="F976" s="200"/>
      <c r="G976" s="200"/>
      <c r="H976" s="200"/>
      <c r="I976" s="200"/>
      <c r="J976" s="200"/>
      <c r="K976" s="200"/>
      <c r="L976" s="200"/>
      <c r="M976" s="200"/>
      <c r="N976" s="200"/>
      <c r="O976" s="200"/>
    </row>
    <row r="977" spans="1:15" ht="15.75" customHeight="1" x14ac:dyDescent="0.25">
      <c r="A977" s="192"/>
      <c r="B977" s="192"/>
      <c r="C977" s="200"/>
      <c r="D977" s="200"/>
      <c r="E977" s="200"/>
      <c r="F977" s="200"/>
      <c r="G977" s="200"/>
      <c r="H977" s="200"/>
      <c r="I977" s="200"/>
      <c r="J977" s="200"/>
      <c r="K977" s="200"/>
      <c r="L977" s="200"/>
      <c r="M977" s="200"/>
      <c r="N977" s="200"/>
      <c r="O977" s="200"/>
    </row>
    <row r="978" spans="1:15" ht="15.75" customHeight="1" x14ac:dyDescent="0.25">
      <c r="A978" s="192"/>
      <c r="B978" s="192"/>
      <c r="C978" s="200"/>
      <c r="D978" s="200"/>
      <c r="E978" s="200"/>
      <c r="F978" s="200"/>
      <c r="G978" s="200"/>
      <c r="H978" s="200"/>
      <c r="I978" s="200"/>
      <c r="J978" s="200"/>
      <c r="K978" s="200"/>
      <c r="L978" s="200"/>
      <c r="M978" s="200"/>
      <c r="N978" s="200"/>
      <c r="O978" s="200"/>
    </row>
    <row r="979" spans="1:15" ht="15.75" customHeight="1" x14ac:dyDescent="0.25">
      <c r="A979" s="192"/>
      <c r="B979" s="192"/>
      <c r="C979" s="200"/>
      <c r="D979" s="200"/>
      <c r="E979" s="200"/>
      <c r="F979" s="200"/>
      <c r="G979" s="200"/>
      <c r="H979" s="200"/>
      <c r="I979" s="200"/>
      <c r="J979" s="200"/>
      <c r="K979" s="200"/>
      <c r="L979" s="200"/>
      <c r="M979" s="200"/>
      <c r="N979" s="200"/>
      <c r="O979" s="200"/>
    </row>
    <row r="980" spans="1:15" ht="15.75" customHeight="1" x14ac:dyDescent="0.25">
      <c r="A980" s="192"/>
      <c r="B980" s="192"/>
      <c r="C980" s="200"/>
      <c r="D980" s="200"/>
      <c r="E980" s="200"/>
      <c r="F980" s="200"/>
      <c r="G980" s="200"/>
      <c r="H980" s="200"/>
      <c r="I980" s="200"/>
      <c r="J980" s="200"/>
      <c r="K980" s="200"/>
      <c r="L980" s="200"/>
      <c r="M980" s="200"/>
      <c r="N980" s="200"/>
      <c r="O980" s="200"/>
    </row>
    <row r="981" spans="1:15" ht="15.75" customHeight="1" x14ac:dyDescent="0.25">
      <c r="A981" s="192"/>
      <c r="B981" s="192"/>
      <c r="C981" s="200"/>
      <c r="D981" s="200"/>
      <c r="E981" s="200"/>
      <c r="F981" s="200"/>
      <c r="G981" s="200"/>
      <c r="H981" s="200"/>
      <c r="I981" s="200"/>
      <c r="J981" s="200"/>
      <c r="K981" s="200"/>
      <c r="L981" s="200"/>
      <c r="M981" s="200"/>
      <c r="N981" s="200"/>
      <c r="O981" s="200"/>
    </row>
    <row r="982" spans="1:15" ht="15.75" customHeight="1" x14ac:dyDescent="0.25">
      <c r="A982" s="192"/>
      <c r="B982" s="192"/>
      <c r="C982" s="200"/>
      <c r="D982" s="200"/>
      <c r="E982" s="200"/>
      <c r="F982" s="200"/>
      <c r="G982" s="200"/>
      <c r="H982" s="200"/>
      <c r="I982" s="200"/>
      <c r="J982" s="200"/>
      <c r="K982" s="200"/>
      <c r="L982" s="200"/>
      <c r="M982" s="200"/>
      <c r="N982" s="200"/>
      <c r="O982" s="200"/>
    </row>
    <row r="983" spans="1:15" ht="15.75" customHeight="1" x14ac:dyDescent="0.25">
      <c r="A983" s="192"/>
      <c r="B983" s="192"/>
      <c r="C983" s="200"/>
      <c r="D983" s="200"/>
      <c r="E983" s="200"/>
      <c r="F983" s="200"/>
      <c r="G983" s="200"/>
      <c r="H983" s="200"/>
      <c r="I983" s="200"/>
      <c r="J983" s="200"/>
      <c r="K983" s="200"/>
      <c r="L983" s="200"/>
      <c r="M983" s="200"/>
      <c r="N983" s="200"/>
      <c r="O983" s="200"/>
    </row>
    <row r="984" spans="1:15" ht="15.75" customHeight="1" x14ac:dyDescent="0.25">
      <c r="A984" s="192"/>
      <c r="B984" s="192"/>
      <c r="C984" s="200"/>
      <c r="D984" s="200"/>
      <c r="E984" s="200"/>
      <c r="F984" s="200"/>
      <c r="G984" s="200"/>
      <c r="H984" s="200"/>
      <c r="I984" s="200"/>
      <c r="J984" s="200"/>
      <c r="K984" s="200"/>
      <c r="L984" s="200"/>
      <c r="M984" s="200"/>
      <c r="N984" s="200"/>
      <c r="O984" s="200"/>
    </row>
    <row r="985" spans="1:15" ht="15.75" customHeight="1" x14ac:dyDescent="0.25">
      <c r="A985" s="192"/>
      <c r="B985" s="192"/>
      <c r="C985" s="200"/>
      <c r="D985" s="200"/>
      <c r="E985" s="200"/>
      <c r="F985" s="200"/>
      <c r="G985" s="200"/>
      <c r="H985" s="200"/>
      <c r="I985" s="200"/>
      <c r="J985" s="200"/>
      <c r="K985" s="200"/>
      <c r="L985" s="200"/>
      <c r="M985" s="200"/>
      <c r="N985" s="200"/>
      <c r="O985" s="200"/>
    </row>
    <row r="986" spans="1:15" ht="15.75" customHeight="1" x14ac:dyDescent="0.25">
      <c r="A986" s="192"/>
      <c r="B986" s="192"/>
      <c r="C986" s="200"/>
      <c r="D986" s="200"/>
      <c r="E986" s="200"/>
      <c r="F986" s="200"/>
      <c r="G986" s="200"/>
      <c r="H986" s="200"/>
      <c r="I986" s="200"/>
      <c r="J986" s="200"/>
      <c r="K986" s="200"/>
      <c r="L986" s="200"/>
      <c r="M986" s="200"/>
      <c r="N986" s="200"/>
      <c r="O986" s="200"/>
    </row>
    <row r="987" spans="1:15" ht="15.75" customHeight="1" x14ac:dyDescent="0.25">
      <c r="A987" s="192"/>
      <c r="B987" s="192"/>
      <c r="C987" s="200"/>
      <c r="D987" s="200"/>
      <c r="E987" s="200"/>
      <c r="F987" s="200"/>
      <c r="G987" s="200"/>
      <c r="H987" s="200"/>
      <c r="I987" s="200"/>
      <c r="J987" s="200"/>
      <c r="K987" s="200"/>
      <c r="L987" s="200"/>
      <c r="M987" s="200"/>
      <c r="N987" s="200"/>
      <c r="O987" s="200"/>
    </row>
    <row r="988" spans="1:15" ht="15.75" customHeight="1" x14ac:dyDescent="0.25">
      <c r="A988" s="192"/>
      <c r="B988" s="192"/>
      <c r="C988" s="200"/>
      <c r="D988" s="200"/>
      <c r="E988" s="200"/>
      <c r="F988" s="200"/>
      <c r="G988" s="200"/>
      <c r="H988" s="200"/>
      <c r="I988" s="200"/>
      <c r="J988" s="200"/>
      <c r="K988" s="200"/>
      <c r="L988" s="200"/>
      <c r="M988" s="200"/>
      <c r="N988" s="200"/>
      <c r="O988" s="200"/>
    </row>
    <row r="989" spans="1:15" ht="15.75" customHeight="1" x14ac:dyDescent="0.25">
      <c r="A989" s="192"/>
      <c r="B989" s="192"/>
      <c r="C989" s="200"/>
      <c r="D989" s="200"/>
      <c r="E989" s="200"/>
      <c r="F989" s="200"/>
      <c r="G989" s="200"/>
      <c r="H989" s="200"/>
      <c r="I989" s="200"/>
      <c r="J989" s="200"/>
      <c r="K989" s="200"/>
      <c r="L989" s="200"/>
      <c r="M989" s="200"/>
      <c r="N989" s="200"/>
      <c r="O989" s="200"/>
    </row>
    <row r="990" spans="1:15" ht="15.75" customHeight="1" x14ac:dyDescent="0.25">
      <c r="A990" s="192"/>
      <c r="B990" s="192"/>
      <c r="C990" s="200"/>
      <c r="D990" s="200"/>
      <c r="E990" s="200"/>
      <c r="F990" s="200"/>
      <c r="G990" s="200"/>
      <c r="H990" s="200"/>
      <c r="I990" s="200"/>
      <c r="J990" s="200"/>
      <c r="K990" s="200"/>
      <c r="L990" s="200"/>
      <c r="M990" s="200"/>
      <c r="N990" s="200"/>
      <c r="O990" s="200"/>
    </row>
    <row r="991" spans="1:15" ht="15.75" customHeight="1" x14ac:dyDescent="0.25">
      <c r="A991" s="192"/>
      <c r="B991" s="192"/>
      <c r="C991" s="200"/>
      <c r="D991" s="200"/>
      <c r="E991" s="200"/>
      <c r="F991" s="200"/>
      <c r="G991" s="200"/>
      <c r="H991" s="200"/>
      <c r="I991" s="200"/>
      <c r="J991" s="200"/>
      <c r="K991" s="200"/>
      <c r="L991" s="200"/>
      <c r="M991" s="200"/>
      <c r="N991" s="200"/>
      <c r="O991" s="200"/>
    </row>
    <row r="992" spans="1:15" ht="15.75" customHeight="1" x14ac:dyDescent="0.25">
      <c r="A992" s="192"/>
      <c r="B992" s="192"/>
      <c r="C992" s="200"/>
      <c r="D992" s="200"/>
      <c r="E992" s="200"/>
      <c r="F992" s="200"/>
      <c r="G992" s="200"/>
      <c r="H992" s="200"/>
      <c r="I992" s="200"/>
      <c r="J992" s="200"/>
      <c r="K992" s="200"/>
      <c r="L992" s="200"/>
      <c r="M992" s="200"/>
      <c r="N992" s="200"/>
      <c r="O992" s="200"/>
    </row>
    <row r="993" spans="1:15" ht="15.75" customHeight="1" x14ac:dyDescent="0.25">
      <c r="A993" s="192"/>
      <c r="B993" s="192"/>
      <c r="C993" s="200"/>
      <c r="D993" s="200"/>
      <c r="E993" s="200"/>
      <c r="F993" s="200"/>
      <c r="G993" s="200"/>
      <c r="H993" s="200"/>
      <c r="I993" s="200"/>
      <c r="J993" s="200"/>
      <c r="K993" s="200"/>
      <c r="L993" s="200"/>
      <c r="M993" s="200"/>
      <c r="N993" s="200"/>
      <c r="O993" s="200"/>
    </row>
    <row r="994" spans="1:15" ht="15.75" customHeight="1" x14ac:dyDescent="0.25">
      <c r="A994" s="192"/>
      <c r="B994" s="192"/>
      <c r="C994" s="200"/>
      <c r="D994" s="200"/>
      <c r="E994" s="200"/>
      <c r="F994" s="200"/>
      <c r="G994" s="200"/>
      <c r="H994" s="200"/>
      <c r="I994" s="200"/>
      <c r="J994" s="200"/>
      <c r="K994" s="200"/>
      <c r="L994" s="200"/>
      <c r="M994" s="200"/>
      <c r="N994" s="200"/>
      <c r="O994" s="200"/>
    </row>
    <row r="995" spans="1:15" ht="15.75" customHeight="1" x14ac:dyDescent="0.25">
      <c r="A995" s="192"/>
      <c r="B995" s="192"/>
      <c r="C995" s="200"/>
      <c r="D995" s="200"/>
      <c r="E995" s="200"/>
      <c r="F995" s="200"/>
      <c r="G995" s="200"/>
      <c r="H995" s="200"/>
      <c r="I995" s="200"/>
      <c r="J995" s="200"/>
      <c r="K995" s="200"/>
      <c r="L995" s="200"/>
      <c r="M995" s="200"/>
      <c r="N995" s="200"/>
      <c r="O995" s="200"/>
    </row>
    <row r="996" spans="1:15" ht="15.75" customHeight="1" x14ac:dyDescent="0.25">
      <c r="A996" s="192"/>
      <c r="B996" s="192"/>
      <c r="C996" s="200"/>
      <c r="D996" s="200"/>
      <c r="E996" s="200"/>
      <c r="F996" s="200"/>
      <c r="G996" s="200"/>
      <c r="H996" s="200"/>
      <c r="I996" s="200"/>
      <c r="J996" s="200"/>
      <c r="K996" s="200"/>
      <c r="L996" s="200"/>
      <c r="M996" s="200"/>
      <c r="N996" s="200"/>
      <c r="O996" s="200"/>
    </row>
    <row r="997" spans="1:15" ht="15.75" customHeight="1" x14ac:dyDescent="0.25">
      <c r="A997" s="192"/>
      <c r="B997" s="192"/>
      <c r="C997" s="200"/>
      <c r="D997" s="200"/>
      <c r="E997" s="200"/>
      <c r="F997" s="200"/>
      <c r="G997" s="200"/>
      <c r="H997" s="200"/>
      <c r="I997" s="200"/>
      <c r="J997" s="200"/>
      <c r="K997" s="200"/>
      <c r="L997" s="200"/>
      <c r="M997" s="200"/>
      <c r="N997" s="200"/>
      <c r="O997" s="200"/>
    </row>
    <row r="998" spans="1:15" ht="15.75" customHeight="1" x14ac:dyDescent="0.25">
      <c r="A998" s="192"/>
      <c r="B998" s="192"/>
      <c r="C998" s="200"/>
      <c r="D998" s="200"/>
      <c r="E998" s="200"/>
      <c r="F998" s="200"/>
      <c r="G998" s="200"/>
      <c r="H998" s="200"/>
      <c r="I998" s="200"/>
      <c r="J998" s="200"/>
      <c r="K998" s="200"/>
      <c r="L998" s="200"/>
      <c r="M998" s="200"/>
      <c r="N998" s="200"/>
      <c r="O998" s="200"/>
    </row>
    <row r="999" spans="1:15" ht="15.75" customHeight="1" x14ac:dyDescent="0.25">
      <c r="A999" s="192"/>
      <c r="B999" s="192"/>
      <c r="C999" s="200"/>
      <c r="D999" s="200"/>
      <c r="E999" s="200"/>
      <c r="F999" s="200"/>
      <c r="G999" s="200"/>
      <c r="H999" s="200"/>
      <c r="I999" s="200"/>
      <c r="J999" s="200"/>
      <c r="K999" s="200"/>
      <c r="L999" s="200"/>
      <c r="M999" s="200"/>
      <c r="N999" s="200"/>
      <c r="O999" s="200"/>
    </row>
    <row r="1000" spans="1:15" ht="15.75" customHeight="1" x14ac:dyDescent="0.25">
      <c r="A1000" s="192"/>
      <c r="B1000" s="192"/>
      <c r="C1000" s="200"/>
      <c r="D1000" s="200"/>
      <c r="E1000" s="200"/>
      <c r="F1000" s="200"/>
      <c r="G1000" s="200"/>
      <c r="H1000" s="200"/>
      <c r="I1000" s="200"/>
      <c r="J1000" s="200"/>
      <c r="K1000" s="200"/>
      <c r="L1000" s="200"/>
      <c r="M1000" s="200"/>
      <c r="N1000" s="200"/>
      <c r="O1000" s="200"/>
    </row>
    <row r="1001" spans="1:15" ht="15.75" customHeight="1" x14ac:dyDescent="0.25">
      <c r="A1001" s="192"/>
      <c r="B1001" s="192"/>
      <c r="C1001" s="200"/>
      <c r="D1001" s="200"/>
      <c r="E1001" s="200"/>
      <c r="F1001" s="200"/>
      <c r="G1001" s="200"/>
      <c r="H1001" s="200"/>
      <c r="I1001" s="200"/>
      <c r="J1001" s="200"/>
      <c r="K1001" s="200"/>
      <c r="L1001" s="200"/>
      <c r="M1001" s="200"/>
      <c r="N1001" s="200"/>
      <c r="O1001" s="200"/>
    </row>
    <row r="1002" spans="1:15" ht="15.75" customHeight="1" x14ac:dyDescent="0.25">
      <c r="A1002" s="192"/>
      <c r="B1002" s="192"/>
      <c r="C1002" s="200"/>
      <c r="D1002" s="200"/>
      <c r="E1002" s="200"/>
      <c r="F1002" s="200"/>
      <c r="G1002" s="200"/>
      <c r="H1002" s="200"/>
      <c r="I1002" s="200"/>
      <c r="J1002" s="200"/>
      <c r="K1002" s="200"/>
      <c r="L1002" s="200"/>
      <c r="M1002" s="200"/>
      <c r="N1002" s="200"/>
      <c r="O1002" s="200"/>
    </row>
    <row r="1003" spans="1:15" ht="15.75" customHeight="1" x14ac:dyDescent="0.25">
      <c r="A1003" s="192"/>
      <c r="B1003" s="192"/>
      <c r="C1003" s="200"/>
      <c r="D1003" s="200"/>
      <c r="E1003" s="200"/>
      <c r="F1003" s="200"/>
      <c r="G1003" s="200"/>
      <c r="H1003" s="200"/>
      <c r="I1003" s="200"/>
      <c r="J1003" s="200"/>
      <c r="K1003" s="200"/>
      <c r="L1003" s="200"/>
      <c r="M1003" s="200"/>
      <c r="N1003" s="200"/>
      <c r="O1003" s="200"/>
    </row>
    <row r="1004" spans="1:15" ht="15.75" customHeight="1" x14ac:dyDescent="0.25">
      <c r="A1004" s="192"/>
      <c r="B1004" s="192"/>
      <c r="C1004" s="200"/>
      <c r="D1004" s="200"/>
      <c r="E1004" s="200"/>
      <c r="F1004" s="200"/>
      <c r="G1004" s="200"/>
      <c r="H1004" s="200"/>
      <c r="I1004" s="200"/>
      <c r="J1004" s="200"/>
      <c r="K1004" s="200"/>
      <c r="L1004" s="200"/>
      <c r="M1004" s="200"/>
      <c r="N1004" s="200"/>
      <c r="O1004" s="200"/>
    </row>
    <row r="1005" spans="1:15" ht="15.75" customHeight="1" x14ac:dyDescent="0.25">
      <c r="A1005" s="192"/>
      <c r="B1005" s="192"/>
      <c r="C1005" s="200"/>
      <c r="D1005" s="200"/>
      <c r="E1005" s="200"/>
      <c r="F1005" s="200"/>
      <c r="G1005" s="200"/>
      <c r="H1005" s="200"/>
      <c r="I1005" s="200"/>
      <c r="J1005" s="200"/>
      <c r="K1005" s="200"/>
      <c r="L1005" s="200"/>
      <c r="M1005" s="200"/>
      <c r="N1005" s="200"/>
      <c r="O1005" s="200"/>
    </row>
    <row r="1006" spans="1:15" ht="15.75" customHeight="1" x14ac:dyDescent="0.25">
      <c r="A1006" s="192"/>
      <c r="B1006" s="192"/>
      <c r="C1006" s="200"/>
      <c r="D1006" s="200"/>
      <c r="E1006" s="200"/>
      <c r="F1006" s="200"/>
      <c r="G1006" s="200"/>
      <c r="H1006" s="200"/>
      <c r="I1006" s="200"/>
      <c r="J1006" s="200"/>
      <c r="K1006" s="200"/>
      <c r="L1006" s="200"/>
      <c r="M1006" s="200"/>
      <c r="N1006" s="200"/>
      <c r="O1006" s="200"/>
    </row>
    <row r="1007" spans="1:15" ht="15.75" customHeight="1" x14ac:dyDescent="0.25">
      <c r="A1007" s="192"/>
      <c r="B1007" s="192"/>
      <c r="C1007" s="200"/>
      <c r="D1007" s="200"/>
      <c r="E1007" s="200"/>
      <c r="F1007" s="200"/>
      <c r="G1007" s="200"/>
      <c r="H1007" s="200"/>
      <c r="I1007" s="200"/>
      <c r="J1007" s="200"/>
      <c r="K1007" s="200"/>
      <c r="L1007" s="200"/>
      <c r="M1007" s="200"/>
      <c r="N1007" s="200"/>
      <c r="O1007" s="200"/>
    </row>
    <row r="1008" spans="1:15" ht="15.75" customHeight="1" x14ac:dyDescent="0.25">
      <c r="A1008" s="192"/>
      <c r="B1008" s="192"/>
      <c r="C1008" s="200"/>
      <c r="D1008" s="200"/>
      <c r="E1008" s="200"/>
      <c r="F1008" s="200"/>
      <c r="G1008" s="200"/>
      <c r="H1008" s="200"/>
      <c r="I1008" s="200"/>
      <c r="J1008" s="200"/>
      <c r="K1008" s="200"/>
      <c r="L1008" s="200"/>
      <c r="M1008" s="200"/>
      <c r="N1008" s="200"/>
      <c r="O1008" s="200"/>
    </row>
    <row r="1009" spans="1:15" ht="15.75" customHeight="1" x14ac:dyDescent="0.25">
      <c r="A1009" s="192"/>
      <c r="B1009" s="192"/>
      <c r="C1009" s="200"/>
      <c r="D1009" s="200"/>
      <c r="E1009" s="200"/>
      <c r="F1009" s="200"/>
      <c r="G1009" s="200"/>
      <c r="H1009" s="200"/>
      <c r="I1009" s="200"/>
      <c r="J1009" s="200"/>
      <c r="K1009" s="200"/>
      <c r="L1009" s="200"/>
      <c r="M1009" s="200"/>
      <c r="N1009" s="200"/>
      <c r="O1009" s="200"/>
    </row>
    <row r="1010" spans="1:15" ht="15.75" customHeight="1" x14ac:dyDescent="0.25">
      <c r="A1010" s="192"/>
      <c r="B1010" s="192"/>
      <c r="C1010" s="200"/>
      <c r="D1010" s="200"/>
      <c r="E1010" s="200"/>
      <c r="F1010" s="200"/>
      <c r="G1010" s="200"/>
      <c r="H1010" s="200"/>
      <c r="I1010" s="200"/>
      <c r="J1010" s="200"/>
      <c r="K1010" s="200"/>
      <c r="L1010" s="200"/>
      <c r="M1010" s="200"/>
      <c r="N1010" s="200"/>
      <c r="O1010" s="200"/>
    </row>
    <row r="1011" spans="1:15" ht="15.75" customHeight="1" x14ac:dyDescent="0.25">
      <c r="A1011" s="192"/>
      <c r="B1011" s="192"/>
      <c r="C1011" s="200"/>
      <c r="D1011" s="200"/>
      <c r="E1011" s="200"/>
      <c r="F1011" s="200"/>
      <c r="G1011" s="200"/>
      <c r="H1011" s="200"/>
      <c r="I1011" s="200"/>
      <c r="J1011" s="200"/>
      <c r="K1011" s="200"/>
      <c r="L1011" s="200"/>
      <c r="M1011" s="200"/>
      <c r="N1011" s="200"/>
      <c r="O1011" s="200"/>
    </row>
    <row r="1012" spans="1:15" ht="15.75" customHeight="1" x14ac:dyDescent="0.25">
      <c r="A1012" s="192"/>
      <c r="B1012" s="192"/>
      <c r="C1012" s="200"/>
      <c r="D1012" s="200"/>
      <c r="E1012" s="200"/>
      <c r="F1012" s="200"/>
      <c r="G1012" s="200"/>
      <c r="H1012" s="200"/>
      <c r="I1012" s="200"/>
      <c r="J1012" s="200"/>
      <c r="K1012" s="200"/>
      <c r="L1012" s="200"/>
      <c r="M1012" s="200"/>
      <c r="N1012" s="200"/>
      <c r="O1012" s="200"/>
    </row>
    <row r="1013" spans="1:15" ht="15.75" customHeight="1" x14ac:dyDescent="0.25">
      <c r="A1013" s="192"/>
      <c r="B1013" s="192"/>
      <c r="C1013" s="200"/>
      <c r="D1013" s="200"/>
      <c r="E1013" s="200"/>
      <c r="F1013" s="200"/>
      <c r="G1013" s="200"/>
      <c r="H1013" s="200"/>
      <c r="I1013" s="200"/>
      <c r="J1013" s="200"/>
      <c r="K1013" s="200"/>
      <c r="L1013" s="200"/>
      <c r="M1013" s="200"/>
      <c r="N1013" s="200"/>
      <c r="O1013" s="200"/>
    </row>
    <row r="1014" spans="1:15" ht="15.75" customHeight="1" x14ac:dyDescent="0.25">
      <c r="A1014" s="192"/>
      <c r="B1014" s="192"/>
      <c r="C1014" s="200"/>
      <c r="D1014" s="200"/>
      <c r="E1014" s="200"/>
      <c r="F1014" s="200"/>
      <c r="G1014" s="200"/>
      <c r="H1014" s="200"/>
      <c r="I1014" s="200"/>
      <c r="J1014" s="200"/>
      <c r="K1014" s="200"/>
      <c r="L1014" s="200"/>
      <c r="M1014" s="200"/>
      <c r="N1014" s="200"/>
      <c r="O1014" s="200"/>
    </row>
    <row r="1015" spans="1:15" ht="15.75" customHeight="1" x14ac:dyDescent="0.25">
      <c r="A1015" s="192"/>
      <c r="B1015" s="192"/>
      <c r="C1015" s="200"/>
      <c r="D1015" s="200"/>
      <c r="E1015" s="200"/>
      <c r="F1015" s="200"/>
      <c r="G1015" s="200"/>
      <c r="H1015" s="200"/>
      <c r="I1015" s="200"/>
      <c r="J1015" s="200"/>
      <c r="K1015" s="200"/>
      <c r="L1015" s="200"/>
      <c r="M1015" s="200"/>
      <c r="N1015" s="200"/>
      <c r="O1015" s="200"/>
    </row>
    <row r="1016" spans="1:15" ht="15.75" customHeight="1" x14ac:dyDescent="0.25">
      <c r="A1016" s="192"/>
      <c r="B1016" s="192"/>
      <c r="C1016" s="200"/>
      <c r="D1016" s="200"/>
      <c r="E1016" s="200"/>
      <c r="F1016" s="200"/>
      <c r="G1016" s="200"/>
      <c r="H1016" s="200"/>
      <c r="I1016" s="200"/>
      <c r="J1016" s="200"/>
      <c r="K1016" s="200"/>
      <c r="L1016" s="200"/>
      <c r="M1016" s="200"/>
      <c r="N1016" s="200"/>
      <c r="O1016" s="200"/>
    </row>
    <row r="1017" spans="1:15" ht="15.75" customHeight="1" x14ac:dyDescent="0.25">
      <c r="A1017" s="192"/>
      <c r="B1017" s="192"/>
      <c r="C1017" s="200"/>
      <c r="D1017" s="200"/>
      <c r="E1017" s="200"/>
      <c r="F1017" s="200"/>
      <c r="G1017" s="200"/>
      <c r="H1017" s="200"/>
      <c r="I1017" s="200"/>
      <c r="J1017" s="200"/>
      <c r="K1017" s="200"/>
      <c r="L1017" s="200"/>
      <c r="M1017" s="200"/>
      <c r="N1017" s="200"/>
      <c r="O1017" s="200"/>
    </row>
    <row r="1018" spans="1:15" ht="15.75" customHeight="1" x14ac:dyDescent="0.25">
      <c r="A1018" s="192"/>
      <c r="B1018" s="192"/>
      <c r="C1018" s="200"/>
      <c r="D1018" s="200"/>
      <c r="E1018" s="200"/>
      <c r="F1018" s="200"/>
      <c r="G1018" s="200"/>
      <c r="H1018" s="200"/>
      <c r="I1018" s="200"/>
      <c r="J1018" s="200"/>
      <c r="K1018" s="200"/>
      <c r="L1018" s="200"/>
      <c r="M1018" s="200"/>
      <c r="N1018" s="200"/>
      <c r="O1018" s="200"/>
    </row>
    <row r="1019" spans="1:15" ht="15.75" customHeight="1" x14ac:dyDescent="0.25">
      <c r="A1019" s="192"/>
      <c r="B1019" s="192"/>
      <c r="C1019" s="200"/>
      <c r="D1019" s="200"/>
      <c r="E1019" s="200"/>
      <c r="F1019" s="200"/>
      <c r="G1019" s="200"/>
      <c r="H1019" s="200"/>
      <c r="I1019" s="200"/>
      <c r="J1019" s="200"/>
      <c r="K1019" s="200"/>
      <c r="L1019" s="200"/>
      <c r="M1019" s="200"/>
      <c r="N1019" s="200"/>
      <c r="O1019" s="200"/>
    </row>
    <row r="1020" spans="1:15" ht="15.75" customHeight="1" x14ac:dyDescent="0.25">
      <c r="A1020" s="192"/>
      <c r="B1020" s="192"/>
      <c r="C1020" s="200"/>
      <c r="D1020" s="200"/>
      <c r="E1020" s="200"/>
      <c r="F1020" s="200"/>
      <c r="G1020" s="200"/>
      <c r="H1020" s="200"/>
      <c r="I1020" s="200"/>
      <c r="J1020" s="200"/>
      <c r="K1020" s="200"/>
      <c r="L1020" s="200"/>
      <c r="M1020" s="200"/>
      <c r="N1020" s="200"/>
      <c r="O1020" s="200"/>
    </row>
    <row r="1021" spans="1:15" ht="15.75" customHeight="1" x14ac:dyDescent="0.25">
      <c r="A1021" s="192"/>
      <c r="B1021" s="192"/>
      <c r="C1021" s="200"/>
      <c r="D1021" s="200"/>
      <c r="E1021" s="200"/>
      <c r="F1021" s="200"/>
      <c r="G1021" s="200"/>
      <c r="H1021" s="200"/>
      <c r="I1021" s="200"/>
      <c r="J1021" s="200"/>
      <c r="K1021" s="200"/>
      <c r="L1021" s="200"/>
      <c r="M1021" s="200"/>
      <c r="N1021" s="200"/>
      <c r="O1021" s="200"/>
    </row>
    <row r="1022" spans="1:15" ht="15.75" customHeight="1" x14ac:dyDescent="0.25">
      <c r="A1022" s="192"/>
      <c r="B1022" s="192"/>
      <c r="C1022" s="200"/>
      <c r="D1022" s="200"/>
      <c r="E1022" s="200"/>
      <c r="F1022" s="200"/>
      <c r="G1022" s="200"/>
      <c r="H1022" s="200"/>
      <c r="I1022" s="200"/>
      <c r="J1022" s="200"/>
      <c r="K1022" s="200"/>
      <c r="L1022" s="200"/>
      <c r="M1022" s="200"/>
      <c r="N1022" s="200"/>
      <c r="O1022" s="200"/>
    </row>
    <row r="1023" spans="1:15" ht="15.75" customHeight="1" x14ac:dyDescent="0.25">
      <c r="A1023" s="192"/>
      <c r="B1023" s="192"/>
      <c r="C1023" s="200"/>
      <c r="D1023" s="200"/>
      <c r="E1023" s="200"/>
      <c r="F1023" s="200"/>
      <c r="G1023" s="200"/>
      <c r="H1023" s="200"/>
      <c r="I1023" s="200"/>
      <c r="J1023" s="200"/>
      <c r="K1023" s="200"/>
      <c r="L1023" s="200"/>
      <c r="M1023" s="200"/>
      <c r="N1023" s="200"/>
      <c r="O1023" s="200"/>
    </row>
    <row r="1024" spans="1:15" ht="15.75" customHeight="1" x14ac:dyDescent="0.25">
      <c r="A1024" s="192"/>
      <c r="B1024" s="192"/>
      <c r="C1024" s="200"/>
      <c r="D1024" s="200"/>
      <c r="E1024" s="200"/>
      <c r="F1024" s="200"/>
      <c r="G1024" s="200"/>
      <c r="H1024" s="200"/>
      <c r="I1024" s="200"/>
      <c r="J1024" s="200"/>
      <c r="K1024" s="200"/>
      <c r="L1024" s="200"/>
      <c r="M1024" s="200"/>
      <c r="N1024" s="200"/>
      <c r="O1024" s="200"/>
    </row>
    <row r="1025" spans="1:15" ht="15.75" customHeight="1" x14ac:dyDescent="0.25">
      <c r="A1025" s="192"/>
      <c r="B1025" s="192"/>
      <c r="C1025" s="200"/>
      <c r="D1025" s="200"/>
      <c r="E1025" s="200"/>
      <c r="F1025" s="200"/>
      <c r="G1025" s="200"/>
      <c r="H1025" s="200"/>
      <c r="I1025" s="200"/>
      <c r="J1025" s="200"/>
      <c r="K1025" s="200"/>
      <c r="L1025" s="200"/>
      <c r="M1025" s="200"/>
      <c r="N1025" s="200"/>
      <c r="O1025" s="200"/>
    </row>
    <row r="1026" spans="1:15" ht="15.75" customHeight="1" x14ac:dyDescent="0.25">
      <c r="A1026" s="192"/>
      <c r="B1026" s="192"/>
      <c r="C1026" s="200"/>
      <c r="D1026" s="200"/>
      <c r="E1026" s="200"/>
      <c r="F1026" s="200"/>
      <c r="G1026" s="200"/>
      <c r="H1026" s="200"/>
      <c r="I1026" s="200"/>
      <c r="J1026" s="200"/>
      <c r="K1026" s="200"/>
      <c r="L1026" s="200"/>
      <c r="M1026" s="200"/>
      <c r="N1026" s="200"/>
      <c r="O1026" s="200"/>
    </row>
    <row r="1027" spans="1:15" ht="15.75" customHeight="1" x14ac:dyDescent="0.25">
      <c r="A1027" s="192"/>
      <c r="B1027" s="192"/>
      <c r="C1027" s="200"/>
      <c r="D1027" s="200"/>
      <c r="E1027" s="200"/>
      <c r="F1027" s="200"/>
      <c r="G1027" s="200"/>
      <c r="H1027" s="200"/>
      <c r="I1027" s="200"/>
      <c r="J1027" s="200"/>
      <c r="K1027" s="200"/>
      <c r="L1027" s="200"/>
      <c r="M1027" s="200"/>
      <c r="N1027" s="200"/>
      <c r="O1027" s="200"/>
    </row>
    <row r="1028" spans="1:15" ht="15.75" customHeight="1" x14ac:dyDescent="0.25">
      <c r="A1028" s="192"/>
      <c r="B1028" s="192"/>
      <c r="C1028" s="200"/>
      <c r="D1028" s="200"/>
      <c r="E1028" s="200"/>
      <c r="F1028" s="200"/>
      <c r="G1028" s="200"/>
      <c r="H1028" s="200"/>
      <c r="I1028" s="200"/>
      <c r="J1028" s="200"/>
      <c r="K1028" s="200"/>
      <c r="L1028" s="200"/>
      <c r="M1028" s="200"/>
      <c r="N1028" s="200"/>
      <c r="O1028" s="200"/>
    </row>
    <row r="1029" spans="1:15" ht="15.75" customHeight="1" x14ac:dyDescent="0.25">
      <c r="A1029" s="192"/>
      <c r="B1029" s="192"/>
      <c r="C1029" s="200"/>
      <c r="D1029" s="200"/>
      <c r="E1029" s="200"/>
      <c r="F1029" s="200"/>
      <c r="G1029" s="200"/>
      <c r="H1029" s="200"/>
      <c r="I1029" s="200"/>
      <c r="J1029" s="200"/>
      <c r="K1029" s="200"/>
      <c r="L1029" s="200"/>
      <c r="M1029" s="200"/>
      <c r="N1029" s="200"/>
      <c r="O1029" s="200"/>
    </row>
    <row r="1030" spans="1:15" ht="15.75" customHeight="1" x14ac:dyDescent="0.25">
      <c r="A1030" s="192"/>
      <c r="B1030" s="192"/>
      <c r="C1030" s="200"/>
      <c r="D1030" s="200"/>
      <c r="E1030" s="200"/>
      <c r="F1030" s="200"/>
      <c r="G1030" s="200"/>
      <c r="H1030" s="200"/>
      <c r="I1030" s="200"/>
      <c r="J1030" s="200"/>
      <c r="K1030" s="200"/>
      <c r="L1030" s="200"/>
      <c r="M1030" s="200"/>
      <c r="N1030" s="200"/>
      <c r="O1030" s="200"/>
    </row>
    <row r="1031" spans="1:15" ht="15.75" customHeight="1" x14ac:dyDescent="0.25">
      <c r="A1031" s="192"/>
      <c r="B1031" s="192"/>
      <c r="C1031" s="200"/>
      <c r="D1031" s="200"/>
      <c r="E1031" s="200"/>
      <c r="F1031" s="200"/>
      <c r="G1031" s="200"/>
      <c r="H1031" s="200"/>
      <c r="I1031" s="200"/>
      <c r="J1031" s="200"/>
      <c r="K1031" s="200"/>
      <c r="L1031" s="200"/>
      <c r="M1031" s="200"/>
      <c r="N1031" s="200"/>
      <c r="O1031" s="200"/>
    </row>
    <row r="1032" spans="1:15" ht="15.75" customHeight="1" x14ac:dyDescent="0.25">
      <c r="A1032" s="192"/>
      <c r="B1032" s="192"/>
      <c r="C1032" s="200"/>
      <c r="D1032" s="200"/>
      <c r="E1032" s="200"/>
      <c r="F1032" s="200"/>
      <c r="G1032" s="200"/>
      <c r="H1032" s="200"/>
      <c r="I1032" s="200"/>
      <c r="J1032" s="200"/>
      <c r="K1032" s="200"/>
      <c r="L1032" s="200"/>
      <c r="M1032" s="200"/>
      <c r="N1032" s="200"/>
      <c r="O1032" s="200"/>
    </row>
    <row r="1033" spans="1:15" ht="15.75" customHeight="1" x14ac:dyDescent="0.25">
      <c r="A1033" s="192"/>
      <c r="B1033" s="192"/>
      <c r="C1033" s="200"/>
      <c r="D1033" s="200"/>
      <c r="E1033" s="200"/>
      <c r="F1033" s="200"/>
      <c r="G1033" s="200"/>
      <c r="H1033" s="200"/>
      <c r="I1033" s="200"/>
      <c r="J1033" s="200"/>
      <c r="K1033" s="200"/>
      <c r="L1033" s="200"/>
      <c r="M1033" s="200"/>
      <c r="N1033" s="200"/>
      <c r="O1033" s="200"/>
    </row>
    <row r="1034" spans="1:15" ht="15.75" customHeight="1" x14ac:dyDescent="0.25">
      <c r="A1034" s="192"/>
      <c r="B1034" s="192"/>
      <c r="C1034" s="200"/>
      <c r="D1034" s="200"/>
      <c r="E1034" s="200"/>
      <c r="F1034" s="200"/>
      <c r="G1034" s="200"/>
      <c r="H1034" s="200"/>
      <c r="I1034" s="200"/>
      <c r="J1034" s="200"/>
      <c r="K1034" s="200"/>
      <c r="L1034" s="200"/>
      <c r="M1034" s="200"/>
      <c r="N1034" s="200"/>
      <c r="O1034" s="200"/>
    </row>
    <row r="1035" spans="1:15" ht="15.75" customHeight="1" x14ac:dyDescent="0.25">
      <c r="A1035" s="192"/>
      <c r="B1035" s="192"/>
      <c r="C1035" s="200"/>
      <c r="D1035" s="200"/>
      <c r="E1035" s="200"/>
      <c r="F1035" s="200"/>
      <c r="G1035" s="200"/>
      <c r="H1035" s="200"/>
      <c r="I1035" s="200"/>
      <c r="J1035" s="200"/>
      <c r="K1035" s="200"/>
      <c r="L1035" s="200"/>
      <c r="M1035" s="200"/>
      <c r="N1035" s="200"/>
      <c r="O1035" s="200"/>
    </row>
    <row r="1036" spans="1:15" ht="15.75" customHeight="1" x14ac:dyDescent="0.25">
      <c r="A1036" s="192"/>
      <c r="B1036" s="192"/>
      <c r="C1036" s="200"/>
      <c r="D1036" s="200"/>
      <c r="E1036" s="200"/>
      <c r="F1036" s="200"/>
      <c r="G1036" s="200"/>
      <c r="H1036" s="200"/>
      <c r="I1036" s="200"/>
      <c r="J1036" s="200"/>
      <c r="K1036" s="200"/>
      <c r="L1036" s="200"/>
      <c r="M1036" s="200"/>
      <c r="N1036" s="200"/>
      <c r="O1036" s="200"/>
    </row>
    <row r="1037" spans="1:15" ht="15.75" customHeight="1" x14ac:dyDescent="0.25">
      <c r="A1037" s="192"/>
      <c r="B1037" s="192"/>
      <c r="C1037" s="200"/>
      <c r="D1037" s="200"/>
      <c r="E1037" s="200"/>
      <c r="F1037" s="200"/>
      <c r="G1037" s="200"/>
      <c r="H1037" s="200"/>
      <c r="I1037" s="200"/>
      <c r="J1037" s="200"/>
      <c r="K1037" s="200"/>
      <c r="L1037" s="200"/>
      <c r="M1037" s="200"/>
      <c r="N1037" s="200"/>
      <c r="O1037" s="200"/>
    </row>
    <row r="1038" spans="1:15" ht="15.75" customHeight="1" x14ac:dyDescent="0.25">
      <c r="A1038" s="192"/>
      <c r="B1038" s="192"/>
      <c r="C1038" s="200"/>
      <c r="D1038" s="200"/>
      <c r="E1038" s="200"/>
      <c r="F1038" s="200"/>
      <c r="G1038" s="200"/>
      <c r="H1038" s="200"/>
      <c r="I1038" s="200"/>
      <c r="J1038" s="200"/>
      <c r="K1038" s="200"/>
      <c r="L1038" s="200"/>
      <c r="M1038" s="200"/>
      <c r="N1038" s="200"/>
      <c r="O1038" s="200"/>
    </row>
    <row r="1039" spans="1:15" ht="15.75" customHeight="1" x14ac:dyDescent="0.25">
      <c r="A1039" s="192"/>
      <c r="B1039" s="192"/>
      <c r="C1039" s="200"/>
      <c r="D1039" s="200"/>
      <c r="E1039" s="200"/>
      <c r="F1039" s="200"/>
      <c r="G1039" s="200"/>
      <c r="H1039" s="200"/>
      <c r="I1039" s="200"/>
      <c r="J1039" s="200"/>
      <c r="K1039" s="200"/>
      <c r="L1039" s="200"/>
      <c r="M1039" s="200"/>
      <c r="N1039" s="200"/>
      <c r="O1039" s="200"/>
    </row>
    <row r="1040" spans="1:15" ht="15.75" customHeight="1" x14ac:dyDescent="0.25">
      <c r="A1040" s="192"/>
      <c r="B1040" s="192"/>
      <c r="C1040" s="200"/>
      <c r="D1040" s="200"/>
      <c r="E1040" s="200"/>
      <c r="F1040" s="200"/>
      <c r="G1040" s="200"/>
      <c r="H1040" s="200"/>
      <c r="I1040" s="200"/>
      <c r="J1040" s="200"/>
      <c r="K1040" s="200"/>
      <c r="L1040" s="200"/>
      <c r="M1040" s="200"/>
      <c r="N1040" s="200"/>
      <c r="O1040" s="200"/>
    </row>
    <row r="1041" spans="1:15" ht="15.75" customHeight="1" x14ac:dyDescent="0.25">
      <c r="A1041" s="192"/>
      <c r="B1041" s="192"/>
      <c r="C1041" s="200"/>
      <c r="D1041" s="200"/>
      <c r="E1041" s="200"/>
      <c r="F1041" s="200"/>
      <c r="G1041" s="200"/>
      <c r="H1041" s="200"/>
      <c r="I1041" s="200"/>
      <c r="J1041" s="200"/>
      <c r="K1041" s="200"/>
      <c r="L1041" s="200"/>
      <c r="M1041" s="200"/>
      <c r="N1041" s="200"/>
      <c r="O1041" s="200"/>
    </row>
    <row r="1042" spans="1:15" ht="15.75" customHeight="1" x14ac:dyDescent="0.25">
      <c r="A1042" s="192"/>
      <c r="B1042" s="192"/>
      <c r="C1042" s="200"/>
      <c r="D1042" s="200"/>
      <c r="E1042" s="200"/>
      <c r="F1042" s="200"/>
      <c r="G1042" s="200"/>
      <c r="H1042" s="200"/>
      <c r="I1042" s="200"/>
      <c r="J1042" s="200"/>
      <c r="K1042" s="200"/>
      <c r="L1042" s="200"/>
      <c r="M1042" s="200"/>
      <c r="N1042" s="200"/>
      <c r="O1042" s="200"/>
    </row>
    <row r="1043" spans="1:15" ht="15.75" customHeight="1" x14ac:dyDescent="0.25">
      <c r="A1043" s="192"/>
      <c r="B1043" s="192"/>
      <c r="C1043" s="200"/>
      <c r="D1043" s="200"/>
      <c r="E1043" s="200"/>
      <c r="F1043" s="200"/>
      <c r="G1043" s="200"/>
      <c r="H1043" s="200"/>
      <c r="I1043" s="200"/>
      <c r="J1043" s="200"/>
      <c r="K1043" s="200"/>
      <c r="L1043" s="200"/>
      <c r="M1043" s="200"/>
      <c r="N1043" s="200"/>
      <c r="O1043" s="200"/>
    </row>
    <row r="1044" spans="1:15" ht="15.75" customHeight="1" x14ac:dyDescent="0.25">
      <c r="A1044" s="192"/>
      <c r="B1044" s="192"/>
      <c r="C1044" s="200"/>
      <c r="D1044" s="200"/>
      <c r="E1044" s="200"/>
      <c r="F1044" s="200"/>
      <c r="G1044" s="200"/>
      <c r="H1044" s="200"/>
      <c r="I1044" s="200"/>
      <c r="J1044" s="200"/>
      <c r="K1044" s="200"/>
      <c r="L1044" s="200"/>
      <c r="M1044" s="200"/>
      <c r="N1044" s="200"/>
      <c r="O1044" s="200"/>
    </row>
    <row r="1045" spans="1:15" ht="15.75" customHeight="1" x14ac:dyDescent="0.25">
      <c r="A1045" s="192"/>
      <c r="B1045" s="192"/>
      <c r="C1045" s="200"/>
      <c r="D1045" s="200"/>
      <c r="E1045" s="200"/>
      <c r="F1045" s="200"/>
      <c r="G1045" s="200"/>
      <c r="H1045" s="200"/>
      <c r="I1045" s="200"/>
      <c r="J1045" s="200"/>
      <c r="K1045" s="200"/>
      <c r="L1045" s="200"/>
      <c r="M1045" s="200"/>
      <c r="N1045" s="200"/>
      <c r="O1045" s="200"/>
    </row>
    <row r="1046" spans="1:15" ht="15.75" customHeight="1" x14ac:dyDescent="0.25">
      <c r="A1046" s="192"/>
      <c r="B1046" s="192"/>
      <c r="C1046" s="200"/>
      <c r="D1046" s="200"/>
      <c r="E1046" s="200"/>
      <c r="F1046" s="200"/>
      <c r="G1046" s="200"/>
      <c r="H1046" s="200"/>
      <c r="I1046" s="200"/>
      <c r="J1046" s="200"/>
      <c r="K1046" s="200"/>
      <c r="L1046" s="200"/>
      <c r="M1046" s="200"/>
      <c r="N1046" s="200"/>
      <c r="O1046" s="200"/>
    </row>
    <row r="1047" spans="1:15" ht="15.75" customHeight="1" x14ac:dyDescent="0.25">
      <c r="A1047" s="192"/>
      <c r="B1047" s="192"/>
      <c r="C1047" s="200"/>
      <c r="D1047" s="200"/>
      <c r="E1047" s="200"/>
      <c r="F1047" s="200"/>
      <c r="G1047" s="200"/>
      <c r="H1047" s="200"/>
      <c r="I1047" s="200"/>
      <c r="J1047" s="200"/>
      <c r="K1047" s="200"/>
      <c r="L1047" s="200"/>
      <c r="M1047" s="200"/>
      <c r="N1047" s="200"/>
      <c r="O1047" s="200"/>
    </row>
    <row r="1048" spans="1:15" ht="15.75" customHeight="1" x14ac:dyDescent="0.25">
      <c r="A1048" s="192"/>
      <c r="B1048" s="192"/>
      <c r="C1048" s="200"/>
      <c r="D1048" s="200"/>
      <c r="E1048" s="200"/>
      <c r="F1048" s="200"/>
      <c r="G1048" s="200"/>
      <c r="H1048" s="200"/>
      <c r="I1048" s="200"/>
      <c r="J1048" s="200"/>
      <c r="K1048" s="200"/>
      <c r="L1048" s="200"/>
      <c r="M1048" s="200"/>
      <c r="N1048" s="200"/>
      <c r="O1048" s="200"/>
    </row>
    <row r="1049" spans="1:15" ht="15.75" customHeight="1" x14ac:dyDescent="0.25">
      <c r="A1049" s="192"/>
      <c r="B1049" s="192"/>
      <c r="C1049" s="200"/>
      <c r="D1049" s="200"/>
      <c r="E1049" s="200"/>
      <c r="F1049" s="200"/>
      <c r="G1049" s="200"/>
      <c r="H1049" s="200"/>
      <c r="I1049" s="200"/>
      <c r="J1049" s="200"/>
      <c r="K1049" s="200"/>
      <c r="L1049" s="200"/>
      <c r="M1049" s="200"/>
      <c r="N1049" s="200"/>
      <c r="O1049" s="200"/>
    </row>
    <row r="1050" spans="1:15" ht="15.75" customHeight="1" x14ac:dyDescent="0.25">
      <c r="A1050" s="192"/>
      <c r="B1050" s="192"/>
      <c r="C1050" s="200"/>
      <c r="D1050" s="200"/>
      <c r="E1050" s="200"/>
      <c r="F1050" s="200"/>
      <c r="G1050" s="200"/>
      <c r="H1050" s="200"/>
      <c r="I1050" s="200"/>
      <c r="J1050" s="200"/>
      <c r="K1050" s="200"/>
      <c r="L1050" s="200"/>
      <c r="M1050" s="200"/>
      <c r="N1050" s="200"/>
      <c r="O1050" s="200"/>
    </row>
    <row r="1051" spans="1:15" ht="15.75" customHeight="1" x14ac:dyDescent="0.25">
      <c r="A1051" s="192"/>
      <c r="B1051" s="192"/>
      <c r="C1051" s="200"/>
      <c r="D1051" s="200"/>
      <c r="E1051" s="200"/>
      <c r="F1051" s="200"/>
      <c r="G1051" s="200"/>
      <c r="H1051" s="200"/>
      <c r="I1051" s="200"/>
      <c r="J1051" s="200"/>
      <c r="K1051" s="200"/>
      <c r="L1051" s="200"/>
      <c r="M1051" s="200"/>
      <c r="N1051" s="200"/>
      <c r="O1051" s="200"/>
    </row>
    <row r="1052" spans="1:15" ht="15.75" customHeight="1" x14ac:dyDescent="0.25">
      <c r="A1052" s="192"/>
      <c r="B1052" s="192"/>
      <c r="C1052" s="200"/>
      <c r="D1052" s="200"/>
      <c r="E1052" s="200"/>
      <c r="F1052" s="200"/>
      <c r="G1052" s="200"/>
      <c r="H1052" s="200"/>
      <c r="I1052" s="200"/>
      <c r="J1052" s="200"/>
      <c r="K1052" s="200"/>
      <c r="L1052" s="200"/>
      <c r="M1052" s="200"/>
      <c r="N1052" s="200"/>
      <c r="O1052" s="200"/>
    </row>
    <row r="1053" spans="1:15" ht="15.75" customHeight="1" x14ac:dyDescent="0.25">
      <c r="A1053" s="192"/>
      <c r="B1053" s="192"/>
      <c r="C1053" s="200"/>
      <c r="D1053" s="200"/>
      <c r="E1053" s="200"/>
      <c r="F1053" s="200"/>
      <c r="G1053" s="200"/>
      <c r="H1053" s="200"/>
      <c r="I1053" s="200"/>
      <c r="J1053" s="200"/>
      <c r="K1053" s="200"/>
      <c r="L1053" s="200"/>
      <c r="M1053" s="200"/>
      <c r="N1053" s="200"/>
      <c r="O1053" s="200"/>
    </row>
    <row r="1054" spans="1:15" ht="15.75" customHeight="1" x14ac:dyDescent="0.25">
      <c r="A1054" s="192"/>
      <c r="B1054" s="192"/>
      <c r="C1054" s="200"/>
      <c r="D1054" s="200"/>
      <c r="E1054" s="200"/>
      <c r="F1054" s="200"/>
      <c r="G1054" s="200"/>
      <c r="H1054" s="200"/>
      <c r="I1054" s="200"/>
      <c r="J1054" s="200"/>
      <c r="K1054" s="200"/>
      <c r="L1054" s="200"/>
      <c r="M1054" s="200"/>
      <c r="N1054" s="200"/>
      <c r="O1054" s="200"/>
    </row>
    <row r="1055" spans="1:15" ht="15.75" customHeight="1" x14ac:dyDescent="0.25">
      <c r="A1055" s="192"/>
      <c r="B1055" s="192"/>
      <c r="C1055" s="200"/>
      <c r="D1055" s="200"/>
      <c r="E1055" s="200"/>
      <c r="F1055" s="200"/>
      <c r="G1055" s="200"/>
      <c r="H1055" s="200"/>
      <c r="I1055" s="200"/>
      <c r="J1055" s="200"/>
      <c r="K1055" s="200"/>
      <c r="L1055" s="200"/>
      <c r="M1055" s="200"/>
      <c r="N1055" s="200"/>
      <c r="O1055" s="200"/>
    </row>
    <row r="1056" spans="1:15" ht="15.75" customHeight="1" x14ac:dyDescent="0.25">
      <c r="A1056" s="192"/>
      <c r="B1056" s="192"/>
      <c r="C1056" s="200"/>
      <c r="D1056" s="200"/>
      <c r="E1056" s="200"/>
      <c r="F1056" s="200"/>
      <c r="G1056" s="200"/>
      <c r="H1056" s="200"/>
      <c r="I1056" s="200"/>
      <c r="J1056" s="200"/>
      <c r="K1056" s="200"/>
      <c r="L1056" s="200"/>
      <c r="M1056" s="200"/>
      <c r="N1056" s="200"/>
      <c r="O1056" s="200"/>
    </row>
    <row r="1057" spans="1:15" ht="15.75" customHeight="1" x14ac:dyDescent="0.25">
      <c r="A1057" s="192"/>
      <c r="B1057" s="192"/>
      <c r="C1057" s="200"/>
      <c r="D1057" s="200"/>
      <c r="E1057" s="200"/>
      <c r="F1057" s="200"/>
      <c r="G1057" s="200"/>
      <c r="H1057" s="200"/>
      <c r="I1057" s="200"/>
      <c r="J1057" s="200"/>
      <c r="K1057" s="200"/>
      <c r="L1057" s="200"/>
      <c r="M1057" s="200"/>
      <c r="N1057" s="200"/>
      <c r="O1057" s="200"/>
    </row>
    <row r="1058" spans="1:15" ht="15.75" customHeight="1" x14ac:dyDescent="0.25">
      <c r="A1058" s="192"/>
      <c r="B1058" s="192"/>
      <c r="C1058" s="200"/>
      <c r="D1058" s="200"/>
      <c r="E1058" s="200"/>
      <c r="F1058" s="200"/>
      <c r="G1058" s="200"/>
      <c r="H1058" s="200"/>
      <c r="I1058" s="200"/>
      <c r="J1058" s="200"/>
      <c r="K1058" s="200"/>
      <c r="L1058" s="200"/>
      <c r="M1058" s="200"/>
      <c r="N1058" s="200"/>
      <c r="O1058" s="200"/>
    </row>
    <row r="1059" spans="1:15" ht="15.75" customHeight="1" x14ac:dyDescent="0.25">
      <c r="A1059" s="192"/>
      <c r="B1059" s="192"/>
      <c r="C1059" s="200"/>
      <c r="D1059" s="200"/>
      <c r="E1059" s="200"/>
      <c r="F1059" s="200"/>
      <c r="G1059" s="200"/>
      <c r="H1059" s="200"/>
      <c r="I1059" s="200"/>
      <c r="J1059" s="200"/>
      <c r="K1059" s="200"/>
      <c r="L1059" s="200"/>
      <c r="M1059" s="200"/>
      <c r="N1059" s="200"/>
      <c r="O1059" s="200"/>
    </row>
    <row r="1060" spans="1:15" ht="15.75" customHeight="1" x14ac:dyDescent="0.25">
      <c r="A1060" s="192"/>
      <c r="B1060" s="192"/>
      <c r="C1060" s="200"/>
      <c r="D1060" s="200"/>
      <c r="E1060" s="200"/>
      <c r="F1060" s="200"/>
      <c r="G1060" s="200"/>
      <c r="H1060" s="200"/>
      <c r="I1060" s="200"/>
      <c r="J1060" s="200"/>
      <c r="K1060" s="200"/>
      <c r="L1060" s="200"/>
      <c r="M1060" s="200"/>
      <c r="N1060" s="200"/>
      <c r="O1060" s="200"/>
    </row>
    <row r="1061" spans="1:15" ht="15.75" customHeight="1" x14ac:dyDescent="0.25">
      <c r="A1061" s="192"/>
      <c r="B1061" s="192"/>
      <c r="C1061" s="200"/>
      <c r="D1061" s="200"/>
      <c r="E1061" s="200"/>
      <c r="F1061" s="200"/>
      <c r="G1061" s="200"/>
      <c r="H1061" s="200"/>
      <c r="I1061" s="200"/>
      <c r="J1061" s="200"/>
      <c r="K1061" s="200"/>
      <c r="L1061" s="200"/>
      <c r="M1061" s="200"/>
      <c r="N1061" s="200"/>
      <c r="O1061" s="200"/>
    </row>
    <row r="1062" spans="1:15" ht="15.75" customHeight="1" x14ac:dyDescent="0.25">
      <c r="A1062" s="192"/>
      <c r="B1062" s="192"/>
      <c r="C1062" s="200"/>
      <c r="D1062" s="200"/>
      <c r="E1062" s="200"/>
      <c r="F1062" s="200"/>
      <c r="G1062" s="200"/>
      <c r="H1062" s="200"/>
      <c r="I1062" s="200"/>
      <c r="J1062" s="200"/>
      <c r="K1062" s="200"/>
      <c r="L1062" s="200"/>
      <c r="M1062" s="200"/>
      <c r="N1062" s="200"/>
      <c r="O1062" s="200"/>
    </row>
    <row r="1063" spans="1:15" ht="15.75" customHeight="1" x14ac:dyDescent="0.25">
      <c r="A1063" s="192"/>
      <c r="B1063" s="192"/>
      <c r="C1063" s="200"/>
      <c r="D1063" s="200"/>
      <c r="E1063" s="200"/>
      <c r="F1063" s="200"/>
      <c r="G1063" s="200"/>
      <c r="H1063" s="200"/>
      <c r="I1063" s="200"/>
      <c r="J1063" s="200"/>
      <c r="K1063" s="200"/>
      <c r="L1063" s="200"/>
      <c r="M1063" s="200"/>
      <c r="N1063" s="200"/>
      <c r="O1063" s="200"/>
    </row>
    <row r="1064" spans="1:15" ht="15.75" customHeight="1" x14ac:dyDescent="0.25">
      <c r="A1064" s="192"/>
      <c r="B1064" s="192"/>
      <c r="C1064" s="200"/>
      <c r="D1064" s="200"/>
      <c r="E1064" s="200"/>
      <c r="F1064" s="200"/>
      <c r="G1064" s="200"/>
      <c r="H1064" s="200"/>
      <c r="I1064" s="200"/>
      <c r="J1064" s="200"/>
      <c r="K1064" s="200"/>
      <c r="L1064" s="200"/>
      <c r="M1064" s="200"/>
      <c r="N1064" s="200"/>
      <c r="O1064" s="200"/>
    </row>
    <row r="1065" spans="1:15" ht="15.75" customHeight="1" x14ac:dyDescent="0.25">
      <c r="A1065" s="192"/>
      <c r="B1065" s="192"/>
      <c r="C1065" s="200"/>
      <c r="D1065" s="200"/>
      <c r="E1065" s="200"/>
      <c r="F1065" s="200"/>
      <c r="G1065" s="200"/>
      <c r="H1065" s="200"/>
      <c r="I1065" s="200"/>
      <c r="J1065" s="200"/>
      <c r="K1065" s="200"/>
      <c r="L1065" s="200"/>
      <c r="M1065" s="200"/>
      <c r="N1065" s="200"/>
      <c r="O1065" s="200"/>
    </row>
    <row r="1066" spans="1:15" ht="15.75" customHeight="1" x14ac:dyDescent="0.25">
      <c r="A1066" s="192"/>
      <c r="B1066" s="192"/>
      <c r="C1066" s="200"/>
      <c r="D1066" s="200"/>
      <c r="E1066" s="200"/>
      <c r="F1066" s="200"/>
      <c r="G1066" s="200"/>
      <c r="H1066" s="200"/>
      <c r="I1066" s="200"/>
      <c r="J1066" s="200"/>
      <c r="K1066" s="200"/>
      <c r="L1066" s="200"/>
      <c r="M1066" s="200"/>
      <c r="N1066" s="200"/>
      <c r="O1066" s="200"/>
    </row>
    <row r="1067" spans="1:15" ht="15.75" customHeight="1" x14ac:dyDescent="0.25">
      <c r="A1067" s="192"/>
      <c r="B1067" s="192"/>
      <c r="C1067" s="200"/>
      <c r="D1067" s="200"/>
      <c r="E1067" s="200"/>
      <c r="F1067" s="200"/>
      <c r="G1067" s="200"/>
      <c r="H1067" s="200"/>
      <c r="I1067" s="200"/>
      <c r="J1067" s="200"/>
      <c r="K1067" s="200"/>
      <c r="L1067" s="200"/>
      <c r="M1067" s="200"/>
      <c r="N1067" s="200"/>
      <c r="O1067" s="200"/>
    </row>
    <row r="1068" spans="1:15" ht="15.75" customHeight="1" x14ac:dyDescent="0.25">
      <c r="A1068" s="192"/>
      <c r="B1068" s="192"/>
      <c r="C1068" s="200"/>
      <c r="D1068" s="200"/>
      <c r="E1068" s="200"/>
      <c r="F1068" s="200"/>
      <c r="G1068" s="200"/>
      <c r="H1068" s="200"/>
      <c r="I1068" s="200"/>
      <c r="J1068" s="200"/>
      <c r="K1068" s="200"/>
      <c r="L1068" s="200"/>
      <c r="M1068" s="200"/>
      <c r="N1068" s="200"/>
      <c r="O1068" s="200"/>
    </row>
    <row r="1069" spans="1:15" ht="15.75" customHeight="1" x14ac:dyDescent="0.25">
      <c r="A1069" s="192"/>
      <c r="B1069" s="192"/>
      <c r="C1069" s="200"/>
      <c r="D1069" s="200"/>
      <c r="E1069" s="200"/>
      <c r="F1069" s="200"/>
      <c r="G1069" s="200"/>
      <c r="H1069" s="200"/>
      <c r="I1069" s="200"/>
      <c r="J1069" s="200"/>
      <c r="K1069" s="200"/>
      <c r="L1069" s="200"/>
      <c r="M1069" s="200"/>
      <c r="N1069" s="200"/>
      <c r="O1069" s="200"/>
    </row>
    <row r="1070" spans="1:15" ht="15.75" customHeight="1" x14ac:dyDescent="0.25">
      <c r="A1070" s="192"/>
      <c r="B1070" s="192"/>
      <c r="C1070" s="200"/>
      <c r="D1070" s="200"/>
      <c r="E1070" s="200"/>
      <c r="F1070" s="200"/>
      <c r="G1070" s="200"/>
      <c r="H1070" s="200"/>
      <c r="I1070" s="200"/>
      <c r="J1070" s="200"/>
      <c r="K1070" s="200"/>
      <c r="L1070" s="200"/>
      <c r="M1070" s="200"/>
      <c r="N1070" s="200"/>
      <c r="O1070" s="200"/>
    </row>
    <row r="1071" spans="1:15" ht="15.75" customHeight="1" x14ac:dyDescent="0.25">
      <c r="A1071" s="192"/>
      <c r="B1071" s="192"/>
      <c r="C1071" s="200"/>
      <c r="D1071" s="200"/>
      <c r="E1071" s="200"/>
      <c r="F1071" s="200"/>
      <c r="G1071" s="200"/>
      <c r="H1071" s="200"/>
      <c r="I1071" s="200"/>
      <c r="J1071" s="200"/>
      <c r="K1071" s="200"/>
      <c r="L1071" s="200"/>
      <c r="M1071" s="200"/>
      <c r="N1071" s="200"/>
      <c r="O1071" s="200"/>
    </row>
    <row r="1072" spans="1:15" ht="15.75" customHeight="1" x14ac:dyDescent="0.25">
      <c r="A1072" s="192"/>
      <c r="B1072" s="192"/>
      <c r="C1072" s="200"/>
      <c r="D1072" s="200"/>
      <c r="E1072" s="200"/>
      <c r="F1072" s="200"/>
      <c r="G1072" s="200"/>
      <c r="H1072" s="200"/>
      <c r="I1072" s="200"/>
      <c r="J1072" s="200"/>
      <c r="K1072" s="200"/>
      <c r="L1072" s="200"/>
      <c r="M1072" s="200"/>
      <c r="N1072" s="200"/>
      <c r="O1072" s="200"/>
    </row>
    <row r="1073" spans="1:15" ht="15.75" customHeight="1" x14ac:dyDescent="0.25">
      <c r="A1073" s="192"/>
      <c r="B1073" s="192"/>
      <c r="C1073" s="200"/>
      <c r="D1073" s="200"/>
      <c r="E1073" s="200"/>
      <c r="F1073" s="200"/>
      <c r="G1073" s="200"/>
      <c r="H1073" s="200"/>
      <c r="I1073" s="200"/>
      <c r="J1073" s="200"/>
      <c r="K1073" s="200"/>
      <c r="L1073" s="200"/>
      <c r="M1073" s="200"/>
      <c r="N1073" s="200"/>
      <c r="O1073" s="200"/>
    </row>
    <row r="1074" spans="1:15" ht="15.75" customHeight="1" x14ac:dyDescent="0.25">
      <c r="A1074" s="192"/>
      <c r="B1074" s="192"/>
      <c r="C1074" s="200"/>
      <c r="D1074" s="200"/>
      <c r="E1074" s="200"/>
      <c r="F1074" s="200"/>
      <c r="G1074" s="200"/>
      <c r="H1074" s="200"/>
      <c r="I1074" s="200"/>
      <c r="J1074" s="200"/>
      <c r="K1074" s="200"/>
      <c r="L1074" s="200"/>
      <c r="M1074" s="200"/>
      <c r="N1074" s="200"/>
      <c r="O1074" s="200"/>
    </row>
    <row r="1075" spans="1:15" ht="15.75" customHeight="1" x14ac:dyDescent="0.25">
      <c r="A1075" s="192"/>
      <c r="B1075" s="192"/>
      <c r="C1075" s="200"/>
      <c r="D1075" s="200"/>
      <c r="E1075" s="200"/>
      <c r="F1075" s="200"/>
      <c r="G1075" s="200"/>
      <c r="H1075" s="200"/>
      <c r="I1075" s="200"/>
      <c r="J1075" s="200"/>
      <c r="K1075" s="200"/>
      <c r="L1075" s="200"/>
      <c r="M1075" s="200"/>
      <c r="N1075" s="200"/>
      <c r="O1075" s="200"/>
    </row>
    <row r="1076" spans="1:15" ht="15.75" customHeight="1" x14ac:dyDescent="0.25">
      <c r="A1076" s="192"/>
      <c r="B1076" s="192"/>
      <c r="C1076" s="200"/>
      <c r="D1076" s="200"/>
      <c r="E1076" s="200"/>
      <c r="F1076" s="200"/>
      <c r="G1076" s="200"/>
      <c r="H1076" s="200"/>
      <c r="I1076" s="200"/>
      <c r="J1076" s="200"/>
      <c r="K1076" s="200"/>
      <c r="L1076" s="200"/>
      <c r="M1076" s="200"/>
      <c r="N1076" s="200"/>
      <c r="O1076" s="200"/>
    </row>
    <row r="1077" spans="1:15" ht="15.75" customHeight="1" x14ac:dyDescent="0.25">
      <c r="A1077" s="192"/>
      <c r="B1077" s="192"/>
      <c r="C1077" s="200"/>
      <c r="D1077" s="200"/>
      <c r="E1077" s="200"/>
      <c r="F1077" s="200"/>
      <c r="G1077" s="200"/>
      <c r="H1077" s="200"/>
      <c r="I1077" s="200"/>
      <c r="J1077" s="200"/>
      <c r="K1077" s="200"/>
      <c r="L1077" s="200"/>
      <c r="M1077" s="200"/>
      <c r="N1077" s="200"/>
      <c r="O1077" s="200"/>
    </row>
    <row r="1078" spans="1:15" ht="15.75" customHeight="1" x14ac:dyDescent="0.25">
      <c r="A1078" s="192"/>
      <c r="B1078" s="192"/>
      <c r="C1078" s="200"/>
      <c r="D1078" s="200"/>
      <c r="E1078" s="200"/>
      <c r="F1078" s="200"/>
      <c r="G1078" s="200"/>
      <c r="H1078" s="200"/>
      <c r="I1078" s="200"/>
      <c r="J1078" s="200"/>
      <c r="K1078" s="200"/>
      <c r="L1078" s="200"/>
      <c r="M1078" s="200"/>
      <c r="N1078" s="200"/>
      <c r="O1078" s="200"/>
    </row>
    <row r="1079" spans="1:15" ht="15.75" customHeight="1" x14ac:dyDescent="0.25">
      <c r="A1079" s="192"/>
      <c r="B1079" s="192"/>
      <c r="C1079" s="200"/>
      <c r="D1079" s="200"/>
      <c r="E1079" s="200"/>
      <c r="F1079" s="200"/>
      <c r="G1079" s="200"/>
      <c r="H1079" s="200"/>
      <c r="I1079" s="200"/>
      <c r="J1079" s="200"/>
      <c r="K1079" s="200"/>
      <c r="L1079" s="200"/>
      <c r="M1079" s="200"/>
      <c r="N1079" s="200"/>
      <c r="O1079" s="200"/>
    </row>
    <row r="1080" spans="1:15" ht="15.75" customHeight="1" x14ac:dyDescent="0.25">
      <c r="A1080" s="192"/>
      <c r="B1080" s="192"/>
      <c r="C1080" s="200"/>
      <c r="D1080" s="200"/>
      <c r="E1080" s="200"/>
      <c r="F1080" s="200"/>
      <c r="G1080" s="200"/>
      <c r="H1080" s="200"/>
      <c r="I1080" s="200"/>
      <c r="J1080" s="200"/>
      <c r="K1080" s="200"/>
      <c r="L1080" s="200"/>
      <c r="M1080" s="200"/>
      <c r="N1080" s="200"/>
      <c r="O1080" s="200"/>
    </row>
    <row r="1081" spans="1:15" ht="15.75" customHeight="1" x14ac:dyDescent="0.25">
      <c r="A1081" s="192"/>
      <c r="B1081" s="192"/>
      <c r="C1081" s="200"/>
      <c r="D1081" s="200"/>
      <c r="E1081" s="200"/>
      <c r="F1081" s="200"/>
      <c r="G1081" s="200"/>
      <c r="H1081" s="200"/>
      <c r="I1081" s="200"/>
      <c r="J1081" s="200"/>
      <c r="K1081" s="200"/>
      <c r="L1081" s="200"/>
      <c r="M1081" s="200"/>
      <c r="N1081" s="200"/>
      <c r="O1081" s="200"/>
    </row>
    <row r="1082" spans="1:15" ht="15.75" customHeight="1" x14ac:dyDescent="0.25">
      <c r="A1082" s="192"/>
      <c r="B1082" s="192"/>
      <c r="C1082" s="200"/>
      <c r="D1082" s="200"/>
      <c r="E1082" s="200"/>
      <c r="F1082" s="200"/>
      <c r="G1082" s="200"/>
      <c r="H1082" s="200"/>
      <c r="I1082" s="200"/>
      <c r="J1082" s="200"/>
      <c r="K1082" s="200"/>
      <c r="L1082" s="200"/>
      <c r="M1082" s="200"/>
      <c r="N1082" s="200"/>
      <c r="O1082" s="200"/>
    </row>
    <row r="1083" spans="1:15" ht="15.75" customHeight="1" x14ac:dyDescent="0.25">
      <c r="A1083" s="192"/>
      <c r="B1083" s="192"/>
      <c r="C1083" s="200"/>
      <c r="D1083" s="200"/>
      <c r="E1083" s="200"/>
      <c r="F1083" s="200"/>
      <c r="G1083" s="200"/>
      <c r="H1083" s="200"/>
      <c r="I1083" s="200"/>
      <c r="J1083" s="200"/>
      <c r="K1083" s="200"/>
      <c r="L1083" s="200"/>
      <c r="M1083" s="200"/>
      <c r="N1083" s="200"/>
      <c r="O1083" s="200"/>
    </row>
    <row r="1084" spans="1:15" ht="15.75" customHeight="1" x14ac:dyDescent="0.25">
      <c r="A1084" s="192"/>
      <c r="B1084" s="192"/>
      <c r="C1084" s="200"/>
      <c r="D1084" s="200"/>
      <c r="E1084" s="200"/>
      <c r="F1084" s="200"/>
      <c r="G1084" s="200"/>
      <c r="H1084" s="200"/>
      <c r="I1084" s="200"/>
      <c r="J1084" s="200"/>
      <c r="K1084" s="200"/>
      <c r="L1084" s="200"/>
      <c r="M1084" s="200"/>
      <c r="N1084" s="200"/>
      <c r="O1084" s="200"/>
    </row>
    <row r="1085" spans="1:15" ht="15.75" customHeight="1" x14ac:dyDescent="0.25">
      <c r="A1085" s="192"/>
      <c r="B1085" s="192"/>
      <c r="C1085" s="200"/>
      <c r="D1085" s="200"/>
      <c r="E1085" s="200"/>
      <c r="F1085" s="200"/>
      <c r="G1085" s="200"/>
      <c r="H1085" s="200"/>
      <c r="I1085" s="200"/>
      <c r="J1085" s="200"/>
      <c r="K1085" s="200"/>
      <c r="L1085" s="200"/>
      <c r="M1085" s="200"/>
      <c r="N1085" s="200"/>
      <c r="O1085" s="200"/>
    </row>
    <row r="1086" spans="1:15" ht="15.75" customHeight="1" x14ac:dyDescent="0.25">
      <c r="A1086" s="192"/>
      <c r="B1086" s="192"/>
      <c r="C1086" s="200"/>
      <c r="D1086" s="200"/>
      <c r="E1086" s="200"/>
      <c r="F1086" s="200"/>
      <c r="G1086" s="200"/>
      <c r="H1086" s="200"/>
      <c r="I1086" s="200"/>
      <c r="J1086" s="200"/>
      <c r="K1086" s="200"/>
      <c r="L1086" s="200"/>
      <c r="M1086" s="200"/>
      <c r="N1086" s="200"/>
      <c r="O1086" s="200"/>
    </row>
    <row r="1087" spans="1:15" ht="15.75" customHeight="1" x14ac:dyDescent="0.25">
      <c r="A1087" s="192"/>
      <c r="B1087" s="192"/>
      <c r="C1087" s="200"/>
      <c r="D1087" s="200"/>
      <c r="E1087" s="200"/>
      <c r="F1087" s="200"/>
      <c r="G1087" s="200"/>
      <c r="H1087" s="200"/>
      <c r="I1087" s="200"/>
      <c r="J1087" s="200"/>
      <c r="K1087" s="200"/>
      <c r="L1087" s="200"/>
      <c r="M1087" s="200"/>
      <c r="N1087" s="200"/>
      <c r="O1087" s="200"/>
    </row>
    <row r="1088" spans="1:15" ht="15.75" customHeight="1" x14ac:dyDescent="0.25">
      <c r="A1088" s="192"/>
      <c r="B1088" s="192"/>
      <c r="C1088" s="200"/>
      <c r="D1088" s="200"/>
      <c r="E1088" s="200"/>
      <c r="F1088" s="200"/>
      <c r="G1088" s="200"/>
      <c r="H1088" s="200"/>
      <c r="I1088" s="200"/>
      <c r="J1088" s="200"/>
      <c r="K1088" s="200"/>
      <c r="L1088" s="200"/>
      <c r="M1088" s="200"/>
      <c r="N1088" s="200"/>
      <c r="O1088" s="200"/>
    </row>
    <row r="1089" spans="1:15" ht="15.75" customHeight="1" x14ac:dyDescent="0.25">
      <c r="A1089" s="192"/>
      <c r="B1089" s="192"/>
      <c r="C1089" s="200"/>
      <c r="D1089" s="200"/>
      <c r="E1089" s="200"/>
      <c r="F1089" s="200"/>
      <c r="G1089" s="200"/>
      <c r="H1089" s="200"/>
      <c r="I1089" s="200"/>
      <c r="J1089" s="200"/>
      <c r="K1089" s="200"/>
      <c r="L1089" s="200"/>
      <c r="M1089" s="200"/>
      <c r="N1089" s="200"/>
      <c r="O1089" s="200"/>
    </row>
    <row r="1090" spans="1:15" ht="15.75" customHeight="1" x14ac:dyDescent="0.25">
      <c r="A1090" s="192"/>
      <c r="B1090" s="192"/>
      <c r="C1090" s="200"/>
      <c r="D1090" s="200"/>
      <c r="E1090" s="200"/>
      <c r="F1090" s="200"/>
      <c r="G1090" s="205"/>
      <c r="H1090" s="205"/>
      <c r="I1090" s="200"/>
      <c r="J1090" s="200"/>
      <c r="K1090" s="200"/>
      <c r="L1090" s="200"/>
      <c r="M1090" s="200"/>
      <c r="N1090" s="200"/>
      <c r="O1090" s="200"/>
    </row>
    <row r="1091" spans="1:15" ht="15.75" customHeight="1" x14ac:dyDescent="0.25">
      <c r="A1091" s="192"/>
      <c r="B1091" s="192"/>
      <c r="C1091" s="200"/>
      <c r="D1091" s="200"/>
      <c r="E1091" s="200"/>
      <c r="F1091" s="200"/>
      <c r="G1091" s="205"/>
      <c r="H1091" s="205"/>
      <c r="I1091" s="200"/>
      <c r="J1091" s="200"/>
      <c r="K1091" s="200"/>
      <c r="L1091" s="200"/>
      <c r="M1091" s="200"/>
      <c r="N1091" s="200"/>
      <c r="O1091" s="200"/>
    </row>
    <row r="1092" spans="1:15" ht="15.75" customHeight="1" x14ac:dyDescent="0.25">
      <c r="A1092" s="192"/>
      <c r="B1092" s="192"/>
      <c r="C1092" s="200"/>
      <c r="D1092" s="200"/>
      <c r="E1092" s="200"/>
      <c r="F1092" s="200"/>
      <c r="G1092" s="205"/>
      <c r="H1092" s="205"/>
      <c r="I1092" s="200"/>
      <c r="J1092" s="200"/>
      <c r="K1092" s="200"/>
      <c r="L1092" s="200"/>
      <c r="M1092" s="200"/>
      <c r="N1092" s="200"/>
      <c r="O1092" s="200"/>
    </row>
    <row r="1093" spans="1:15" ht="15.75" customHeight="1" x14ac:dyDescent="0.25">
      <c r="A1093" s="192"/>
      <c r="B1093" s="192"/>
      <c r="C1093" s="200"/>
      <c r="D1093" s="200"/>
      <c r="E1093" s="200"/>
      <c r="F1093" s="200"/>
      <c r="G1093" s="205"/>
      <c r="H1093" s="205"/>
      <c r="I1093" s="200"/>
      <c r="J1093" s="200"/>
      <c r="K1093" s="200"/>
      <c r="L1093" s="200"/>
      <c r="M1093" s="200"/>
      <c r="N1093" s="200"/>
      <c r="O1093" s="200"/>
    </row>
    <row r="1094" spans="1:15" ht="15.75" customHeight="1" x14ac:dyDescent="0.25">
      <c r="A1094" s="192"/>
      <c r="B1094" s="192"/>
      <c r="C1094" s="200"/>
      <c r="D1094" s="200"/>
      <c r="E1094" s="200"/>
      <c r="F1094" s="200"/>
      <c r="G1094" s="205"/>
      <c r="H1094" s="205"/>
      <c r="I1094" s="200"/>
      <c r="J1094" s="200"/>
      <c r="K1094" s="200"/>
      <c r="L1094" s="200"/>
      <c r="M1094" s="200"/>
      <c r="N1094" s="200"/>
      <c r="O1094" s="200"/>
    </row>
    <row r="1095" spans="1:15" ht="15.75" customHeight="1" x14ac:dyDescent="0.25">
      <c r="A1095" s="192"/>
      <c r="B1095" s="192"/>
      <c r="C1095" s="200"/>
      <c r="D1095" s="200"/>
      <c r="E1095" s="200"/>
      <c r="F1095" s="200"/>
      <c r="G1095" s="205"/>
      <c r="H1095" s="205"/>
      <c r="I1095" s="200"/>
      <c r="J1095" s="200"/>
      <c r="K1095" s="200"/>
      <c r="L1095" s="200"/>
      <c r="M1095" s="200"/>
      <c r="N1095" s="200"/>
      <c r="O1095" s="200"/>
    </row>
    <row r="1096" spans="1:15" ht="15.75" customHeight="1" x14ac:dyDescent="0.25">
      <c r="A1096" s="192"/>
      <c r="B1096" s="192"/>
      <c r="C1096" s="200"/>
      <c r="D1096" s="200"/>
      <c r="E1096" s="200"/>
      <c r="F1096" s="200"/>
      <c r="G1096" s="205"/>
      <c r="H1096" s="205"/>
      <c r="I1096" s="200"/>
      <c r="J1096" s="200"/>
      <c r="K1096" s="200"/>
      <c r="L1096" s="200"/>
      <c r="M1096" s="200"/>
      <c r="N1096" s="200"/>
      <c r="O1096" s="200"/>
    </row>
    <row r="1097" spans="1:15" ht="15.75" customHeight="1" x14ac:dyDescent="0.25">
      <c r="A1097" s="192"/>
      <c r="B1097" s="192"/>
      <c r="C1097" s="200"/>
      <c r="D1097" s="200"/>
      <c r="E1097" s="200"/>
      <c r="F1097" s="200"/>
      <c r="G1097" s="205"/>
      <c r="H1097" s="205"/>
      <c r="I1097" s="200"/>
      <c r="J1097" s="200"/>
      <c r="K1097" s="200"/>
      <c r="L1097" s="200"/>
      <c r="M1097" s="200"/>
      <c r="N1097" s="200"/>
      <c r="O1097" s="200"/>
    </row>
    <row r="1098" spans="1:15" ht="15.75" customHeight="1" x14ac:dyDescent="0.25">
      <c r="A1098" s="192"/>
      <c r="B1098" s="192"/>
      <c r="C1098" s="200"/>
      <c r="D1098" s="200"/>
      <c r="E1098" s="200"/>
      <c r="F1098" s="200"/>
      <c r="G1098" s="205"/>
      <c r="H1098" s="205"/>
      <c r="I1098" s="200"/>
      <c r="J1098" s="200"/>
      <c r="K1098" s="200"/>
      <c r="L1098" s="200"/>
      <c r="M1098" s="200"/>
      <c r="N1098" s="200"/>
      <c r="O1098" s="200"/>
    </row>
    <row r="1099" spans="1:15" ht="15.75" customHeight="1" x14ac:dyDescent="0.25">
      <c r="A1099" s="192"/>
      <c r="B1099" s="192"/>
      <c r="C1099" s="200"/>
      <c r="D1099" s="200"/>
      <c r="E1099" s="200"/>
      <c r="F1099" s="200"/>
      <c r="G1099" s="205"/>
      <c r="H1099" s="205"/>
      <c r="I1099" s="200"/>
      <c r="J1099" s="200"/>
      <c r="K1099" s="200"/>
      <c r="L1099" s="200"/>
      <c r="M1099" s="200"/>
      <c r="N1099" s="200"/>
      <c r="O1099" s="200"/>
    </row>
    <row r="1100" spans="1:15" ht="15.75" customHeight="1" x14ac:dyDescent="0.25">
      <c r="A1100" s="192"/>
      <c r="B1100" s="192"/>
      <c r="C1100" s="200"/>
      <c r="D1100" s="200"/>
      <c r="E1100" s="200"/>
      <c r="F1100" s="200"/>
      <c r="G1100" s="205"/>
      <c r="H1100" s="205"/>
      <c r="I1100" s="200"/>
      <c r="J1100" s="200"/>
      <c r="K1100" s="200"/>
      <c r="L1100" s="200"/>
      <c r="M1100" s="200"/>
      <c r="N1100" s="200"/>
      <c r="O1100" s="200"/>
    </row>
    <row r="1101" spans="1:15" ht="15.75" customHeight="1" x14ac:dyDescent="0.25">
      <c r="A1101" s="192"/>
      <c r="B1101" s="192"/>
      <c r="C1101" s="200"/>
      <c r="D1101" s="200"/>
      <c r="E1101" s="200"/>
      <c r="F1101" s="200"/>
      <c r="G1101" s="205"/>
      <c r="H1101" s="205"/>
      <c r="I1101" s="200"/>
      <c r="J1101" s="200"/>
      <c r="K1101" s="200"/>
      <c r="L1101" s="200"/>
      <c r="M1101" s="200"/>
      <c r="N1101" s="200"/>
      <c r="O1101" s="200"/>
    </row>
    <row r="1102" spans="1:15" ht="15.75" customHeight="1" x14ac:dyDescent="0.25">
      <c r="A1102" s="192"/>
      <c r="B1102" s="192"/>
      <c r="C1102" s="200"/>
      <c r="D1102" s="200"/>
      <c r="E1102" s="200"/>
      <c r="F1102" s="200"/>
      <c r="G1102" s="205"/>
      <c r="H1102" s="205"/>
      <c r="I1102" s="200"/>
      <c r="J1102" s="200"/>
      <c r="K1102" s="200"/>
      <c r="L1102" s="200"/>
      <c r="M1102" s="200"/>
      <c r="N1102" s="200"/>
      <c r="O1102" s="200"/>
    </row>
    <row r="1103" spans="1:15" ht="15.75" customHeight="1" x14ac:dyDescent="0.25">
      <c r="A1103" s="192"/>
      <c r="B1103" s="192"/>
      <c r="C1103" s="200"/>
      <c r="D1103" s="200"/>
      <c r="E1103" s="200"/>
      <c r="F1103" s="200"/>
      <c r="G1103" s="205"/>
      <c r="H1103" s="205"/>
      <c r="I1103" s="200"/>
      <c r="J1103" s="200"/>
      <c r="K1103" s="200"/>
      <c r="L1103" s="200"/>
      <c r="M1103" s="200"/>
      <c r="N1103" s="200"/>
      <c r="O1103" s="200"/>
    </row>
    <row r="1104" spans="1:15" ht="15.75" customHeight="1" x14ac:dyDescent="0.25">
      <c r="A1104" s="192"/>
      <c r="B1104" s="192"/>
      <c r="C1104" s="200"/>
      <c r="D1104" s="200"/>
      <c r="E1104" s="200"/>
      <c r="F1104" s="200"/>
      <c r="G1104" s="205"/>
      <c r="H1104" s="205"/>
      <c r="I1104" s="200"/>
      <c r="J1104" s="200"/>
      <c r="K1104" s="200"/>
      <c r="L1104" s="200"/>
      <c r="M1104" s="200"/>
      <c r="N1104" s="200"/>
      <c r="O1104" s="200"/>
    </row>
    <row r="1105" spans="1:15" ht="15.75" customHeight="1" x14ac:dyDescent="0.25">
      <c r="A1105" s="192"/>
      <c r="B1105" s="192"/>
      <c r="C1105" s="200"/>
      <c r="D1105" s="200"/>
      <c r="E1105" s="200"/>
      <c r="F1105" s="200"/>
      <c r="G1105" s="205"/>
      <c r="H1105" s="205"/>
      <c r="I1105" s="200"/>
      <c r="J1105" s="200"/>
      <c r="K1105" s="200"/>
      <c r="L1105" s="200"/>
      <c r="M1105" s="200"/>
      <c r="N1105" s="200"/>
      <c r="O1105" s="200"/>
    </row>
    <row r="1106" spans="1:15" ht="15.75" customHeight="1" x14ac:dyDescent="0.25">
      <c r="A1106" s="192"/>
      <c r="B1106" s="192"/>
      <c r="C1106" s="200"/>
      <c r="D1106" s="200"/>
      <c r="E1106" s="200"/>
      <c r="F1106" s="200"/>
      <c r="G1106" s="205"/>
      <c r="H1106" s="205"/>
      <c r="I1106" s="200"/>
      <c r="J1106" s="200"/>
      <c r="K1106" s="200"/>
      <c r="L1106" s="200"/>
      <c r="M1106" s="200"/>
      <c r="N1106" s="200"/>
      <c r="O1106" s="200"/>
    </row>
    <row r="1107" spans="1:15" ht="15.75" customHeight="1" x14ac:dyDescent="0.25">
      <c r="A1107" s="192"/>
      <c r="B1107" s="192"/>
      <c r="C1107" s="200"/>
      <c r="D1107" s="200"/>
      <c r="E1107" s="200"/>
      <c r="F1107" s="200"/>
      <c r="G1107" s="205"/>
      <c r="H1107" s="205"/>
      <c r="I1107" s="200"/>
      <c r="J1107" s="200"/>
      <c r="K1107" s="200"/>
      <c r="L1107" s="200"/>
      <c r="M1107" s="200"/>
      <c r="N1107" s="200"/>
      <c r="O1107" s="200"/>
    </row>
    <row r="1108" spans="1:15" ht="15.75" customHeight="1" x14ac:dyDescent="0.25">
      <c r="A1108" s="192"/>
      <c r="B1108" s="192"/>
      <c r="C1108" s="200"/>
      <c r="D1108" s="200"/>
      <c r="E1108" s="200"/>
      <c r="F1108" s="200"/>
      <c r="G1108" s="205"/>
      <c r="H1108" s="205"/>
      <c r="I1108" s="200"/>
      <c r="J1108" s="200"/>
      <c r="K1108" s="200"/>
      <c r="L1108" s="200"/>
      <c r="M1108" s="200"/>
      <c r="N1108" s="200"/>
      <c r="O1108" s="200"/>
    </row>
    <row r="1109" spans="1:15" ht="15.75" customHeight="1" x14ac:dyDescent="0.25">
      <c r="A1109" s="192"/>
      <c r="B1109" s="192"/>
      <c r="C1109" s="200"/>
      <c r="D1109" s="200"/>
      <c r="E1109" s="200"/>
      <c r="F1109" s="200"/>
      <c r="G1109" s="205"/>
      <c r="H1109" s="205"/>
      <c r="I1109" s="200"/>
      <c r="J1109" s="200"/>
      <c r="K1109" s="200"/>
      <c r="L1109" s="200"/>
      <c r="M1109" s="200"/>
      <c r="N1109" s="200"/>
      <c r="O1109" s="200"/>
    </row>
    <row r="1110" spans="1:15" ht="15.75" customHeight="1" x14ac:dyDescent="0.25">
      <c r="A1110" s="192"/>
      <c r="B1110" s="192"/>
      <c r="C1110" s="200"/>
      <c r="D1110" s="200"/>
      <c r="E1110" s="200"/>
      <c r="F1110" s="200"/>
      <c r="G1110" s="205"/>
      <c r="H1110" s="205"/>
      <c r="I1110" s="200"/>
      <c r="J1110" s="200"/>
      <c r="K1110" s="200"/>
      <c r="L1110" s="200"/>
      <c r="M1110" s="200"/>
      <c r="N1110" s="200"/>
      <c r="O1110" s="200"/>
    </row>
    <row r="1111" spans="1:15" ht="15.75" customHeight="1" x14ac:dyDescent="0.25">
      <c r="A1111" s="192"/>
      <c r="B1111" s="192"/>
      <c r="C1111" s="200"/>
      <c r="D1111" s="200"/>
      <c r="E1111" s="200"/>
      <c r="F1111" s="200"/>
      <c r="G1111" s="205"/>
      <c r="H1111" s="205"/>
      <c r="I1111" s="200"/>
      <c r="J1111" s="200"/>
      <c r="K1111" s="200"/>
      <c r="L1111" s="200"/>
      <c r="M1111" s="200"/>
      <c r="N1111" s="200"/>
      <c r="O1111" s="200"/>
    </row>
    <row r="1112" spans="1:15" ht="15.75" customHeight="1" x14ac:dyDescent="0.25">
      <c r="A1112" s="192"/>
      <c r="B1112" s="192"/>
      <c r="C1112" s="200"/>
      <c r="D1112" s="200"/>
      <c r="E1112" s="200"/>
      <c r="F1112" s="200"/>
      <c r="G1112" s="205"/>
      <c r="H1112" s="205"/>
      <c r="I1112" s="200"/>
      <c r="J1112" s="200"/>
      <c r="K1112" s="200"/>
      <c r="L1112" s="200"/>
      <c r="M1112" s="200"/>
      <c r="N1112" s="200"/>
      <c r="O1112" s="200"/>
    </row>
    <row r="1113" spans="1:15" ht="15.75" customHeight="1" x14ac:dyDescent="0.25">
      <c r="A1113" s="192"/>
      <c r="B1113" s="192"/>
      <c r="C1113" s="200"/>
      <c r="D1113" s="200"/>
      <c r="E1113" s="200"/>
      <c r="F1113" s="200"/>
      <c r="G1113" s="205"/>
      <c r="H1113" s="205"/>
      <c r="I1113" s="200"/>
      <c r="J1113" s="200"/>
      <c r="K1113" s="200"/>
      <c r="L1113" s="200"/>
      <c r="M1113" s="200"/>
      <c r="N1113" s="200"/>
      <c r="O1113" s="200"/>
    </row>
    <row r="1114" spans="1:15" ht="15.75" customHeight="1" x14ac:dyDescent="0.25">
      <c r="A1114" s="192"/>
      <c r="B1114" s="192"/>
      <c r="C1114" s="200"/>
      <c r="D1114" s="200"/>
      <c r="E1114" s="200"/>
      <c r="F1114" s="200"/>
      <c r="G1114" s="205"/>
      <c r="H1114" s="205"/>
      <c r="I1114" s="200"/>
      <c r="J1114" s="200"/>
      <c r="K1114" s="200"/>
      <c r="L1114" s="200"/>
      <c r="M1114" s="200"/>
      <c r="N1114" s="200"/>
      <c r="O1114" s="200"/>
    </row>
    <row r="1115" spans="1:15" ht="15.75" customHeight="1" x14ac:dyDescent="0.25">
      <c r="A1115" s="192"/>
      <c r="B1115" s="192"/>
      <c r="C1115" s="200"/>
      <c r="D1115" s="200"/>
      <c r="E1115" s="200"/>
      <c r="F1115" s="200"/>
      <c r="G1115" s="205"/>
      <c r="H1115" s="205"/>
      <c r="I1115" s="200"/>
      <c r="J1115" s="200"/>
      <c r="K1115" s="200"/>
      <c r="L1115" s="200"/>
      <c r="M1115" s="200"/>
      <c r="N1115" s="200"/>
      <c r="O1115" s="200"/>
    </row>
    <row r="1116" spans="1:15" ht="15.75" customHeight="1" x14ac:dyDescent="0.25">
      <c r="A1116" s="192"/>
      <c r="B1116" s="192"/>
      <c r="C1116" s="200"/>
      <c r="D1116" s="200"/>
      <c r="E1116" s="200"/>
      <c r="F1116" s="200"/>
      <c r="G1116" s="205"/>
      <c r="H1116" s="205"/>
      <c r="I1116" s="200"/>
      <c r="J1116" s="200"/>
      <c r="K1116" s="200"/>
      <c r="L1116" s="200"/>
      <c r="M1116" s="200"/>
      <c r="N1116" s="200"/>
      <c r="O1116" s="200"/>
    </row>
    <row r="1117" spans="1:15" ht="15.75" customHeight="1" x14ac:dyDescent="0.25">
      <c r="A1117" s="192"/>
      <c r="B1117" s="192"/>
      <c r="C1117" s="200"/>
      <c r="D1117" s="200"/>
      <c r="E1117" s="200"/>
      <c r="F1117" s="200"/>
      <c r="G1117" s="205"/>
      <c r="H1117" s="205"/>
      <c r="I1117" s="200"/>
      <c r="J1117" s="200"/>
      <c r="K1117" s="200"/>
      <c r="L1117" s="200"/>
      <c r="M1117" s="200"/>
      <c r="N1117" s="200"/>
      <c r="O1117" s="200"/>
    </row>
    <row r="1118" spans="1:15" ht="15.75" customHeight="1" x14ac:dyDescent="0.25">
      <c r="A1118" s="192"/>
      <c r="B1118" s="192"/>
      <c r="C1118" s="200"/>
      <c r="D1118" s="200"/>
      <c r="E1118" s="200"/>
      <c r="F1118" s="200"/>
      <c r="G1118" s="205"/>
      <c r="H1118" s="205"/>
      <c r="I1118" s="200"/>
      <c r="J1118" s="200"/>
      <c r="K1118" s="200"/>
      <c r="L1118" s="200"/>
      <c r="M1118" s="200"/>
      <c r="N1118" s="200"/>
      <c r="O1118" s="200"/>
    </row>
    <row r="1119" spans="1:15" ht="15.75" customHeight="1" x14ac:dyDescent="0.25">
      <c r="A1119" s="192"/>
      <c r="B1119" s="192"/>
      <c r="C1119" s="200"/>
      <c r="D1119" s="200"/>
      <c r="E1119" s="200"/>
      <c r="F1119" s="200"/>
      <c r="G1119" s="205"/>
      <c r="H1119" s="205"/>
      <c r="I1119" s="200"/>
      <c r="J1119" s="200"/>
      <c r="K1119" s="200"/>
      <c r="L1119" s="200"/>
      <c r="M1119" s="200"/>
      <c r="N1119" s="200"/>
      <c r="O1119" s="200"/>
    </row>
    <row r="1120" spans="1:15" ht="15.75" customHeight="1" x14ac:dyDescent="0.25">
      <c r="A1120" s="192"/>
      <c r="B1120" s="192"/>
      <c r="C1120" s="200"/>
      <c r="D1120" s="200"/>
      <c r="E1120" s="200"/>
      <c r="F1120" s="200"/>
      <c r="G1120" s="205"/>
      <c r="H1120" s="205"/>
      <c r="I1120" s="200"/>
      <c r="J1120" s="200"/>
      <c r="K1120" s="200"/>
      <c r="L1120" s="200"/>
      <c r="M1120" s="200"/>
      <c r="N1120" s="200"/>
      <c r="O1120" s="200"/>
    </row>
    <row r="1121" spans="1:15" ht="15.75" customHeight="1" x14ac:dyDescent="0.25">
      <c r="A1121" s="192"/>
      <c r="B1121" s="192"/>
      <c r="C1121" s="200"/>
      <c r="D1121" s="200"/>
      <c r="E1121" s="200"/>
      <c r="F1121" s="200"/>
      <c r="G1121" s="205"/>
      <c r="H1121" s="205"/>
      <c r="I1121" s="200"/>
      <c r="J1121" s="200"/>
      <c r="K1121" s="200"/>
      <c r="L1121" s="200"/>
      <c r="M1121" s="200"/>
      <c r="N1121" s="200"/>
      <c r="O1121" s="200"/>
    </row>
    <row r="1122" spans="1:15" ht="15.75" customHeight="1" x14ac:dyDescent="0.25">
      <c r="A1122" s="192"/>
      <c r="B1122" s="192"/>
      <c r="C1122" s="200"/>
      <c r="D1122" s="200"/>
      <c r="E1122" s="200"/>
      <c r="F1122" s="200"/>
      <c r="G1122" s="205"/>
      <c r="H1122" s="205"/>
      <c r="I1122" s="200"/>
      <c r="J1122" s="200"/>
      <c r="K1122" s="200"/>
      <c r="L1122" s="200"/>
      <c r="M1122" s="200"/>
      <c r="N1122" s="200"/>
      <c r="O1122" s="200"/>
    </row>
    <row r="1123" spans="1:15" ht="15.75" customHeight="1" x14ac:dyDescent="0.25">
      <c r="A1123" s="192"/>
      <c r="B1123" s="192"/>
      <c r="C1123" s="200"/>
      <c r="D1123" s="200"/>
      <c r="E1123" s="200"/>
      <c r="F1123" s="200"/>
      <c r="G1123" s="205"/>
      <c r="H1123" s="205"/>
      <c r="I1123" s="200"/>
      <c r="J1123" s="200"/>
      <c r="K1123" s="200"/>
      <c r="L1123" s="200"/>
      <c r="M1123" s="200"/>
      <c r="N1123" s="200"/>
      <c r="O1123" s="200"/>
    </row>
    <row r="1124" spans="1:15" ht="15.75" customHeight="1" x14ac:dyDescent="0.25">
      <c r="A1124" s="192"/>
      <c r="B1124" s="192"/>
      <c r="C1124" s="200"/>
      <c r="D1124" s="200"/>
      <c r="E1124" s="200"/>
      <c r="F1124" s="200"/>
      <c r="G1124" s="205"/>
      <c r="H1124" s="205"/>
      <c r="I1124" s="200"/>
      <c r="J1124" s="200"/>
      <c r="K1124" s="200"/>
      <c r="L1124" s="200"/>
      <c r="M1124" s="200"/>
      <c r="N1124" s="200"/>
      <c r="O1124" s="200"/>
    </row>
    <row r="1125" spans="1:15" ht="15.75" customHeight="1" x14ac:dyDescent="0.25">
      <c r="A1125" s="192"/>
      <c r="B1125" s="192"/>
      <c r="C1125" s="200"/>
      <c r="D1125" s="200"/>
      <c r="E1125" s="200"/>
      <c r="F1125" s="200"/>
      <c r="G1125" s="205"/>
      <c r="H1125" s="205"/>
      <c r="I1125" s="200"/>
      <c r="J1125" s="200"/>
      <c r="K1125" s="200"/>
      <c r="L1125" s="200"/>
      <c r="M1125" s="200"/>
      <c r="N1125" s="200"/>
      <c r="O1125" s="200"/>
    </row>
    <row r="1126" spans="1:15" ht="15.75" customHeight="1" x14ac:dyDescent="0.25">
      <c r="A1126" s="192"/>
      <c r="B1126" s="192"/>
      <c r="C1126" s="200"/>
      <c r="D1126" s="200"/>
      <c r="E1126" s="200"/>
      <c r="F1126" s="200"/>
      <c r="G1126" s="205"/>
      <c r="H1126" s="205"/>
      <c r="I1126" s="200"/>
      <c r="J1126" s="200"/>
      <c r="K1126" s="200"/>
      <c r="L1126" s="200"/>
      <c r="M1126" s="200"/>
      <c r="N1126" s="200"/>
      <c r="O1126" s="200"/>
    </row>
    <row r="1127" spans="1:15" ht="15.75" customHeight="1" x14ac:dyDescent="0.25">
      <c r="A1127" s="192"/>
      <c r="B1127" s="192"/>
      <c r="C1127" s="200"/>
      <c r="D1127" s="200"/>
      <c r="E1127" s="200"/>
      <c r="F1127" s="200"/>
      <c r="G1127" s="205"/>
      <c r="H1127" s="205"/>
      <c r="I1127" s="200"/>
      <c r="J1127" s="200"/>
      <c r="K1127" s="200"/>
      <c r="L1127" s="200"/>
      <c r="M1127" s="200"/>
      <c r="N1127" s="200"/>
      <c r="O1127" s="200"/>
    </row>
    <row r="1128" spans="1:15" ht="15.75" customHeight="1" x14ac:dyDescent="0.25">
      <c r="A1128" s="192"/>
      <c r="B1128" s="192"/>
      <c r="C1128" s="200"/>
      <c r="D1128" s="200"/>
      <c r="E1128" s="200"/>
      <c r="F1128" s="200"/>
      <c r="G1128" s="205"/>
      <c r="H1128" s="205"/>
      <c r="I1128" s="200"/>
      <c r="J1128" s="200"/>
      <c r="K1128" s="200"/>
      <c r="L1128" s="200"/>
      <c r="M1128" s="200"/>
      <c r="N1128" s="200"/>
      <c r="O1128" s="200"/>
    </row>
    <row r="1129" spans="1:15" ht="15.75" customHeight="1" x14ac:dyDescent="0.25">
      <c r="A1129" s="192"/>
      <c r="B1129" s="192"/>
      <c r="C1129" s="200"/>
      <c r="D1129" s="200"/>
      <c r="E1129" s="200"/>
      <c r="F1129" s="200"/>
      <c r="G1129" s="205"/>
      <c r="H1129" s="205"/>
      <c r="I1129" s="200"/>
      <c r="J1129" s="200"/>
      <c r="K1129" s="200"/>
      <c r="L1129" s="200"/>
      <c r="M1129" s="200"/>
      <c r="N1129" s="200"/>
      <c r="O1129" s="200"/>
    </row>
    <row r="1130" spans="1:15" ht="15.75" customHeight="1" x14ac:dyDescent="0.25">
      <c r="A1130" s="192"/>
      <c r="B1130" s="192"/>
      <c r="C1130" s="200"/>
      <c r="D1130" s="200"/>
      <c r="E1130" s="200"/>
      <c r="F1130" s="200"/>
      <c r="G1130" s="205"/>
      <c r="H1130" s="205"/>
      <c r="I1130" s="200"/>
      <c r="J1130" s="200"/>
      <c r="K1130" s="200"/>
      <c r="L1130" s="200"/>
      <c r="M1130" s="200"/>
      <c r="N1130" s="200"/>
      <c r="O1130" s="200"/>
    </row>
    <row r="1131" spans="1:15" ht="15.75" customHeight="1" x14ac:dyDescent="0.25">
      <c r="A1131" s="192"/>
      <c r="B1131" s="192"/>
      <c r="C1131" s="200"/>
      <c r="D1131" s="200"/>
      <c r="E1131" s="200"/>
      <c r="F1131" s="200"/>
      <c r="G1131" s="205"/>
      <c r="H1131" s="205"/>
      <c r="I1131" s="200"/>
      <c r="J1131" s="200"/>
      <c r="K1131" s="200"/>
      <c r="L1131" s="200"/>
      <c r="M1131" s="200"/>
      <c r="N1131" s="200"/>
      <c r="O1131" s="200"/>
    </row>
    <row r="1132" spans="1:15" ht="15.75" customHeight="1" x14ac:dyDescent="0.25">
      <c r="A1132" s="192"/>
      <c r="B1132" s="192"/>
      <c r="C1132" s="200"/>
      <c r="D1132" s="200"/>
      <c r="E1132" s="200"/>
      <c r="F1132" s="200"/>
      <c r="G1132" s="205"/>
      <c r="H1132" s="205"/>
      <c r="I1132" s="200"/>
      <c r="J1132" s="200"/>
      <c r="K1132" s="200"/>
      <c r="L1132" s="200"/>
      <c r="M1132" s="200"/>
      <c r="N1132" s="200"/>
      <c r="O1132" s="200"/>
    </row>
    <row r="1133" spans="1:15" ht="15.75" customHeight="1" x14ac:dyDescent="0.25">
      <c r="A1133" s="192"/>
      <c r="B1133" s="192"/>
      <c r="C1133" s="200"/>
      <c r="D1133" s="200"/>
      <c r="E1133" s="200"/>
      <c r="F1133" s="200"/>
      <c r="G1133" s="205"/>
      <c r="H1133" s="205"/>
      <c r="I1133" s="200"/>
      <c r="J1133" s="200"/>
      <c r="K1133" s="200"/>
      <c r="L1133" s="200"/>
      <c r="M1133" s="200"/>
      <c r="N1133" s="200"/>
      <c r="O1133" s="200"/>
    </row>
    <row r="1134" spans="1:15" ht="15.75" customHeight="1" x14ac:dyDescent="0.25">
      <c r="A1134" s="192"/>
      <c r="B1134" s="192"/>
      <c r="C1134" s="200"/>
      <c r="D1134" s="200"/>
      <c r="E1134" s="200"/>
      <c r="F1134" s="200"/>
      <c r="G1134" s="205"/>
      <c r="H1134" s="205"/>
      <c r="I1134" s="200"/>
      <c r="J1134" s="200"/>
      <c r="K1134" s="200"/>
      <c r="L1134" s="200"/>
      <c r="M1134" s="200"/>
      <c r="N1134" s="200"/>
      <c r="O1134" s="200"/>
    </row>
    <row r="1135" spans="1:15" ht="15.75" customHeight="1" x14ac:dyDescent="0.25">
      <c r="A1135" s="192"/>
      <c r="B1135" s="192"/>
      <c r="C1135" s="200"/>
      <c r="D1135" s="200"/>
      <c r="E1135" s="200"/>
      <c r="F1135" s="200"/>
      <c r="G1135" s="205"/>
      <c r="H1135" s="205"/>
      <c r="I1135" s="200"/>
      <c r="J1135" s="200"/>
      <c r="K1135" s="200"/>
      <c r="L1135" s="200"/>
      <c r="M1135" s="200"/>
      <c r="N1135" s="200"/>
      <c r="O1135" s="200"/>
    </row>
    <row r="1136" spans="1:15" ht="15.75" customHeight="1" x14ac:dyDescent="0.25">
      <c r="A1136" s="192"/>
      <c r="B1136" s="192"/>
      <c r="C1136" s="200"/>
      <c r="D1136" s="200"/>
      <c r="E1136" s="200"/>
      <c r="F1136" s="200"/>
      <c r="G1136" s="205"/>
      <c r="H1136" s="205"/>
      <c r="I1136" s="200"/>
      <c r="J1136" s="200"/>
      <c r="K1136" s="200"/>
      <c r="L1136" s="200"/>
      <c r="M1136" s="200"/>
      <c r="N1136" s="200"/>
      <c r="O1136" s="200"/>
    </row>
    <row r="1137" spans="1:15" ht="15.75" customHeight="1" x14ac:dyDescent="0.25">
      <c r="A1137" s="192"/>
      <c r="B1137" s="192"/>
      <c r="C1137" s="200"/>
      <c r="D1137" s="200"/>
      <c r="E1137" s="200"/>
      <c r="F1137" s="200"/>
      <c r="G1137" s="205"/>
      <c r="H1137" s="205"/>
      <c r="I1137" s="200"/>
      <c r="J1137" s="200"/>
      <c r="K1137" s="200"/>
      <c r="L1137" s="200"/>
      <c r="M1137" s="200"/>
      <c r="N1137" s="200"/>
      <c r="O1137" s="200"/>
    </row>
    <row r="1138" spans="1:15" ht="15.75" customHeight="1" x14ac:dyDescent="0.25">
      <c r="A1138" s="192"/>
      <c r="B1138" s="192"/>
      <c r="C1138" s="200"/>
      <c r="D1138" s="200"/>
      <c r="E1138" s="200"/>
      <c r="F1138" s="200"/>
      <c r="G1138" s="205"/>
      <c r="H1138" s="205"/>
      <c r="I1138" s="200"/>
      <c r="J1138" s="200"/>
      <c r="K1138" s="200"/>
      <c r="L1138" s="200"/>
      <c r="M1138" s="200"/>
      <c r="N1138" s="200"/>
      <c r="O1138" s="200"/>
    </row>
    <row r="1139" spans="1:15" ht="15.75" customHeight="1" x14ac:dyDescent="0.25">
      <c r="A1139" s="192"/>
      <c r="B1139" s="192"/>
      <c r="C1139" s="200"/>
      <c r="D1139" s="200"/>
      <c r="E1139" s="200"/>
      <c r="F1139" s="200"/>
      <c r="G1139" s="205"/>
      <c r="H1139" s="205"/>
      <c r="I1139" s="200"/>
      <c r="J1139" s="200"/>
      <c r="K1139" s="200"/>
      <c r="L1139" s="200"/>
      <c r="M1139" s="200"/>
      <c r="N1139" s="200"/>
      <c r="O1139" s="200"/>
    </row>
    <row r="1140" spans="1:15" ht="15.75" customHeight="1" x14ac:dyDescent="0.25">
      <c r="A1140" s="192"/>
      <c r="B1140" s="192"/>
      <c r="C1140" s="200"/>
      <c r="D1140" s="200"/>
      <c r="E1140" s="200"/>
      <c r="F1140" s="200"/>
      <c r="I1140" s="200"/>
      <c r="J1140" s="200"/>
      <c r="K1140" s="200"/>
      <c r="L1140" s="200"/>
      <c r="M1140" s="200"/>
      <c r="N1140" s="200"/>
      <c r="O1140" s="200"/>
    </row>
    <row r="1141" spans="1:15" ht="15.75" customHeight="1" x14ac:dyDescent="0.25">
      <c r="A1141" s="192"/>
      <c r="B1141" s="192"/>
      <c r="C1141" s="200"/>
      <c r="D1141" s="200"/>
      <c r="E1141" s="200"/>
      <c r="F1141" s="200"/>
      <c r="I1141" s="200"/>
      <c r="J1141" s="200"/>
      <c r="K1141" s="200"/>
      <c r="L1141" s="200"/>
      <c r="M1141" s="200"/>
      <c r="N1141" s="200"/>
      <c r="O1141" s="200"/>
    </row>
    <row r="1142" spans="1:15" ht="15.75" customHeight="1" x14ac:dyDescent="0.25">
      <c r="A1142" s="192"/>
      <c r="B1142" s="192"/>
      <c r="C1142" s="200"/>
      <c r="D1142" s="200"/>
      <c r="E1142" s="200"/>
      <c r="F1142" s="200"/>
      <c r="I1142" s="200"/>
      <c r="J1142" s="200"/>
      <c r="K1142" s="200"/>
      <c r="L1142" s="200"/>
      <c r="M1142" s="200"/>
      <c r="N1142" s="200"/>
      <c r="O1142" s="200"/>
    </row>
    <row r="1143" spans="1:15" ht="15.75" customHeight="1" x14ac:dyDescent="0.25">
      <c r="A1143" s="192"/>
      <c r="B1143" s="192"/>
      <c r="C1143" s="200"/>
      <c r="D1143" s="200"/>
      <c r="E1143" s="200"/>
      <c r="F1143" s="200"/>
      <c r="I1143" s="200"/>
      <c r="J1143" s="200"/>
      <c r="K1143" s="200"/>
      <c r="L1143" s="200"/>
      <c r="M1143" s="200"/>
      <c r="N1143" s="200"/>
      <c r="O1143" s="200"/>
    </row>
    <row r="1144" spans="1:15" ht="15.75" customHeight="1" x14ac:dyDescent="0.25">
      <c r="A1144" s="192"/>
      <c r="B1144" s="192"/>
      <c r="C1144" s="200"/>
      <c r="D1144" s="200"/>
      <c r="E1144" s="200"/>
      <c r="F1144" s="200"/>
      <c r="I1144" s="200"/>
      <c r="J1144" s="200"/>
      <c r="K1144" s="200"/>
      <c r="L1144" s="200"/>
      <c r="M1144" s="200"/>
      <c r="N1144" s="200"/>
      <c r="O1144" s="200"/>
    </row>
    <row r="1145" spans="1:15" ht="15.75" customHeight="1" x14ac:dyDescent="0.25">
      <c r="A1145" s="192"/>
      <c r="B1145" s="192"/>
      <c r="C1145" s="200"/>
      <c r="D1145" s="200"/>
      <c r="E1145" s="200"/>
      <c r="F1145" s="200"/>
      <c r="I1145" s="200"/>
      <c r="J1145" s="200"/>
      <c r="K1145" s="200"/>
      <c r="L1145" s="200"/>
      <c r="M1145" s="200"/>
      <c r="N1145" s="200"/>
      <c r="O1145" s="200"/>
    </row>
    <row r="1146" spans="1:15" ht="15.75" customHeight="1" x14ac:dyDescent="0.25">
      <c r="A1146" s="192"/>
      <c r="B1146" s="192"/>
      <c r="C1146" s="200"/>
      <c r="D1146" s="200"/>
      <c r="E1146" s="200"/>
      <c r="F1146" s="200"/>
      <c r="I1146" s="200"/>
      <c r="J1146" s="200"/>
      <c r="K1146" s="200"/>
      <c r="L1146" s="200"/>
      <c r="M1146" s="200"/>
      <c r="N1146" s="200"/>
      <c r="O1146" s="200"/>
    </row>
    <row r="1147" spans="1:15" ht="15.75" customHeight="1" x14ac:dyDescent="0.25">
      <c r="A1147" s="192"/>
      <c r="B1147" s="192"/>
      <c r="C1147" s="200"/>
      <c r="D1147" s="200"/>
      <c r="E1147" s="200"/>
      <c r="F1147" s="200"/>
      <c r="I1147" s="200"/>
      <c r="J1147" s="200"/>
      <c r="K1147" s="200"/>
      <c r="L1147" s="200"/>
      <c r="M1147" s="200"/>
      <c r="N1147" s="200"/>
      <c r="O1147" s="200"/>
    </row>
    <row r="1148" spans="1:15" ht="15.75" customHeight="1" x14ac:dyDescent="0.25">
      <c r="A1148" s="192"/>
      <c r="B1148" s="192"/>
      <c r="C1148" s="200"/>
      <c r="D1148" s="200"/>
      <c r="E1148" s="200"/>
      <c r="F1148" s="200"/>
      <c r="I1148" s="200"/>
      <c r="J1148" s="200"/>
      <c r="K1148" s="200"/>
      <c r="L1148" s="200"/>
      <c r="M1148" s="200"/>
      <c r="N1148" s="200"/>
      <c r="O1148" s="200"/>
    </row>
    <row r="1149" spans="1:15" ht="15.75" customHeight="1" x14ac:dyDescent="0.25">
      <c r="A1149" s="192"/>
      <c r="B1149" s="192"/>
      <c r="C1149" s="200"/>
      <c r="D1149" s="200"/>
      <c r="E1149" s="200"/>
      <c r="F1149" s="200"/>
      <c r="I1149" s="200"/>
      <c r="J1149" s="200"/>
      <c r="K1149" s="200"/>
      <c r="L1149" s="200"/>
      <c r="M1149" s="200"/>
      <c r="N1149" s="200"/>
      <c r="O1149" s="200"/>
    </row>
    <row r="1150" spans="1:15" ht="15.75" customHeight="1" x14ac:dyDescent="0.25">
      <c r="A1150" s="192"/>
      <c r="B1150" s="192"/>
      <c r="C1150" s="200"/>
      <c r="D1150" s="200"/>
      <c r="E1150" s="200"/>
      <c r="F1150" s="200"/>
      <c r="I1150" s="200"/>
      <c r="J1150" s="200"/>
      <c r="K1150" s="200"/>
      <c r="L1150" s="200"/>
      <c r="M1150" s="200"/>
      <c r="N1150" s="200"/>
      <c r="O1150" s="200"/>
    </row>
    <row r="1151" spans="1:15" ht="15.75" customHeight="1" x14ac:dyDescent="0.25">
      <c r="A1151" s="192"/>
      <c r="B1151" s="192"/>
      <c r="C1151" s="200"/>
      <c r="D1151" s="200"/>
      <c r="E1151" s="200"/>
      <c r="F1151" s="200"/>
      <c r="I1151" s="200"/>
      <c r="J1151" s="200"/>
      <c r="K1151" s="200"/>
      <c r="L1151" s="200"/>
      <c r="M1151" s="200"/>
      <c r="N1151" s="200"/>
      <c r="O1151" s="200"/>
    </row>
    <row r="1152" spans="1:15" ht="15.75" customHeight="1" x14ac:dyDescent="0.25">
      <c r="A1152" s="192"/>
      <c r="B1152" s="192"/>
      <c r="C1152" s="200"/>
      <c r="D1152" s="200"/>
      <c r="E1152" s="200"/>
      <c r="F1152" s="200"/>
      <c r="I1152" s="200"/>
      <c r="J1152" s="200"/>
      <c r="K1152" s="200"/>
      <c r="L1152" s="200"/>
      <c r="M1152" s="200"/>
      <c r="N1152" s="200"/>
      <c r="O1152" s="200"/>
    </row>
    <row r="1153" spans="1:15" ht="15.75" customHeight="1" x14ac:dyDescent="0.25">
      <c r="A1153" s="192"/>
      <c r="B1153" s="192"/>
      <c r="C1153" s="200"/>
      <c r="D1153" s="200"/>
      <c r="E1153" s="200"/>
      <c r="F1153" s="200"/>
      <c r="I1153" s="200"/>
      <c r="J1153" s="200"/>
      <c r="K1153" s="200"/>
      <c r="L1153" s="200"/>
      <c r="M1153" s="200"/>
      <c r="N1153" s="200"/>
      <c r="O1153" s="200"/>
    </row>
    <row r="1154" spans="1:15" ht="15.75" customHeight="1" x14ac:dyDescent="0.25">
      <c r="A1154" s="192"/>
      <c r="B1154" s="192"/>
      <c r="C1154" s="200"/>
      <c r="D1154" s="200"/>
      <c r="E1154" s="200"/>
      <c r="F1154" s="200"/>
      <c r="I1154" s="200"/>
      <c r="J1154" s="200"/>
      <c r="K1154" s="200"/>
      <c r="L1154" s="200"/>
      <c r="M1154" s="200"/>
      <c r="N1154" s="200"/>
      <c r="O1154" s="200"/>
    </row>
    <row r="1155" spans="1:15" ht="15.75" customHeight="1" x14ac:dyDescent="0.25">
      <c r="A1155" s="192"/>
      <c r="B1155" s="192"/>
      <c r="C1155" s="200"/>
      <c r="D1155" s="200"/>
      <c r="E1155" s="200"/>
      <c r="F1155" s="200"/>
      <c r="I1155" s="200"/>
      <c r="J1155" s="200"/>
      <c r="K1155" s="200"/>
      <c r="L1155" s="200"/>
      <c r="M1155" s="200"/>
      <c r="N1155" s="200"/>
      <c r="O1155" s="200"/>
    </row>
    <row r="1156" spans="1:15" ht="15.75" customHeight="1" x14ac:dyDescent="0.25">
      <c r="A1156" s="192"/>
      <c r="B1156" s="192"/>
      <c r="C1156" s="200"/>
      <c r="D1156" s="200"/>
      <c r="E1156" s="200"/>
      <c r="F1156" s="200"/>
      <c r="I1156" s="200"/>
      <c r="J1156" s="200"/>
      <c r="K1156" s="200"/>
      <c r="L1156" s="200"/>
      <c r="M1156" s="200"/>
      <c r="N1156" s="200"/>
      <c r="O1156" s="200"/>
    </row>
    <row r="1157" spans="1:15" ht="15.75" customHeight="1" x14ac:dyDescent="0.25">
      <c r="A1157" s="192"/>
      <c r="B1157" s="192"/>
      <c r="C1157" s="200"/>
      <c r="D1157" s="200"/>
      <c r="E1157" s="200"/>
      <c r="F1157" s="200"/>
      <c r="I1157" s="200"/>
      <c r="J1157" s="200"/>
      <c r="K1157" s="200"/>
      <c r="L1157" s="200"/>
      <c r="M1157" s="200"/>
      <c r="N1157" s="200"/>
      <c r="O1157" s="200"/>
    </row>
    <row r="1158" spans="1:15" ht="15.75" customHeight="1" x14ac:dyDescent="0.25">
      <c r="A1158" s="192"/>
      <c r="B1158" s="192"/>
      <c r="C1158" s="200"/>
      <c r="D1158" s="200"/>
      <c r="E1158" s="200"/>
      <c r="F1158" s="200"/>
      <c r="I1158" s="200"/>
      <c r="J1158" s="200"/>
      <c r="K1158" s="200"/>
      <c r="L1158" s="200"/>
      <c r="M1158" s="200"/>
      <c r="N1158" s="200"/>
      <c r="O1158" s="200"/>
    </row>
    <row r="1159" spans="1:15" ht="15.75" customHeight="1" x14ac:dyDescent="0.25">
      <c r="A1159" s="192"/>
      <c r="B1159" s="192"/>
      <c r="C1159" s="200"/>
      <c r="D1159" s="200"/>
      <c r="E1159" s="200"/>
      <c r="F1159" s="200"/>
      <c r="I1159" s="200"/>
      <c r="J1159" s="200"/>
      <c r="K1159" s="200"/>
      <c r="L1159" s="200"/>
      <c r="M1159" s="200"/>
      <c r="N1159" s="200"/>
      <c r="O1159" s="200"/>
    </row>
    <row r="1160" spans="1:15" ht="15.75" customHeight="1" x14ac:dyDescent="0.25">
      <c r="A1160" s="192"/>
      <c r="B1160" s="192"/>
      <c r="C1160" s="200"/>
      <c r="D1160" s="200"/>
      <c r="E1160" s="200"/>
      <c r="F1160" s="200"/>
      <c r="I1160" s="200"/>
      <c r="J1160" s="200"/>
      <c r="K1160" s="200"/>
      <c r="L1160" s="200"/>
      <c r="M1160" s="200"/>
      <c r="N1160" s="200"/>
      <c r="O1160" s="200"/>
    </row>
    <row r="1161" spans="1:15" ht="15.75" customHeight="1" x14ac:dyDescent="0.25">
      <c r="A1161" s="192"/>
      <c r="B1161" s="192"/>
      <c r="C1161" s="200"/>
      <c r="D1161" s="200"/>
      <c r="E1161" s="200"/>
      <c r="F1161" s="200"/>
      <c r="I1161" s="200"/>
      <c r="J1161" s="200"/>
      <c r="K1161" s="200"/>
      <c r="L1161" s="200"/>
      <c r="M1161" s="200"/>
      <c r="N1161" s="200"/>
      <c r="O1161" s="200"/>
    </row>
    <row r="1162" spans="1:15" ht="15.75" customHeight="1" x14ac:dyDescent="0.25">
      <c r="A1162" s="192"/>
      <c r="B1162" s="192"/>
      <c r="C1162" s="200"/>
      <c r="D1162" s="200"/>
      <c r="E1162" s="200"/>
      <c r="F1162" s="200"/>
      <c r="I1162" s="200"/>
      <c r="J1162" s="200"/>
      <c r="K1162" s="200"/>
      <c r="L1162" s="200"/>
      <c r="M1162" s="200"/>
      <c r="N1162" s="200"/>
      <c r="O1162" s="200"/>
    </row>
    <row r="1163" spans="1:15" ht="15.75" customHeight="1" x14ac:dyDescent="0.25">
      <c r="A1163" s="192"/>
      <c r="B1163" s="192"/>
      <c r="C1163" s="200"/>
      <c r="D1163" s="200"/>
      <c r="E1163" s="200"/>
      <c r="F1163" s="200"/>
      <c r="I1163" s="200"/>
      <c r="J1163" s="200"/>
      <c r="K1163" s="200"/>
      <c r="L1163" s="200"/>
      <c r="M1163" s="200"/>
      <c r="N1163" s="200"/>
      <c r="O1163" s="200"/>
    </row>
    <row r="1164" spans="1:15" ht="15.75" customHeight="1" x14ac:dyDescent="0.25">
      <c r="A1164" s="192"/>
      <c r="B1164" s="192"/>
      <c r="C1164" s="200"/>
      <c r="D1164" s="200"/>
      <c r="E1164" s="200"/>
      <c r="F1164" s="200"/>
      <c r="I1164" s="200"/>
      <c r="J1164" s="200"/>
      <c r="K1164" s="200"/>
      <c r="L1164" s="200"/>
      <c r="M1164" s="200"/>
      <c r="N1164" s="200"/>
      <c r="O1164" s="200"/>
    </row>
    <row r="1165" spans="1:15" ht="15.75" customHeight="1" x14ac:dyDescent="0.25">
      <c r="A1165" s="192"/>
      <c r="B1165" s="192"/>
      <c r="C1165" s="200"/>
      <c r="D1165" s="200"/>
      <c r="E1165" s="200"/>
      <c r="F1165" s="200"/>
      <c r="I1165" s="200"/>
      <c r="J1165" s="200"/>
      <c r="K1165" s="200"/>
      <c r="L1165" s="200"/>
      <c r="M1165" s="200"/>
      <c r="N1165" s="200"/>
      <c r="O1165" s="200"/>
    </row>
    <row r="1166" spans="1:15" ht="15.75" customHeight="1" x14ac:dyDescent="0.25">
      <c r="A1166" s="192"/>
      <c r="B1166" s="192"/>
      <c r="C1166" s="200"/>
      <c r="D1166" s="200"/>
      <c r="E1166" s="200"/>
      <c r="F1166" s="200"/>
      <c r="I1166" s="200"/>
      <c r="J1166" s="200"/>
      <c r="K1166" s="200"/>
      <c r="L1166" s="200"/>
      <c r="M1166" s="200"/>
      <c r="N1166" s="200"/>
      <c r="O1166" s="200"/>
    </row>
    <row r="1167" spans="1:15" ht="12.75" x14ac:dyDescent="0.2">
      <c r="A1167" s="195"/>
      <c r="B1167" s="195"/>
      <c r="C1167" s="205"/>
      <c r="D1167" s="205"/>
      <c r="E1167" s="205"/>
      <c r="F1167" s="205"/>
      <c r="I1167" s="205"/>
      <c r="J1167" s="205"/>
      <c r="K1167" s="205"/>
      <c r="L1167" s="205"/>
      <c r="M1167" s="205"/>
      <c r="N1167" s="205"/>
      <c r="O1167" s="205"/>
    </row>
    <row r="1168" spans="1:15" ht="12.75" x14ac:dyDescent="0.2">
      <c r="A1168" s="195"/>
      <c r="B1168" s="195"/>
      <c r="C1168" s="205"/>
      <c r="D1168" s="205"/>
      <c r="E1168" s="205"/>
      <c r="F1168" s="205"/>
      <c r="I1168" s="205"/>
      <c r="J1168" s="205"/>
      <c r="K1168" s="205"/>
      <c r="L1168" s="205"/>
      <c r="M1168" s="205"/>
      <c r="N1168" s="205"/>
      <c r="O1168" s="205"/>
    </row>
    <row r="1169" spans="1:15" ht="12.75" x14ac:dyDescent="0.2">
      <c r="A1169" s="195"/>
      <c r="B1169" s="195"/>
      <c r="C1169" s="205"/>
      <c r="D1169" s="205"/>
      <c r="E1169" s="205"/>
      <c r="F1169" s="205"/>
      <c r="I1169" s="205"/>
      <c r="J1169" s="205"/>
      <c r="K1169" s="205"/>
      <c r="L1169" s="205"/>
      <c r="M1169" s="205"/>
      <c r="N1169" s="205"/>
      <c r="O1169" s="205"/>
    </row>
    <row r="1170" spans="1:15" ht="12.75" x14ac:dyDescent="0.2">
      <c r="A1170" s="195"/>
      <c r="B1170" s="195"/>
      <c r="C1170" s="205"/>
      <c r="D1170" s="205"/>
      <c r="E1170" s="205"/>
      <c r="F1170" s="205"/>
      <c r="I1170" s="205"/>
      <c r="J1170" s="205"/>
      <c r="K1170" s="205"/>
      <c r="L1170" s="205"/>
      <c r="M1170" s="205"/>
      <c r="N1170" s="205"/>
      <c r="O1170" s="205"/>
    </row>
    <row r="1171" spans="1:15" ht="12.75" x14ac:dyDescent="0.2">
      <c r="A1171" s="195"/>
      <c r="B1171" s="195"/>
      <c r="C1171" s="205"/>
      <c r="D1171" s="205"/>
      <c r="E1171" s="205"/>
      <c r="F1171" s="205"/>
      <c r="I1171" s="205"/>
      <c r="J1171" s="205"/>
      <c r="K1171" s="205"/>
      <c r="L1171" s="205"/>
      <c r="M1171" s="205"/>
      <c r="N1171" s="205"/>
      <c r="O1171" s="205"/>
    </row>
    <row r="1172" spans="1:15" ht="12.75" x14ac:dyDescent="0.2">
      <c r="A1172" s="195"/>
      <c r="B1172" s="195"/>
      <c r="C1172" s="205"/>
      <c r="D1172" s="205"/>
      <c r="E1172" s="205"/>
      <c r="F1172" s="205"/>
      <c r="I1172" s="205"/>
      <c r="J1172" s="205"/>
      <c r="K1172" s="205"/>
      <c r="L1172" s="205"/>
      <c r="M1172" s="205"/>
      <c r="N1172" s="205"/>
      <c r="O1172" s="205"/>
    </row>
    <row r="1173" spans="1:15" ht="12.75" x14ac:dyDescent="0.2">
      <c r="A1173" s="195"/>
      <c r="B1173" s="195"/>
      <c r="C1173" s="205"/>
      <c r="D1173" s="205"/>
      <c r="E1173" s="205"/>
      <c r="F1173" s="205"/>
      <c r="I1173" s="205"/>
      <c r="J1173" s="205"/>
      <c r="K1173" s="205"/>
      <c r="L1173" s="205"/>
      <c r="M1173" s="205"/>
      <c r="N1173" s="205"/>
      <c r="O1173" s="205"/>
    </row>
    <row r="1174" spans="1:15" ht="12.75" x14ac:dyDescent="0.2">
      <c r="A1174" s="195"/>
      <c r="B1174" s="195"/>
      <c r="C1174" s="205"/>
      <c r="D1174" s="205"/>
      <c r="E1174" s="205"/>
      <c r="F1174" s="205"/>
      <c r="I1174" s="205"/>
      <c r="J1174" s="205"/>
      <c r="K1174" s="205"/>
      <c r="L1174" s="205"/>
      <c r="M1174" s="205"/>
      <c r="N1174" s="205"/>
      <c r="O1174" s="205"/>
    </row>
    <row r="1175" spans="1:15" ht="12.75" x14ac:dyDescent="0.2">
      <c r="A1175" s="195"/>
      <c r="B1175" s="195"/>
      <c r="C1175" s="205"/>
      <c r="D1175" s="205"/>
      <c r="E1175" s="205"/>
      <c r="F1175" s="205"/>
      <c r="I1175" s="205"/>
      <c r="J1175" s="205"/>
      <c r="K1175" s="205"/>
      <c r="L1175" s="205"/>
      <c r="M1175" s="205"/>
      <c r="N1175" s="205"/>
      <c r="O1175" s="205"/>
    </row>
    <row r="1176" spans="1:15" ht="12.75" x14ac:dyDescent="0.2">
      <c r="A1176" s="195"/>
      <c r="B1176" s="195"/>
      <c r="C1176" s="205"/>
      <c r="D1176" s="205"/>
      <c r="E1176" s="205"/>
      <c r="F1176" s="205"/>
      <c r="I1176" s="205"/>
      <c r="J1176" s="205"/>
      <c r="K1176" s="205"/>
      <c r="L1176" s="205"/>
      <c r="M1176" s="205"/>
      <c r="N1176" s="205"/>
      <c r="O1176" s="205"/>
    </row>
    <row r="1177" spans="1:15" ht="12.75" x14ac:dyDescent="0.2">
      <c r="A1177" s="195"/>
      <c r="B1177" s="195"/>
      <c r="C1177" s="205"/>
      <c r="D1177" s="205"/>
      <c r="E1177" s="205"/>
      <c r="F1177" s="205"/>
      <c r="I1177" s="205"/>
      <c r="J1177" s="205"/>
      <c r="K1177" s="205"/>
      <c r="L1177" s="205"/>
      <c r="M1177" s="205"/>
      <c r="N1177" s="205"/>
      <c r="O1177" s="205"/>
    </row>
    <row r="1178" spans="1:15" ht="12.75" x14ac:dyDescent="0.2">
      <c r="A1178" s="195"/>
      <c r="B1178" s="195"/>
      <c r="C1178" s="205"/>
      <c r="D1178" s="205"/>
      <c r="E1178" s="205"/>
      <c r="F1178" s="205"/>
      <c r="I1178" s="205"/>
      <c r="J1178" s="205"/>
      <c r="K1178" s="205"/>
      <c r="L1178" s="205"/>
      <c r="M1178" s="205"/>
      <c r="N1178" s="205"/>
      <c r="O1178" s="205"/>
    </row>
    <row r="1179" spans="1:15" ht="12.75" x14ac:dyDescent="0.2">
      <c r="A1179" s="195"/>
      <c r="B1179" s="195"/>
      <c r="C1179" s="205"/>
      <c r="D1179" s="205"/>
      <c r="E1179" s="205"/>
      <c r="F1179" s="205"/>
      <c r="I1179" s="205"/>
      <c r="J1179" s="205"/>
      <c r="K1179" s="205"/>
      <c r="L1179" s="205"/>
      <c r="M1179" s="205"/>
      <c r="N1179" s="205"/>
      <c r="O1179" s="205"/>
    </row>
    <row r="1180" spans="1:15" ht="12.75" x14ac:dyDescent="0.2">
      <c r="A1180" s="195"/>
      <c r="B1180" s="195"/>
      <c r="C1180" s="205"/>
      <c r="D1180" s="205"/>
      <c r="E1180" s="205"/>
      <c r="F1180" s="205"/>
      <c r="I1180" s="205"/>
      <c r="J1180" s="205"/>
      <c r="K1180" s="205"/>
      <c r="L1180" s="205"/>
      <c r="M1180" s="205"/>
      <c r="N1180" s="205"/>
      <c r="O1180" s="205"/>
    </row>
    <row r="1181" spans="1:15" ht="12.75" x14ac:dyDescent="0.2">
      <c r="A1181" s="195"/>
      <c r="B1181" s="195"/>
      <c r="C1181" s="205"/>
      <c r="D1181" s="205"/>
      <c r="E1181" s="205"/>
      <c r="F1181" s="205"/>
      <c r="I1181" s="205"/>
      <c r="J1181" s="205"/>
      <c r="K1181" s="205"/>
      <c r="L1181" s="205"/>
      <c r="M1181" s="205"/>
      <c r="N1181" s="205"/>
      <c r="O1181" s="205"/>
    </row>
    <row r="1182" spans="1:15" ht="12.75" x14ac:dyDescent="0.2">
      <c r="A1182" s="195"/>
      <c r="B1182" s="195"/>
      <c r="C1182" s="205"/>
      <c r="D1182" s="205"/>
      <c r="E1182" s="205"/>
      <c r="F1182" s="205"/>
      <c r="I1182" s="205"/>
      <c r="J1182" s="205"/>
      <c r="K1182" s="205"/>
      <c r="L1182" s="205"/>
      <c r="M1182" s="205"/>
      <c r="N1182" s="205"/>
      <c r="O1182" s="205"/>
    </row>
    <row r="1183" spans="1:15" ht="12.75" x14ac:dyDescent="0.2">
      <c r="A1183" s="195"/>
      <c r="B1183" s="195"/>
      <c r="C1183" s="205"/>
      <c r="D1183" s="205"/>
      <c r="E1183" s="205"/>
      <c r="F1183" s="205"/>
      <c r="I1183" s="205"/>
      <c r="J1183" s="205"/>
      <c r="K1183" s="205"/>
      <c r="L1183" s="205"/>
      <c r="M1183" s="205"/>
      <c r="N1183" s="205"/>
      <c r="O1183" s="205"/>
    </row>
    <row r="1184" spans="1:15" ht="12.75" x14ac:dyDescent="0.2">
      <c r="A1184" s="195"/>
      <c r="B1184" s="195"/>
      <c r="C1184" s="205"/>
      <c r="D1184" s="205"/>
      <c r="E1184" s="205"/>
      <c r="F1184" s="205"/>
      <c r="I1184" s="205"/>
      <c r="J1184" s="205"/>
      <c r="K1184" s="205"/>
      <c r="L1184" s="205"/>
      <c r="M1184" s="205"/>
      <c r="N1184" s="205"/>
      <c r="O1184" s="205"/>
    </row>
    <row r="1185" spans="1:15" ht="12.75" x14ac:dyDescent="0.2">
      <c r="A1185" s="195"/>
      <c r="B1185" s="195"/>
      <c r="C1185" s="205"/>
      <c r="D1185" s="205"/>
      <c r="E1185" s="205"/>
      <c r="F1185" s="205"/>
      <c r="I1185" s="205"/>
      <c r="J1185" s="205"/>
      <c r="K1185" s="205"/>
      <c r="L1185" s="205"/>
      <c r="M1185" s="205"/>
      <c r="N1185" s="205"/>
      <c r="O1185" s="205"/>
    </row>
    <row r="1186" spans="1:15" ht="12.75" x14ac:dyDescent="0.2">
      <c r="A1186" s="195"/>
      <c r="B1186" s="195"/>
      <c r="C1186" s="205"/>
      <c r="D1186" s="205"/>
      <c r="E1186" s="205"/>
      <c r="F1186" s="205"/>
      <c r="I1186" s="205"/>
      <c r="J1186" s="205"/>
      <c r="K1186" s="205"/>
      <c r="L1186" s="205"/>
      <c r="M1186" s="205"/>
      <c r="N1186" s="205"/>
      <c r="O1186" s="205"/>
    </row>
    <row r="1187" spans="1:15" ht="12.75" x14ac:dyDescent="0.2">
      <c r="A1187" s="195"/>
      <c r="B1187" s="195"/>
      <c r="C1187" s="205"/>
      <c r="D1187" s="205"/>
      <c r="E1187" s="205"/>
      <c r="F1187" s="205"/>
      <c r="I1187" s="205"/>
      <c r="J1187" s="205"/>
      <c r="K1187" s="205"/>
      <c r="L1187" s="205"/>
      <c r="M1187" s="205"/>
      <c r="N1187" s="205"/>
      <c r="O1187" s="205"/>
    </row>
    <row r="1188" spans="1:15" ht="12.75" x14ac:dyDescent="0.2">
      <c r="A1188" s="195"/>
      <c r="B1188" s="195"/>
      <c r="C1188" s="205"/>
      <c r="D1188" s="205"/>
      <c r="E1188" s="205"/>
      <c r="F1188" s="205"/>
      <c r="I1188" s="205"/>
      <c r="J1188" s="205"/>
      <c r="K1188" s="205"/>
      <c r="L1188" s="205"/>
      <c r="M1188" s="205"/>
      <c r="N1188" s="205"/>
      <c r="O1188" s="205"/>
    </row>
    <row r="1189" spans="1:15" ht="12.75" x14ac:dyDescent="0.2">
      <c r="A1189" s="195"/>
      <c r="B1189" s="195"/>
      <c r="C1189" s="205"/>
      <c r="D1189" s="205"/>
      <c r="E1189" s="205"/>
      <c r="F1189" s="205"/>
      <c r="I1189" s="205"/>
      <c r="J1189" s="205"/>
      <c r="K1189" s="205"/>
      <c r="L1189" s="205"/>
      <c r="M1189" s="205"/>
      <c r="N1189" s="205"/>
      <c r="O1189" s="205"/>
    </row>
    <row r="1190" spans="1:15" ht="12.75" x14ac:dyDescent="0.2">
      <c r="A1190" s="195"/>
      <c r="B1190" s="195"/>
      <c r="C1190" s="205"/>
      <c r="D1190" s="205"/>
      <c r="E1190" s="205"/>
      <c r="F1190" s="205"/>
      <c r="I1190" s="205"/>
      <c r="J1190" s="205"/>
      <c r="K1190" s="205"/>
      <c r="L1190" s="205"/>
      <c r="M1190" s="205"/>
      <c r="N1190" s="205"/>
      <c r="O1190" s="205"/>
    </row>
    <row r="1191" spans="1:15" ht="12.75" x14ac:dyDescent="0.2">
      <c r="A1191" s="195"/>
      <c r="B1191" s="195"/>
      <c r="C1191" s="205"/>
      <c r="D1191" s="205"/>
      <c r="E1191" s="205"/>
      <c r="F1191" s="205"/>
      <c r="I1191" s="205"/>
      <c r="J1191" s="205"/>
      <c r="K1191" s="205"/>
      <c r="L1191" s="205"/>
      <c r="M1191" s="205"/>
      <c r="N1191" s="205"/>
      <c r="O1191" s="205"/>
    </row>
    <row r="1192" spans="1:15" ht="12.75" x14ac:dyDescent="0.2">
      <c r="A1192" s="195"/>
      <c r="B1192" s="195"/>
      <c r="C1192" s="205"/>
      <c r="D1192" s="205"/>
      <c r="E1192" s="205"/>
      <c r="F1192" s="205"/>
      <c r="I1192" s="205"/>
      <c r="J1192" s="205"/>
      <c r="K1192" s="205"/>
      <c r="L1192" s="205"/>
      <c r="M1192" s="205"/>
      <c r="N1192" s="205"/>
      <c r="O1192" s="205"/>
    </row>
    <row r="1193" spans="1:15" ht="12.75" x14ac:dyDescent="0.2">
      <c r="A1193" s="195"/>
      <c r="B1193" s="195"/>
      <c r="C1193" s="205"/>
      <c r="D1193" s="205"/>
      <c r="E1193" s="205"/>
      <c r="F1193" s="205"/>
      <c r="I1193" s="205"/>
      <c r="J1193" s="205"/>
      <c r="K1193" s="205"/>
      <c r="L1193" s="205"/>
      <c r="M1193" s="205"/>
      <c r="N1193" s="205"/>
      <c r="O1193" s="205"/>
    </row>
    <row r="1194" spans="1:15" ht="12.75" x14ac:dyDescent="0.2">
      <c r="A1194" s="195"/>
      <c r="B1194" s="195"/>
      <c r="C1194" s="205"/>
      <c r="D1194" s="205"/>
      <c r="E1194" s="205"/>
      <c r="F1194" s="205"/>
      <c r="I1194" s="205"/>
      <c r="J1194" s="205"/>
      <c r="K1194" s="205"/>
      <c r="L1194" s="205"/>
      <c r="M1194" s="205"/>
      <c r="N1194" s="205"/>
      <c r="O1194" s="205"/>
    </row>
    <row r="1195" spans="1:15" ht="12.75" x14ac:dyDescent="0.2">
      <c r="A1195" s="195"/>
      <c r="B1195" s="195"/>
      <c r="C1195" s="205"/>
      <c r="D1195" s="205"/>
      <c r="E1195" s="205"/>
      <c r="F1195" s="205"/>
      <c r="I1195" s="205"/>
      <c r="J1195" s="205"/>
      <c r="K1195" s="205"/>
      <c r="L1195" s="205"/>
      <c r="M1195" s="205"/>
      <c r="N1195" s="205"/>
      <c r="O1195" s="205"/>
    </row>
    <row r="1196" spans="1:15" ht="12.75" x14ac:dyDescent="0.2">
      <c r="A1196" s="195"/>
      <c r="B1196" s="195"/>
      <c r="C1196" s="205"/>
      <c r="D1196" s="205"/>
      <c r="E1196" s="205"/>
      <c r="F1196" s="205"/>
      <c r="I1196" s="205"/>
      <c r="J1196" s="205"/>
      <c r="K1196" s="205"/>
      <c r="L1196" s="205"/>
      <c r="M1196" s="205"/>
      <c r="N1196" s="205"/>
      <c r="O1196" s="205"/>
    </row>
    <row r="1197" spans="1:15" ht="12.75" x14ac:dyDescent="0.2">
      <c r="A1197" s="195"/>
      <c r="B1197" s="195"/>
      <c r="C1197" s="205"/>
      <c r="D1197" s="205"/>
      <c r="E1197" s="205"/>
      <c r="F1197" s="205"/>
      <c r="I1197" s="205"/>
      <c r="J1197" s="205"/>
      <c r="K1197" s="205"/>
      <c r="L1197" s="205"/>
      <c r="M1197" s="205"/>
      <c r="N1197" s="205"/>
      <c r="O1197" s="205"/>
    </row>
    <row r="1198" spans="1:15" ht="12.75" x14ac:dyDescent="0.2">
      <c r="A1198" s="195"/>
      <c r="B1198" s="195"/>
      <c r="C1198" s="205"/>
      <c r="D1198" s="205"/>
      <c r="E1198" s="205"/>
      <c r="F1198" s="205"/>
      <c r="I1198" s="205"/>
      <c r="J1198" s="205"/>
      <c r="K1198" s="205"/>
      <c r="L1198" s="205"/>
      <c r="M1198" s="205"/>
      <c r="N1198" s="205"/>
      <c r="O1198" s="205"/>
    </row>
    <row r="1199" spans="1:15" ht="12.75" x14ac:dyDescent="0.2">
      <c r="A1199" s="195"/>
      <c r="B1199" s="195"/>
      <c r="C1199" s="205"/>
      <c r="D1199" s="205"/>
      <c r="E1199" s="205"/>
      <c r="F1199" s="205"/>
      <c r="I1199" s="205"/>
      <c r="J1199" s="205"/>
      <c r="K1199" s="205"/>
      <c r="L1199" s="205"/>
      <c r="M1199" s="205"/>
      <c r="N1199" s="205"/>
      <c r="O1199" s="205"/>
    </row>
    <row r="1200" spans="1:15" ht="12.75" x14ac:dyDescent="0.2">
      <c r="A1200" s="195"/>
      <c r="B1200" s="195"/>
      <c r="C1200" s="205"/>
      <c r="D1200" s="205"/>
      <c r="E1200" s="205"/>
      <c r="F1200" s="205"/>
      <c r="I1200" s="205"/>
      <c r="J1200" s="205"/>
      <c r="K1200" s="205"/>
      <c r="L1200" s="205"/>
      <c r="M1200" s="205"/>
      <c r="N1200" s="205"/>
      <c r="O1200" s="205"/>
    </row>
    <row r="1201" spans="1:15" ht="12.75" x14ac:dyDescent="0.2">
      <c r="A1201" s="195"/>
      <c r="B1201" s="195"/>
      <c r="C1201" s="205"/>
      <c r="D1201" s="205"/>
      <c r="E1201" s="205"/>
      <c r="F1201" s="205"/>
      <c r="I1201" s="205"/>
      <c r="J1201" s="205"/>
      <c r="K1201" s="205"/>
      <c r="L1201" s="205"/>
      <c r="M1201" s="205"/>
      <c r="N1201" s="205"/>
      <c r="O1201" s="205"/>
    </row>
    <row r="1202" spans="1:15" ht="12.75" x14ac:dyDescent="0.2">
      <c r="A1202" s="195"/>
      <c r="B1202" s="195"/>
      <c r="C1202" s="205"/>
      <c r="D1202" s="205"/>
      <c r="E1202" s="205"/>
      <c r="F1202" s="205"/>
      <c r="I1202" s="205"/>
      <c r="J1202" s="205"/>
      <c r="K1202" s="205"/>
      <c r="L1202" s="205"/>
      <c r="M1202" s="205"/>
      <c r="N1202" s="205"/>
      <c r="O1202" s="205"/>
    </row>
    <row r="1203" spans="1:15" ht="12.75" x14ac:dyDescent="0.2">
      <c r="A1203" s="195"/>
      <c r="B1203" s="195"/>
      <c r="C1203" s="205"/>
      <c r="D1203" s="205"/>
      <c r="E1203" s="205"/>
      <c r="F1203" s="205"/>
      <c r="I1203" s="205"/>
      <c r="J1203" s="205"/>
      <c r="K1203" s="205"/>
      <c r="L1203" s="205"/>
      <c r="M1203" s="205"/>
      <c r="N1203" s="205"/>
      <c r="O1203" s="205"/>
    </row>
    <row r="1204" spans="1:15" ht="12.75" x14ac:dyDescent="0.2">
      <c r="A1204" s="195"/>
      <c r="B1204" s="195"/>
      <c r="C1204" s="205"/>
      <c r="D1204" s="205"/>
      <c r="E1204" s="205"/>
      <c r="F1204" s="205"/>
      <c r="I1204" s="205"/>
      <c r="J1204" s="205"/>
      <c r="K1204" s="205"/>
      <c r="L1204" s="205"/>
      <c r="M1204" s="205"/>
      <c r="N1204" s="205"/>
      <c r="O1204" s="205"/>
    </row>
    <row r="1205" spans="1:15" ht="12.75" x14ac:dyDescent="0.2">
      <c r="A1205" s="195"/>
      <c r="B1205" s="195"/>
      <c r="C1205" s="205"/>
      <c r="D1205" s="205"/>
      <c r="E1205" s="205"/>
      <c r="F1205" s="205"/>
      <c r="I1205" s="205"/>
      <c r="J1205" s="205"/>
      <c r="K1205" s="205"/>
      <c r="L1205" s="205"/>
      <c r="M1205" s="205"/>
      <c r="N1205" s="205"/>
      <c r="O1205" s="205"/>
    </row>
    <row r="1206" spans="1:15" ht="12.75" x14ac:dyDescent="0.2">
      <c r="A1206" s="195"/>
      <c r="B1206" s="195"/>
      <c r="C1206" s="205"/>
      <c r="D1206" s="205"/>
      <c r="E1206" s="205"/>
      <c r="F1206" s="205"/>
      <c r="I1206" s="205"/>
      <c r="J1206" s="205"/>
      <c r="K1206" s="205"/>
      <c r="L1206" s="205"/>
      <c r="M1206" s="205"/>
      <c r="N1206" s="205"/>
      <c r="O1206" s="205"/>
    </row>
    <row r="1207" spans="1:15" ht="12.75" x14ac:dyDescent="0.2">
      <c r="A1207" s="195"/>
      <c r="B1207" s="195"/>
      <c r="C1207" s="205"/>
      <c r="D1207" s="205"/>
      <c r="E1207" s="205"/>
      <c r="F1207" s="205"/>
      <c r="I1207" s="205"/>
      <c r="J1207" s="205"/>
      <c r="K1207" s="205"/>
      <c r="L1207" s="205"/>
      <c r="M1207" s="205"/>
      <c r="N1207" s="205"/>
      <c r="O1207" s="205"/>
    </row>
    <row r="1208" spans="1:15" ht="12.75" x14ac:dyDescent="0.2">
      <c r="A1208" s="195"/>
      <c r="B1208" s="195"/>
      <c r="C1208" s="205"/>
      <c r="D1208" s="205"/>
      <c r="E1208" s="205"/>
      <c r="F1208" s="205"/>
      <c r="I1208" s="205"/>
      <c r="J1208" s="205"/>
      <c r="K1208" s="205"/>
      <c r="L1208" s="205"/>
      <c r="M1208" s="205"/>
      <c r="N1208" s="205"/>
      <c r="O1208" s="205"/>
    </row>
    <row r="1209" spans="1:15" ht="12.75" x14ac:dyDescent="0.2">
      <c r="A1209" s="195"/>
      <c r="B1209" s="195"/>
      <c r="C1209" s="205"/>
      <c r="D1209" s="205"/>
      <c r="E1209" s="205"/>
      <c r="F1209" s="205"/>
      <c r="I1209" s="205"/>
      <c r="J1209" s="205"/>
      <c r="K1209" s="205"/>
      <c r="L1209" s="205"/>
      <c r="M1209" s="205"/>
      <c r="N1209" s="205"/>
      <c r="O1209" s="205"/>
    </row>
    <row r="1210" spans="1:15" ht="12.75" x14ac:dyDescent="0.2">
      <c r="A1210" s="195"/>
      <c r="B1210" s="195"/>
      <c r="C1210" s="205"/>
      <c r="D1210" s="205"/>
      <c r="E1210" s="205"/>
      <c r="F1210" s="205"/>
      <c r="I1210" s="205"/>
      <c r="J1210" s="205"/>
      <c r="K1210" s="205"/>
      <c r="L1210" s="205"/>
      <c r="M1210" s="205"/>
      <c r="N1210" s="205"/>
      <c r="O1210" s="205"/>
    </row>
    <row r="1211" spans="1:15" ht="12.75" x14ac:dyDescent="0.2">
      <c r="A1211" s="195"/>
      <c r="B1211" s="195"/>
      <c r="C1211" s="205"/>
      <c r="D1211" s="205"/>
      <c r="E1211" s="205"/>
      <c r="F1211" s="205"/>
      <c r="I1211" s="205"/>
      <c r="J1211" s="205"/>
      <c r="K1211" s="205"/>
      <c r="L1211" s="205"/>
      <c r="M1211" s="205"/>
      <c r="N1211" s="205"/>
      <c r="O1211" s="205"/>
    </row>
    <row r="1212" spans="1:15" ht="12.75" x14ac:dyDescent="0.2">
      <c r="A1212" s="195"/>
      <c r="B1212" s="195"/>
      <c r="C1212" s="205"/>
      <c r="D1212" s="205"/>
      <c r="E1212" s="205"/>
      <c r="F1212" s="205"/>
      <c r="I1212" s="205"/>
      <c r="J1212" s="205"/>
      <c r="K1212" s="205"/>
      <c r="L1212" s="205"/>
      <c r="M1212" s="205"/>
      <c r="N1212" s="205"/>
      <c r="O1212" s="205"/>
    </row>
    <row r="1213" spans="1:15" ht="12.75" x14ac:dyDescent="0.2">
      <c r="A1213" s="195"/>
      <c r="B1213" s="195"/>
      <c r="C1213" s="205"/>
      <c r="D1213" s="205"/>
      <c r="E1213" s="205"/>
      <c r="F1213" s="205"/>
      <c r="I1213" s="205"/>
      <c r="J1213" s="205"/>
      <c r="K1213" s="205"/>
      <c r="L1213" s="205"/>
      <c r="M1213" s="205"/>
      <c r="N1213" s="205"/>
      <c r="O1213" s="205"/>
    </row>
    <row r="1214" spans="1:15" ht="12.75" x14ac:dyDescent="0.2">
      <c r="A1214" s="195"/>
      <c r="B1214" s="195"/>
      <c r="C1214" s="205"/>
      <c r="D1214" s="205"/>
      <c r="E1214" s="205"/>
      <c r="F1214" s="205"/>
      <c r="I1214" s="205"/>
      <c r="J1214" s="205"/>
      <c r="K1214" s="205"/>
      <c r="L1214" s="205"/>
      <c r="M1214" s="205"/>
      <c r="N1214" s="205"/>
      <c r="O1214" s="205"/>
    </row>
    <row r="1215" spans="1:15" ht="12.75" x14ac:dyDescent="0.2">
      <c r="A1215" s="195"/>
      <c r="B1215" s="195"/>
      <c r="C1215" s="205"/>
      <c r="D1215" s="205"/>
      <c r="E1215" s="205"/>
      <c r="F1215" s="205"/>
      <c r="I1215" s="205"/>
      <c r="J1215" s="205"/>
      <c r="K1215" s="205"/>
      <c r="L1215" s="205"/>
      <c r="M1215" s="205"/>
      <c r="N1215" s="205"/>
      <c r="O1215" s="205"/>
    </row>
    <row r="1216" spans="1:15" ht="12.75" x14ac:dyDescent="0.2">
      <c r="A1216" s="195"/>
      <c r="B1216" s="195"/>
      <c r="C1216" s="205"/>
      <c r="D1216" s="205"/>
      <c r="E1216" s="205"/>
      <c r="F1216" s="205"/>
      <c r="I1216" s="205"/>
      <c r="J1216" s="205"/>
      <c r="K1216" s="205"/>
      <c r="L1216" s="205"/>
      <c r="M1216" s="205"/>
      <c r="N1216" s="205"/>
      <c r="O1216" s="205"/>
    </row>
  </sheetData>
  <mergeCells count="2">
    <mergeCell ref="A7:B8"/>
    <mergeCell ref="A440:B440"/>
  </mergeCells>
  <printOptions horizontalCentered="1"/>
  <pageMargins left="0.15748031496062992" right="0" top="0.74803149606299213" bottom="0.74803149606299213" header="0" footer="0"/>
  <pageSetup paperSize="14" scale="38" orientation="portrait" r:id="rId1"/>
  <headerFooter>
    <oddHeader>&amp;R&amp;F</oddHeader>
  </headerFooter>
  <rowBreaks count="2" manualBreakCount="2">
    <brk id="169" max="16383" man="1"/>
    <brk id="28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6"/>
  <sheetViews>
    <sheetView zoomScaleNormal="100" zoomScaleSheetLayoutView="100" workbookViewId="0">
      <pane xSplit="2" ySplit="7" topLeftCell="C173" activePane="bottomRight" state="frozen"/>
      <selection pane="topRight" activeCell="C1" sqref="C1"/>
      <selection pane="bottomLeft" activeCell="A8" sqref="A8"/>
      <selection pane="bottomRight" activeCell="N216" sqref="N216"/>
    </sheetView>
  </sheetViews>
  <sheetFormatPr defaultColWidth="9.140625" defaultRowHeight="14.25" x14ac:dyDescent="0.2"/>
  <cols>
    <col min="1" max="1" width="2.140625" style="90" customWidth="1"/>
    <col min="2" max="2" width="70" style="90" bestFit="1" customWidth="1"/>
    <col min="3" max="10" width="10.42578125" style="90" bestFit="1" customWidth="1"/>
    <col min="11" max="11" width="8.7109375" style="90" bestFit="1" customWidth="1"/>
    <col min="12" max="13" width="10.42578125" style="90" bestFit="1" customWidth="1"/>
    <col min="14" max="14" width="8.7109375" style="90" bestFit="1" customWidth="1"/>
    <col min="15" max="15" width="11.42578125" style="90" bestFit="1" customWidth="1"/>
    <col min="16" max="16384" width="9.140625" style="90"/>
  </cols>
  <sheetData>
    <row r="1" spans="1:15" ht="15.75" customHeight="1" x14ac:dyDescent="0.25">
      <c r="A1" s="89" t="s">
        <v>0</v>
      </c>
      <c r="B1" s="89"/>
      <c r="C1" s="89"/>
      <c r="D1" s="89"/>
      <c r="E1" s="89"/>
      <c r="F1" s="89"/>
      <c r="G1" s="89"/>
      <c r="H1" s="89"/>
      <c r="I1" s="89"/>
      <c r="J1" s="89"/>
      <c r="K1" s="89"/>
      <c r="L1" s="89"/>
      <c r="M1" s="89"/>
      <c r="N1" s="89"/>
    </row>
    <row r="2" spans="1:15" ht="16.5" customHeight="1" x14ac:dyDescent="0.25">
      <c r="A2" s="89" t="s">
        <v>1</v>
      </c>
      <c r="B2" s="89"/>
      <c r="C2" s="89"/>
      <c r="D2" s="89"/>
      <c r="E2" s="89"/>
      <c r="F2" s="89"/>
      <c r="G2" s="89"/>
      <c r="H2" s="89"/>
      <c r="I2" s="89"/>
      <c r="J2" s="89"/>
      <c r="K2" s="89"/>
      <c r="L2" s="89"/>
      <c r="M2" s="89"/>
      <c r="N2" s="89"/>
    </row>
    <row r="3" spans="1:15" ht="13.5" customHeight="1" x14ac:dyDescent="0.25">
      <c r="A3" s="300" t="s">
        <v>718</v>
      </c>
      <c r="B3" s="300"/>
      <c r="C3" s="300"/>
      <c r="D3" s="113"/>
      <c r="E3" s="113"/>
      <c r="F3" s="113"/>
      <c r="G3" s="113"/>
      <c r="H3" s="113"/>
      <c r="I3" s="113"/>
      <c r="J3" s="113"/>
      <c r="K3" s="113"/>
      <c r="L3" s="113"/>
      <c r="M3" s="113"/>
      <c r="N3" s="113"/>
    </row>
    <row r="4" spans="1:15" x14ac:dyDescent="0.2">
      <c r="A4" s="90" t="s">
        <v>3</v>
      </c>
    </row>
    <row r="5" spans="1:15" x14ac:dyDescent="0.2">
      <c r="A5" s="92" t="s">
        <v>4</v>
      </c>
    </row>
    <row r="6" spans="1:15" s="171" customFormat="1" ht="12.75" customHeight="1" x14ac:dyDescent="0.2">
      <c r="A6" s="301" t="s">
        <v>5</v>
      </c>
      <c r="B6" s="301"/>
      <c r="C6" s="155" t="s">
        <v>6</v>
      </c>
      <c r="D6" s="155" t="s">
        <v>6</v>
      </c>
      <c r="E6" s="155" t="s">
        <v>6</v>
      </c>
      <c r="F6" s="155" t="s">
        <v>6</v>
      </c>
      <c r="G6" s="155" t="s">
        <v>6</v>
      </c>
      <c r="H6" s="155" t="s">
        <v>6</v>
      </c>
      <c r="I6" s="155" t="s">
        <v>6</v>
      </c>
      <c r="J6" s="155" t="s">
        <v>6</v>
      </c>
      <c r="K6" s="155" t="s">
        <v>6</v>
      </c>
      <c r="L6" s="155" t="s">
        <v>6</v>
      </c>
      <c r="M6" s="155" t="s">
        <v>6</v>
      </c>
      <c r="N6" s="155" t="s">
        <v>6</v>
      </c>
      <c r="O6" s="170" t="s">
        <v>6</v>
      </c>
    </row>
    <row r="7" spans="1:15" s="171" customFormat="1" ht="12.75" customHeight="1" thickBot="1" x14ac:dyDescent="0.25">
      <c r="A7" s="302"/>
      <c r="B7" s="302"/>
      <c r="C7" s="158" t="s">
        <v>7</v>
      </c>
      <c r="D7" s="158" t="s">
        <v>8</v>
      </c>
      <c r="E7" s="158" t="s">
        <v>9</v>
      </c>
      <c r="F7" s="158" t="s">
        <v>10</v>
      </c>
      <c r="G7" s="158" t="s">
        <v>11</v>
      </c>
      <c r="H7" s="158" t="s">
        <v>12</v>
      </c>
      <c r="I7" s="158" t="s">
        <v>13</v>
      </c>
      <c r="J7" s="158" t="s">
        <v>14</v>
      </c>
      <c r="K7" s="158" t="s">
        <v>237</v>
      </c>
      <c r="L7" s="158" t="s">
        <v>16</v>
      </c>
      <c r="M7" s="158" t="s">
        <v>17</v>
      </c>
      <c r="N7" s="158" t="s">
        <v>18</v>
      </c>
      <c r="O7" s="172" t="s">
        <v>238</v>
      </c>
    </row>
    <row r="8" spans="1:15" ht="12.75" customHeight="1" thickTop="1" x14ac:dyDescent="0.25">
      <c r="A8" s="93"/>
      <c r="B8" s="93"/>
      <c r="C8" s="93"/>
      <c r="D8" s="93"/>
      <c r="E8" s="93"/>
      <c r="F8" s="93"/>
      <c r="G8" s="93"/>
      <c r="H8" s="93"/>
      <c r="I8" s="93"/>
      <c r="J8" s="93"/>
      <c r="K8" s="93"/>
      <c r="L8" s="93"/>
      <c r="M8" s="93"/>
      <c r="N8" s="93"/>
      <c r="O8" s="93"/>
    </row>
    <row r="9" spans="1:15" s="95" customFormat="1" ht="15" x14ac:dyDescent="0.25">
      <c r="A9" s="94" t="s">
        <v>20</v>
      </c>
      <c r="C9" s="96">
        <f>SUM(C10:C30)</f>
        <v>1996.04</v>
      </c>
      <c r="D9" s="96">
        <f t="shared" ref="D9:O9" si="0">SUM(D10:D30)</f>
        <v>658.65000000000009</v>
      </c>
      <c r="E9" s="96">
        <f t="shared" si="0"/>
        <v>2928.22</v>
      </c>
      <c r="F9" s="96">
        <f t="shared" si="0"/>
        <v>89.836999999999989</v>
      </c>
      <c r="G9" s="96">
        <f t="shared" si="0"/>
        <v>787.30000000000007</v>
      </c>
      <c r="H9" s="96">
        <f t="shared" si="0"/>
        <v>1121.1199999999999</v>
      </c>
      <c r="I9" s="96">
        <f t="shared" si="0"/>
        <v>264.0329999999999</v>
      </c>
      <c r="J9" s="96">
        <f t="shared" si="0"/>
        <v>142.62599999999998</v>
      </c>
      <c r="K9" s="96">
        <f t="shared" si="0"/>
        <v>124.30600000000001</v>
      </c>
      <c r="L9" s="96">
        <f t="shared" si="0"/>
        <v>792.25100000000009</v>
      </c>
      <c r="M9" s="96">
        <f t="shared" si="0"/>
        <v>386.34500000000003</v>
      </c>
      <c r="N9" s="96">
        <f t="shared" si="0"/>
        <v>23.11</v>
      </c>
      <c r="O9" s="96">
        <f t="shared" si="0"/>
        <v>9313.8379999999997</v>
      </c>
    </row>
    <row r="10" spans="1:15" x14ac:dyDescent="0.2">
      <c r="B10" s="90" t="s">
        <v>23</v>
      </c>
      <c r="C10" s="97">
        <v>0.03</v>
      </c>
      <c r="D10" s="97">
        <v>0</v>
      </c>
      <c r="E10" s="97">
        <v>0.01</v>
      </c>
      <c r="F10" s="97">
        <v>0</v>
      </c>
      <c r="G10" s="97">
        <v>0</v>
      </c>
      <c r="H10" s="97">
        <v>0</v>
      </c>
      <c r="I10" s="97">
        <v>0</v>
      </c>
      <c r="J10" s="97">
        <v>0</v>
      </c>
      <c r="K10" s="97">
        <v>0</v>
      </c>
      <c r="L10" s="97">
        <v>0</v>
      </c>
      <c r="M10" s="97">
        <v>0</v>
      </c>
      <c r="N10" s="97">
        <v>0</v>
      </c>
      <c r="O10" s="97">
        <f>SUM(C10:N10)</f>
        <v>0.04</v>
      </c>
    </row>
    <row r="11" spans="1:15" x14ac:dyDescent="0.2">
      <c r="B11" s="90" t="s">
        <v>22</v>
      </c>
      <c r="C11" s="97">
        <v>41.6</v>
      </c>
      <c r="D11" s="97">
        <v>17.02</v>
      </c>
      <c r="E11" s="97">
        <v>18.32</v>
      </c>
      <c r="F11" s="97">
        <v>11.8</v>
      </c>
      <c r="G11" s="97">
        <v>8.8699999999999992</v>
      </c>
      <c r="H11" s="97">
        <v>11.78</v>
      </c>
      <c r="I11" s="97">
        <v>13.14</v>
      </c>
      <c r="J11" s="97">
        <v>8.65</v>
      </c>
      <c r="K11" s="97">
        <v>8.25</v>
      </c>
      <c r="L11" s="97">
        <v>5.32</v>
      </c>
      <c r="M11" s="97">
        <v>27.83</v>
      </c>
      <c r="N11" s="97">
        <v>0.98799999999999999</v>
      </c>
      <c r="O11" s="97">
        <f t="shared" ref="O11:O30" si="1">SUM(C11:N11)</f>
        <v>173.56799999999998</v>
      </c>
    </row>
    <row r="12" spans="1:15" x14ac:dyDescent="0.2">
      <c r="B12" s="90" t="s">
        <v>230</v>
      </c>
      <c r="C12" s="97">
        <v>1.91</v>
      </c>
      <c r="D12" s="97">
        <v>1.34</v>
      </c>
      <c r="E12" s="97">
        <v>1.19</v>
      </c>
      <c r="F12" s="97">
        <v>0.68899999999999995</v>
      </c>
      <c r="G12" s="97">
        <v>0.76</v>
      </c>
      <c r="H12" s="97">
        <v>0.85</v>
      </c>
      <c r="I12" s="97">
        <v>1.36</v>
      </c>
      <c r="J12" s="97">
        <v>0.68100000000000005</v>
      </c>
      <c r="K12" s="97">
        <v>0.64</v>
      </c>
      <c r="L12" s="97">
        <v>0.97799999999999998</v>
      </c>
      <c r="M12" s="97">
        <v>2.5310000000000001</v>
      </c>
      <c r="N12" s="97">
        <v>0.311</v>
      </c>
      <c r="O12" s="97">
        <f t="shared" si="1"/>
        <v>13.239999999999998</v>
      </c>
    </row>
    <row r="13" spans="1:15" x14ac:dyDescent="0.2">
      <c r="B13" s="90" t="s">
        <v>25</v>
      </c>
      <c r="C13" s="97">
        <v>24.26</v>
      </c>
      <c r="D13" s="97">
        <v>9.8699999999999992</v>
      </c>
      <c r="E13" s="97">
        <v>14.3</v>
      </c>
      <c r="F13" s="97">
        <v>10.298999999999999</v>
      </c>
      <c r="G13" s="97">
        <v>9.6999999999999993</v>
      </c>
      <c r="H13" s="97">
        <v>10.438000000000001</v>
      </c>
      <c r="I13" s="97">
        <v>8.4499999999999993</v>
      </c>
      <c r="J13" s="97">
        <v>9.2889999999999997</v>
      </c>
      <c r="K13" s="97">
        <v>5.8869999999999996</v>
      </c>
      <c r="L13" s="97">
        <v>5.6660000000000004</v>
      </c>
      <c r="M13" s="97">
        <v>6.7949999999999999</v>
      </c>
      <c r="N13" s="97">
        <v>3.2959999999999998</v>
      </c>
      <c r="O13" s="97">
        <f t="shared" si="1"/>
        <v>118.25000000000001</v>
      </c>
    </row>
    <row r="14" spans="1:15" x14ac:dyDescent="0.2">
      <c r="B14" s="90" t="s">
        <v>755</v>
      </c>
      <c r="C14" s="97">
        <v>55.33</v>
      </c>
      <c r="D14" s="97">
        <v>2.98</v>
      </c>
      <c r="E14" s="97">
        <v>2.36</v>
      </c>
      <c r="F14" s="97">
        <v>0.7</v>
      </c>
      <c r="G14" s="97">
        <v>698.45</v>
      </c>
      <c r="H14" s="97">
        <v>2.7869999999999999</v>
      </c>
      <c r="I14" s="97">
        <v>2.73</v>
      </c>
      <c r="J14" s="97">
        <v>0.35</v>
      </c>
      <c r="K14" s="97">
        <v>1.538</v>
      </c>
      <c r="L14" s="97">
        <v>43.045000000000002</v>
      </c>
      <c r="M14" s="97">
        <v>3.8069999999999999</v>
      </c>
      <c r="N14" s="97">
        <v>3.2000000000000001E-2</v>
      </c>
      <c r="O14" s="97">
        <f t="shared" si="1"/>
        <v>814.10900000000015</v>
      </c>
    </row>
    <row r="15" spans="1:15" x14ac:dyDescent="0.2">
      <c r="B15" s="90" t="s">
        <v>44</v>
      </c>
      <c r="C15" s="97">
        <v>0.03</v>
      </c>
      <c r="D15" s="97">
        <v>0.05</v>
      </c>
      <c r="E15" s="97">
        <v>0</v>
      </c>
      <c r="F15" s="97">
        <v>0</v>
      </c>
      <c r="G15" s="97">
        <v>0</v>
      </c>
      <c r="H15" s="97">
        <v>0</v>
      </c>
      <c r="I15" s="97">
        <v>0</v>
      </c>
      <c r="J15" s="97">
        <v>0</v>
      </c>
      <c r="K15" s="97">
        <v>0</v>
      </c>
      <c r="L15" s="97">
        <v>0</v>
      </c>
      <c r="M15" s="97">
        <v>0</v>
      </c>
      <c r="N15" s="97">
        <v>0</v>
      </c>
      <c r="O15" s="97">
        <f t="shared" si="1"/>
        <v>0.08</v>
      </c>
    </row>
    <row r="16" spans="1:15" x14ac:dyDescent="0.2">
      <c r="B16" s="90" t="s">
        <v>27</v>
      </c>
      <c r="C16" s="97">
        <v>0.49</v>
      </c>
      <c r="D16" s="97">
        <v>0.46</v>
      </c>
      <c r="E16" s="97">
        <v>0.15</v>
      </c>
      <c r="F16" s="97">
        <v>0.14000000000000001</v>
      </c>
      <c r="G16" s="97">
        <v>0.45</v>
      </c>
      <c r="H16" s="97">
        <v>1.4E-2</v>
      </c>
      <c r="I16" s="97">
        <v>1.2999999999999999E-2</v>
      </c>
      <c r="J16" s="97">
        <v>0.25</v>
      </c>
      <c r="K16" s="97">
        <v>0.245</v>
      </c>
      <c r="L16" s="97">
        <v>0.55900000000000005</v>
      </c>
      <c r="M16" s="97">
        <v>0.161</v>
      </c>
      <c r="N16" s="97">
        <v>0</v>
      </c>
      <c r="O16" s="97">
        <f t="shared" si="1"/>
        <v>2.9319999999999999</v>
      </c>
    </row>
    <row r="17" spans="1:15" x14ac:dyDescent="0.2">
      <c r="B17" s="90" t="s">
        <v>28</v>
      </c>
      <c r="C17" s="97">
        <v>71.8</v>
      </c>
      <c r="D17" s="97">
        <v>22.74</v>
      </c>
      <c r="E17" s="97">
        <v>59.35</v>
      </c>
      <c r="F17" s="97">
        <v>16.119</v>
      </c>
      <c r="G17" s="97">
        <v>22.06</v>
      </c>
      <c r="H17" s="97">
        <v>33.137999999999998</v>
      </c>
      <c r="I17" s="97">
        <v>45.08</v>
      </c>
      <c r="J17" s="97">
        <v>29.07</v>
      </c>
      <c r="K17" s="97">
        <v>12.353</v>
      </c>
      <c r="L17" s="97">
        <v>76.635000000000005</v>
      </c>
      <c r="M17" s="97">
        <v>21.678999999999998</v>
      </c>
      <c r="N17" s="97">
        <v>8.9879999999999995</v>
      </c>
      <c r="O17" s="97">
        <f t="shared" si="1"/>
        <v>419.01199999999994</v>
      </c>
    </row>
    <row r="18" spans="1:15" x14ac:dyDescent="0.2">
      <c r="B18" s="90" t="s">
        <v>29</v>
      </c>
      <c r="C18" s="97">
        <v>0</v>
      </c>
      <c r="D18" s="97">
        <v>0</v>
      </c>
      <c r="E18" s="97">
        <v>0</v>
      </c>
      <c r="F18" s="97">
        <v>0</v>
      </c>
      <c r="G18" s="97">
        <v>0</v>
      </c>
      <c r="H18" s="97">
        <v>0</v>
      </c>
      <c r="I18" s="97">
        <v>0.12</v>
      </c>
      <c r="J18" s="97">
        <v>0</v>
      </c>
      <c r="K18" s="97">
        <v>0</v>
      </c>
      <c r="L18" s="97">
        <v>0</v>
      </c>
      <c r="M18" s="97">
        <v>0</v>
      </c>
      <c r="N18" s="97">
        <v>0</v>
      </c>
      <c r="O18" s="97">
        <f t="shared" si="1"/>
        <v>0.12</v>
      </c>
    </row>
    <row r="19" spans="1:15" x14ac:dyDescent="0.2">
      <c r="B19" s="90" t="s">
        <v>31</v>
      </c>
      <c r="C19" s="97">
        <v>0.16</v>
      </c>
      <c r="D19" s="97">
        <v>0.02</v>
      </c>
      <c r="E19" s="97">
        <v>0.02</v>
      </c>
      <c r="F19" s="97">
        <v>0</v>
      </c>
      <c r="G19" s="97">
        <v>0.04</v>
      </c>
      <c r="H19" s="97">
        <v>8.2000000000000003E-2</v>
      </c>
      <c r="I19" s="97">
        <v>0.02</v>
      </c>
      <c r="J19" s="97">
        <v>0</v>
      </c>
      <c r="K19" s="97">
        <v>0</v>
      </c>
      <c r="L19" s="97">
        <v>0.17</v>
      </c>
      <c r="M19" s="97">
        <v>0</v>
      </c>
      <c r="N19" s="97">
        <v>0</v>
      </c>
      <c r="O19" s="97">
        <f t="shared" si="1"/>
        <v>0.51200000000000001</v>
      </c>
    </row>
    <row r="20" spans="1:15" x14ac:dyDescent="0.2">
      <c r="B20" s="90" t="s">
        <v>35</v>
      </c>
      <c r="C20" s="97">
        <v>0.01</v>
      </c>
      <c r="D20" s="97">
        <v>0</v>
      </c>
      <c r="E20" s="97">
        <v>0</v>
      </c>
      <c r="F20" s="97">
        <v>0</v>
      </c>
      <c r="G20" s="97">
        <v>0</v>
      </c>
      <c r="H20" s="97">
        <v>0.02</v>
      </c>
      <c r="I20" s="97">
        <v>0.06</v>
      </c>
      <c r="J20" s="97">
        <v>0</v>
      </c>
      <c r="K20" s="97">
        <v>0</v>
      </c>
      <c r="L20" s="97">
        <v>2.1999999999999999E-2</v>
      </c>
      <c r="M20" s="97">
        <v>1.2999999999999999E-2</v>
      </c>
      <c r="N20" s="97">
        <v>0</v>
      </c>
      <c r="O20" s="97">
        <f t="shared" si="1"/>
        <v>0.12499999999999999</v>
      </c>
    </row>
    <row r="21" spans="1:15" x14ac:dyDescent="0.2">
      <c r="B21" s="90" t="s">
        <v>37</v>
      </c>
      <c r="C21" s="97">
        <v>1764.49</v>
      </c>
      <c r="D21" s="97">
        <v>585.70000000000005</v>
      </c>
      <c r="E21" s="97">
        <v>2805</v>
      </c>
      <c r="F21" s="97">
        <v>41.37</v>
      </c>
      <c r="G21" s="97">
        <v>36.9</v>
      </c>
      <c r="H21" s="97">
        <v>1049.579</v>
      </c>
      <c r="I21" s="97">
        <v>184.73</v>
      </c>
      <c r="J21" s="97">
        <v>90.792000000000002</v>
      </c>
      <c r="K21" s="97">
        <v>91.381</v>
      </c>
      <c r="L21" s="97">
        <v>649.72</v>
      </c>
      <c r="M21" s="97">
        <v>313.58300000000003</v>
      </c>
      <c r="N21" s="97">
        <v>9.0109999999999992</v>
      </c>
      <c r="O21" s="97">
        <f t="shared" si="1"/>
        <v>7622.2560000000003</v>
      </c>
    </row>
    <row r="22" spans="1:15" x14ac:dyDescent="0.2">
      <c r="B22" s="90" t="s">
        <v>21</v>
      </c>
      <c r="C22" s="97">
        <v>1.77</v>
      </c>
      <c r="D22" s="97">
        <v>0.36</v>
      </c>
      <c r="E22" s="97">
        <v>1.36</v>
      </c>
      <c r="F22" s="97">
        <v>0.46</v>
      </c>
      <c r="G22" s="97">
        <v>0.09</v>
      </c>
      <c r="H22" s="97">
        <v>0.72499999999999998</v>
      </c>
      <c r="I22" s="97">
        <v>0.17</v>
      </c>
      <c r="J22" s="97">
        <v>0.505</v>
      </c>
      <c r="K22" s="97">
        <v>0.13700000000000001</v>
      </c>
      <c r="L22" s="97">
        <v>6.8000000000000005E-2</v>
      </c>
      <c r="M22" s="97">
        <v>1.1220000000000001</v>
      </c>
      <c r="N22" s="97">
        <v>8.0000000000000002E-3</v>
      </c>
      <c r="O22" s="97">
        <f t="shared" si="1"/>
        <v>6.7749999999999995</v>
      </c>
    </row>
    <row r="23" spans="1:15" x14ac:dyDescent="0.2">
      <c r="B23" s="90" t="s">
        <v>38</v>
      </c>
      <c r="C23" s="97">
        <v>9.17</v>
      </c>
      <c r="D23" s="97">
        <v>2.1</v>
      </c>
      <c r="E23" s="97">
        <v>5.99</v>
      </c>
      <c r="F23" s="97">
        <v>0</v>
      </c>
      <c r="G23" s="97">
        <v>0</v>
      </c>
      <c r="H23" s="97">
        <v>4.2670000000000003</v>
      </c>
      <c r="I23" s="97">
        <v>1.06</v>
      </c>
      <c r="J23" s="97">
        <v>0</v>
      </c>
      <c r="K23" s="97">
        <v>0</v>
      </c>
      <c r="L23" s="97">
        <v>7.1</v>
      </c>
      <c r="M23" s="97">
        <v>3.36</v>
      </c>
      <c r="N23" s="97">
        <v>0</v>
      </c>
      <c r="O23" s="97">
        <f t="shared" si="1"/>
        <v>33.046999999999997</v>
      </c>
    </row>
    <row r="24" spans="1:15" x14ac:dyDescent="0.2">
      <c r="B24" s="90" t="s">
        <v>39</v>
      </c>
      <c r="C24" s="97">
        <v>1.41</v>
      </c>
      <c r="D24" s="97">
        <v>2.1</v>
      </c>
      <c r="E24" s="97">
        <v>2.33</v>
      </c>
      <c r="F24" s="97">
        <v>0</v>
      </c>
      <c r="G24" s="97">
        <v>3.37</v>
      </c>
      <c r="H24" s="97">
        <v>0</v>
      </c>
      <c r="I24" s="97">
        <v>0</v>
      </c>
      <c r="J24" s="97">
        <v>0</v>
      </c>
      <c r="K24" s="97">
        <v>0</v>
      </c>
      <c r="L24" s="97">
        <v>0.23799999999999999</v>
      </c>
      <c r="M24" s="97">
        <v>0.95499999999999996</v>
      </c>
      <c r="N24" s="97">
        <v>0</v>
      </c>
      <c r="O24" s="97">
        <f t="shared" si="1"/>
        <v>10.403</v>
      </c>
    </row>
    <row r="25" spans="1:15" x14ac:dyDescent="0.2">
      <c r="B25" s="90" t="s">
        <v>40</v>
      </c>
      <c r="C25" s="97">
        <v>0</v>
      </c>
      <c r="D25" s="97">
        <v>0</v>
      </c>
      <c r="E25" s="97">
        <v>0.01</v>
      </c>
      <c r="F25" s="97">
        <v>0</v>
      </c>
      <c r="G25" s="97">
        <v>0</v>
      </c>
      <c r="H25" s="97">
        <v>0</v>
      </c>
      <c r="I25" s="97">
        <v>0</v>
      </c>
      <c r="J25" s="97">
        <v>0</v>
      </c>
      <c r="K25" s="97">
        <v>0</v>
      </c>
      <c r="L25" s="97">
        <v>0</v>
      </c>
      <c r="M25" s="97">
        <v>0</v>
      </c>
      <c r="N25" s="97">
        <v>0</v>
      </c>
      <c r="O25" s="97">
        <f t="shared" si="1"/>
        <v>0.01</v>
      </c>
    </row>
    <row r="26" spans="1:15" x14ac:dyDescent="0.2">
      <c r="B26" s="90" t="s">
        <v>42</v>
      </c>
      <c r="C26" s="97">
        <v>0</v>
      </c>
      <c r="D26" s="97">
        <v>0.01</v>
      </c>
      <c r="E26" s="97">
        <v>7.0000000000000007E-2</v>
      </c>
      <c r="F26" s="97">
        <v>0</v>
      </c>
      <c r="G26" s="97">
        <v>0</v>
      </c>
      <c r="H26" s="97">
        <v>0</v>
      </c>
      <c r="I26" s="97">
        <v>0</v>
      </c>
      <c r="J26" s="97">
        <v>0</v>
      </c>
      <c r="K26" s="97">
        <v>0</v>
      </c>
      <c r="L26" s="97">
        <v>0</v>
      </c>
      <c r="M26" s="97">
        <v>7.0000000000000001E-3</v>
      </c>
      <c r="N26" s="97">
        <v>0</v>
      </c>
      <c r="O26" s="97">
        <f t="shared" si="1"/>
        <v>8.7000000000000008E-2</v>
      </c>
    </row>
    <row r="27" spans="1:15" x14ac:dyDescent="0.2">
      <c r="B27" s="90" t="s">
        <v>665</v>
      </c>
      <c r="C27" s="97">
        <v>0.03</v>
      </c>
      <c r="D27" s="97">
        <v>0</v>
      </c>
      <c r="E27" s="97">
        <v>0.28999999999999998</v>
      </c>
      <c r="F27" s="97">
        <v>0</v>
      </c>
      <c r="G27" s="97">
        <v>0</v>
      </c>
      <c r="H27" s="97">
        <v>0</v>
      </c>
      <c r="I27" s="97">
        <v>0</v>
      </c>
      <c r="J27" s="97">
        <v>0</v>
      </c>
      <c r="K27" s="97">
        <v>0</v>
      </c>
      <c r="L27" s="97">
        <v>0</v>
      </c>
      <c r="M27" s="97">
        <v>0</v>
      </c>
      <c r="N27" s="97">
        <v>0</v>
      </c>
      <c r="O27" s="97">
        <f t="shared" si="1"/>
        <v>0.31999999999999995</v>
      </c>
    </row>
    <row r="28" spans="1:15" x14ac:dyDescent="0.2">
      <c r="B28" s="90" t="s">
        <v>41</v>
      </c>
      <c r="C28" s="97">
        <v>23.11</v>
      </c>
      <c r="D28" s="97">
        <v>13.58</v>
      </c>
      <c r="E28" s="97">
        <v>17.39</v>
      </c>
      <c r="F28" s="97">
        <v>8.23</v>
      </c>
      <c r="G28" s="97">
        <v>6.59</v>
      </c>
      <c r="H28" s="97">
        <v>7.41</v>
      </c>
      <c r="I28" s="97">
        <v>7.03</v>
      </c>
      <c r="J28" s="97">
        <v>3.0150000000000001</v>
      </c>
      <c r="K28" s="97">
        <v>3.867</v>
      </c>
      <c r="L28" s="97">
        <v>2.6970000000000001</v>
      </c>
      <c r="M28" s="97">
        <v>4.4470000000000001</v>
      </c>
      <c r="N28" s="97">
        <v>0.46899999999999997</v>
      </c>
      <c r="O28" s="97">
        <f t="shared" si="1"/>
        <v>97.835000000000008</v>
      </c>
    </row>
    <row r="29" spans="1:15" x14ac:dyDescent="0.2">
      <c r="B29" s="90" t="s">
        <v>43</v>
      </c>
      <c r="C29" s="97">
        <v>0.44</v>
      </c>
      <c r="D29" s="97">
        <v>0.31</v>
      </c>
      <c r="E29" s="97">
        <v>0.08</v>
      </c>
      <c r="F29" s="97">
        <v>0.02</v>
      </c>
      <c r="G29" s="97">
        <v>0.02</v>
      </c>
      <c r="H29" s="97">
        <v>0.03</v>
      </c>
      <c r="I29" s="97">
        <v>7.0000000000000007E-2</v>
      </c>
      <c r="J29" s="97">
        <v>2.4E-2</v>
      </c>
      <c r="K29" s="97">
        <v>8.0000000000000002E-3</v>
      </c>
      <c r="L29" s="97">
        <v>3.3000000000000002E-2</v>
      </c>
      <c r="M29" s="97">
        <v>5.2999999999999999E-2</v>
      </c>
      <c r="N29" s="97">
        <v>3.0000000000000001E-3</v>
      </c>
      <c r="O29" s="97">
        <f t="shared" si="1"/>
        <v>1.0909999999999997</v>
      </c>
    </row>
    <row r="30" spans="1:15" x14ac:dyDescent="0.2">
      <c r="B30" s="90" t="s">
        <v>45</v>
      </c>
      <c r="C30" s="97">
        <v>0</v>
      </c>
      <c r="D30" s="97">
        <v>0.01</v>
      </c>
      <c r="E30" s="97">
        <v>0</v>
      </c>
      <c r="F30" s="97">
        <v>0.01</v>
      </c>
      <c r="G30" s="97">
        <v>0</v>
      </c>
      <c r="H30" s="97">
        <v>0</v>
      </c>
      <c r="I30" s="97">
        <v>0</v>
      </c>
      <c r="J30" s="97">
        <v>0</v>
      </c>
      <c r="K30" s="97">
        <v>0</v>
      </c>
      <c r="L30" s="97">
        <v>0</v>
      </c>
      <c r="M30" s="97">
        <v>2E-3</v>
      </c>
      <c r="N30" s="97">
        <v>4.0000000000000001E-3</v>
      </c>
      <c r="O30" s="97">
        <f t="shared" si="1"/>
        <v>2.5999999999999999E-2</v>
      </c>
    </row>
    <row r="31" spans="1:15" ht="11.25" customHeight="1" x14ac:dyDescent="0.2">
      <c r="B31" s="90" t="s">
        <v>6</v>
      </c>
      <c r="C31" s="97"/>
      <c r="D31" s="97"/>
      <c r="E31" s="97"/>
      <c r="F31" s="97"/>
      <c r="G31" s="97"/>
      <c r="H31" s="97"/>
      <c r="I31" s="97"/>
      <c r="J31" s="97"/>
      <c r="K31" s="97"/>
      <c r="L31" s="97"/>
      <c r="M31" s="97"/>
      <c r="N31" s="97"/>
      <c r="O31" s="97"/>
    </row>
    <row r="32" spans="1:15" s="95" customFormat="1" ht="15" x14ac:dyDescent="0.25">
      <c r="A32" s="94" t="s">
        <v>46</v>
      </c>
      <c r="C32" s="96">
        <f>SUM(C33:C38)</f>
        <v>2.14</v>
      </c>
      <c r="D32" s="96">
        <f t="shared" ref="D32:O32" si="2">SUM(D33:D38)</f>
        <v>1.7999999999999998</v>
      </c>
      <c r="E32" s="96">
        <f t="shared" si="2"/>
        <v>3.91</v>
      </c>
      <c r="F32" s="96">
        <f t="shared" si="2"/>
        <v>0</v>
      </c>
      <c r="G32" s="96">
        <f t="shared" si="2"/>
        <v>30.888000000000002</v>
      </c>
      <c r="H32" s="96">
        <f t="shared" si="2"/>
        <v>20.574999999999999</v>
      </c>
      <c r="I32" s="96">
        <f t="shared" si="2"/>
        <v>1.4759999999999998</v>
      </c>
      <c r="J32" s="96">
        <f t="shared" si="2"/>
        <v>1.9769999999999999</v>
      </c>
      <c r="K32" s="96">
        <f t="shared" si="2"/>
        <v>4.4999999999999998E-2</v>
      </c>
      <c r="L32" s="96">
        <f t="shared" si="2"/>
        <v>2.1120000000000001</v>
      </c>
      <c r="M32" s="96">
        <f t="shared" si="2"/>
        <v>2.8660000000000001</v>
      </c>
      <c r="N32" s="96">
        <f t="shared" si="2"/>
        <v>0</v>
      </c>
      <c r="O32" s="96">
        <f t="shared" si="2"/>
        <v>67.789000000000001</v>
      </c>
    </row>
    <row r="33" spans="1:15" x14ac:dyDescent="0.2">
      <c r="B33" s="90" t="s">
        <v>47</v>
      </c>
      <c r="C33" s="97">
        <v>0.59</v>
      </c>
      <c r="D33" s="97">
        <v>0.17</v>
      </c>
      <c r="E33" s="97">
        <v>0.19</v>
      </c>
      <c r="F33" s="97">
        <v>0</v>
      </c>
      <c r="G33" s="97">
        <v>0.152</v>
      </c>
      <c r="H33" s="97">
        <v>0.157</v>
      </c>
      <c r="I33" s="97">
        <v>0.20899999999999999</v>
      </c>
      <c r="J33" s="97">
        <v>1.7000000000000001E-2</v>
      </c>
      <c r="K33" s="97">
        <v>4.4999999999999998E-2</v>
      </c>
      <c r="L33" s="97">
        <v>7.0000000000000007E-2</v>
      </c>
      <c r="M33" s="97">
        <v>0.20399999999999999</v>
      </c>
      <c r="N33" s="97">
        <v>0</v>
      </c>
      <c r="O33" s="97">
        <f>SUM(C33:N33)</f>
        <v>1.8039999999999998</v>
      </c>
    </row>
    <row r="34" spans="1:15" x14ac:dyDescent="0.2">
      <c r="B34" s="90" t="s">
        <v>48</v>
      </c>
      <c r="C34" s="97">
        <v>0.01</v>
      </c>
      <c r="D34" s="97">
        <v>0</v>
      </c>
      <c r="E34" s="97">
        <v>0.1</v>
      </c>
      <c r="F34" s="97">
        <v>0</v>
      </c>
      <c r="G34" s="97">
        <v>1.2999999999999999E-2</v>
      </c>
      <c r="H34" s="97">
        <v>0</v>
      </c>
      <c r="I34" s="97">
        <v>0</v>
      </c>
      <c r="J34" s="97">
        <v>0</v>
      </c>
      <c r="K34" s="97">
        <v>0</v>
      </c>
      <c r="L34" s="97">
        <v>7.8E-2</v>
      </c>
      <c r="M34" s="97">
        <v>5.0000000000000001E-3</v>
      </c>
      <c r="N34" s="97">
        <v>0</v>
      </c>
      <c r="O34" s="97">
        <f t="shared" ref="O34:O38" si="3">SUM(C34:N34)</f>
        <v>0.20600000000000002</v>
      </c>
    </row>
    <row r="35" spans="1:15" x14ac:dyDescent="0.2">
      <c r="B35" s="90" t="s">
        <v>719</v>
      </c>
      <c r="C35" s="97">
        <v>1.24</v>
      </c>
      <c r="D35" s="97">
        <v>1.1499999999999999</v>
      </c>
      <c r="E35" s="97">
        <v>3.21</v>
      </c>
      <c r="F35" s="97">
        <v>0</v>
      </c>
      <c r="G35" s="97">
        <v>0</v>
      </c>
      <c r="H35" s="97">
        <v>2.7010000000000001</v>
      </c>
      <c r="I35" s="97">
        <v>0.48899999999999999</v>
      </c>
      <c r="J35" s="97">
        <v>1.96</v>
      </c>
      <c r="K35" s="97">
        <v>0</v>
      </c>
      <c r="L35" s="97">
        <v>1.762</v>
      </c>
      <c r="M35" s="97">
        <v>2.5979999999999999</v>
      </c>
      <c r="N35" s="97">
        <v>0</v>
      </c>
      <c r="O35" s="97">
        <f t="shared" si="3"/>
        <v>15.11</v>
      </c>
    </row>
    <row r="36" spans="1:15" s="103" customFormat="1" x14ac:dyDescent="0.2">
      <c r="A36" s="90"/>
      <c r="B36" s="90" t="s">
        <v>51</v>
      </c>
      <c r="C36" s="97">
        <v>0.09</v>
      </c>
      <c r="D36" s="97">
        <v>7.0000000000000007E-2</v>
      </c>
      <c r="E36" s="97">
        <v>0.06</v>
      </c>
      <c r="F36" s="97">
        <v>0</v>
      </c>
      <c r="G36" s="97">
        <v>5.2999999999999999E-2</v>
      </c>
      <c r="H36" s="97">
        <v>2.5999999999999999E-2</v>
      </c>
      <c r="I36" s="97">
        <v>5.0000000000000001E-3</v>
      </c>
      <c r="J36" s="97">
        <v>0</v>
      </c>
      <c r="K36" s="97">
        <v>0</v>
      </c>
      <c r="L36" s="97">
        <v>1.2E-2</v>
      </c>
      <c r="M36" s="97">
        <v>1.0999999999999999E-2</v>
      </c>
      <c r="N36" s="97">
        <v>0</v>
      </c>
      <c r="O36" s="97">
        <f t="shared" si="3"/>
        <v>0.32700000000000007</v>
      </c>
    </row>
    <row r="37" spans="1:15" x14ac:dyDescent="0.2">
      <c r="B37" s="90" t="s">
        <v>52</v>
      </c>
      <c r="C37" s="97">
        <v>0.15</v>
      </c>
      <c r="D37" s="97">
        <v>0.39</v>
      </c>
      <c r="E37" s="97">
        <v>0.19</v>
      </c>
      <c r="F37" s="97">
        <v>0</v>
      </c>
      <c r="G37" s="97">
        <v>30.219000000000001</v>
      </c>
      <c r="H37" s="97">
        <v>17.677</v>
      </c>
      <c r="I37" s="97">
        <v>0.57299999999999995</v>
      </c>
      <c r="J37" s="97">
        <v>0</v>
      </c>
      <c r="K37" s="97">
        <v>0</v>
      </c>
      <c r="L37" s="97">
        <v>7.0000000000000001E-3</v>
      </c>
      <c r="M37" s="97">
        <v>4.8000000000000001E-2</v>
      </c>
      <c r="N37" s="97">
        <v>0</v>
      </c>
      <c r="O37" s="97">
        <f t="shared" si="3"/>
        <v>49.254000000000005</v>
      </c>
    </row>
    <row r="38" spans="1:15" x14ac:dyDescent="0.2">
      <c r="B38" s="90" t="s">
        <v>53</v>
      </c>
      <c r="C38" s="97">
        <v>0.06</v>
      </c>
      <c r="D38" s="97">
        <v>0.02</v>
      </c>
      <c r="E38" s="97">
        <v>0.16</v>
      </c>
      <c r="F38" s="97">
        <v>0</v>
      </c>
      <c r="G38" s="97">
        <v>0.45100000000000001</v>
      </c>
      <c r="H38" s="97">
        <v>1.4E-2</v>
      </c>
      <c r="I38" s="97">
        <v>0.2</v>
      </c>
      <c r="J38" s="97">
        <v>0</v>
      </c>
      <c r="K38" s="97">
        <v>0</v>
      </c>
      <c r="L38" s="97">
        <v>0.183</v>
      </c>
      <c r="M38" s="97">
        <v>0</v>
      </c>
      <c r="N38" s="97">
        <v>0</v>
      </c>
      <c r="O38" s="97">
        <f t="shared" si="3"/>
        <v>1.0880000000000001</v>
      </c>
    </row>
    <row r="40" spans="1:15" s="95" customFormat="1" ht="15" x14ac:dyDescent="0.25">
      <c r="A40" s="94" t="s">
        <v>54</v>
      </c>
      <c r="C40" s="96">
        <f>SUM(C41:C53)</f>
        <v>119.57</v>
      </c>
      <c r="D40" s="96">
        <f t="shared" ref="D40:N40" si="4">SUM(D41:D53)</f>
        <v>34.369999999999997</v>
      </c>
      <c r="E40" s="96">
        <f t="shared" si="4"/>
        <v>94.55</v>
      </c>
      <c r="F40" s="96">
        <f t="shared" si="4"/>
        <v>25.509</v>
      </c>
      <c r="G40" s="96">
        <f t="shared" si="4"/>
        <v>42.356999999999999</v>
      </c>
      <c r="H40" s="96">
        <f t="shared" si="4"/>
        <v>54.704000000000008</v>
      </c>
      <c r="I40" s="96">
        <f t="shared" si="4"/>
        <v>69.305999999999997</v>
      </c>
      <c r="J40" s="96">
        <f t="shared" si="4"/>
        <v>30.446000000000002</v>
      </c>
      <c r="K40" s="96">
        <f t="shared" si="4"/>
        <v>21.820999999999998</v>
      </c>
      <c r="L40" s="96">
        <f t="shared" si="4"/>
        <v>77.26100000000001</v>
      </c>
      <c r="M40" s="96">
        <f t="shared" si="4"/>
        <v>65.967999999999989</v>
      </c>
      <c r="N40" s="96">
        <f t="shared" si="4"/>
        <v>6.3719999999999999</v>
      </c>
      <c r="O40" s="96">
        <f>SUM(O41:O53)</f>
        <v>642.23399999999981</v>
      </c>
    </row>
    <row r="41" spans="1:15" x14ac:dyDescent="0.2">
      <c r="B41" s="90" t="s">
        <v>477</v>
      </c>
      <c r="C41" s="97">
        <v>0.03</v>
      </c>
      <c r="D41" s="97">
        <v>0</v>
      </c>
      <c r="E41" s="97">
        <v>0.62</v>
      </c>
      <c r="F41" s="97">
        <v>0</v>
      </c>
      <c r="G41" s="97">
        <v>0</v>
      </c>
      <c r="H41" s="97">
        <v>0</v>
      </c>
      <c r="I41" s="97">
        <v>0</v>
      </c>
      <c r="J41" s="97">
        <v>0</v>
      </c>
      <c r="K41" s="97">
        <v>0</v>
      </c>
      <c r="L41" s="97">
        <v>1.7000000000000001E-2</v>
      </c>
      <c r="M41" s="97">
        <v>0</v>
      </c>
      <c r="N41" s="97">
        <v>0</v>
      </c>
      <c r="O41" s="97">
        <f>SUM(C41:N41)</f>
        <v>0.66700000000000004</v>
      </c>
    </row>
    <row r="42" spans="1:15" x14ac:dyDescent="0.2">
      <c r="B42" s="90" t="s">
        <v>56</v>
      </c>
      <c r="C42" s="97">
        <v>0.3</v>
      </c>
      <c r="D42" s="97">
        <v>0.05</v>
      </c>
      <c r="E42" s="97">
        <v>0.19</v>
      </c>
      <c r="F42" s="97">
        <v>0.105</v>
      </c>
      <c r="G42" s="97">
        <v>0.05</v>
      </c>
      <c r="H42" s="97">
        <v>3.5000000000000003E-2</v>
      </c>
      <c r="I42" s="97">
        <v>0.152</v>
      </c>
      <c r="J42" s="97">
        <v>0.107</v>
      </c>
      <c r="K42" s="97">
        <v>5.1999999999999998E-2</v>
      </c>
      <c r="L42" s="97">
        <v>1.7000000000000001E-2</v>
      </c>
      <c r="M42" s="97">
        <v>3.6999999999999998E-2</v>
      </c>
      <c r="N42" s="97">
        <v>2.4E-2</v>
      </c>
      <c r="O42" s="97">
        <f t="shared" ref="O42:O53" si="5">SUM(C42:N42)</f>
        <v>1.119</v>
      </c>
    </row>
    <row r="43" spans="1:15" x14ac:dyDescent="0.2">
      <c r="B43" s="90" t="s">
        <v>57</v>
      </c>
      <c r="C43" s="97">
        <v>36</v>
      </c>
      <c r="D43" s="97">
        <v>7.28</v>
      </c>
      <c r="E43" s="97">
        <v>34.26</v>
      </c>
      <c r="F43" s="97">
        <v>5.0620000000000003</v>
      </c>
      <c r="G43" s="97">
        <v>14.798</v>
      </c>
      <c r="H43" s="97">
        <v>21.76</v>
      </c>
      <c r="I43" s="97">
        <v>31.63</v>
      </c>
      <c r="J43" s="97">
        <v>5.4980000000000002</v>
      </c>
      <c r="K43" s="97">
        <v>4.8449999999999998</v>
      </c>
      <c r="L43" s="97">
        <v>33.677999999999997</v>
      </c>
      <c r="M43" s="97">
        <v>25.145</v>
      </c>
      <c r="N43" s="97">
        <v>0.91400000000000003</v>
      </c>
      <c r="O43" s="97">
        <f t="shared" si="5"/>
        <v>220.86999999999998</v>
      </c>
    </row>
    <row r="44" spans="1:15" x14ac:dyDescent="0.2">
      <c r="B44" s="90" t="s">
        <v>58</v>
      </c>
      <c r="C44" s="97">
        <v>14.16</v>
      </c>
      <c r="D44" s="97">
        <v>2.54</v>
      </c>
      <c r="E44" s="97">
        <v>5.24</v>
      </c>
      <c r="F44" s="97">
        <v>4.226</v>
      </c>
      <c r="G44" s="97">
        <v>1.17</v>
      </c>
      <c r="H44" s="97">
        <v>3.9460000000000002</v>
      </c>
      <c r="I44" s="97">
        <v>3.9</v>
      </c>
      <c r="J44" s="97">
        <v>2.3980000000000001</v>
      </c>
      <c r="K44" s="97">
        <v>2.4889999999999999</v>
      </c>
      <c r="L44" s="97">
        <v>3.5350000000000001</v>
      </c>
      <c r="M44" s="97">
        <v>3.3530000000000002</v>
      </c>
      <c r="N44" s="97">
        <v>0.44400000000000001</v>
      </c>
      <c r="O44" s="97">
        <f t="shared" si="5"/>
        <v>47.401000000000003</v>
      </c>
    </row>
    <row r="45" spans="1:15" x14ac:dyDescent="0.2">
      <c r="B45" s="90" t="s">
        <v>59</v>
      </c>
      <c r="C45" s="97">
        <v>6.83</v>
      </c>
      <c r="D45" s="97">
        <v>2.5299999999999998</v>
      </c>
      <c r="E45" s="97">
        <v>3.48</v>
      </c>
      <c r="F45" s="97">
        <v>1.2190000000000001</v>
      </c>
      <c r="G45" s="97">
        <v>9.4469999999999992</v>
      </c>
      <c r="H45" s="97">
        <v>5.9320000000000004</v>
      </c>
      <c r="I45" s="97">
        <v>1.9</v>
      </c>
      <c r="J45" s="97">
        <v>1.0720000000000001</v>
      </c>
      <c r="K45" s="97">
        <v>1.6339999999999999</v>
      </c>
      <c r="L45" s="97">
        <v>2.673</v>
      </c>
      <c r="M45" s="97">
        <v>7.4960000000000004</v>
      </c>
      <c r="N45" s="97">
        <v>0.26700000000000002</v>
      </c>
      <c r="O45" s="97">
        <f t="shared" si="5"/>
        <v>44.480000000000011</v>
      </c>
    </row>
    <row r="46" spans="1:15" x14ac:dyDescent="0.2">
      <c r="B46" s="90" t="s">
        <v>60</v>
      </c>
      <c r="C46" s="97">
        <v>0.14000000000000001</v>
      </c>
      <c r="D46" s="97">
        <v>0</v>
      </c>
      <c r="E46" s="97">
        <v>0.02</v>
      </c>
      <c r="F46" s="97">
        <v>0</v>
      </c>
      <c r="G46" s="97">
        <v>0</v>
      </c>
      <c r="H46" s="97">
        <v>0.88800000000000001</v>
      </c>
      <c r="I46" s="97">
        <v>0.03</v>
      </c>
      <c r="J46" s="97">
        <v>0</v>
      </c>
      <c r="K46" s="97">
        <v>1.2999999999999999E-2</v>
      </c>
      <c r="L46" s="97">
        <v>1.0999999999999999E-2</v>
      </c>
      <c r="M46" s="97">
        <v>0</v>
      </c>
      <c r="N46" s="97">
        <v>0</v>
      </c>
      <c r="O46" s="97">
        <f t="shared" si="5"/>
        <v>1.1019999999999999</v>
      </c>
    </row>
    <row r="47" spans="1:15" x14ac:dyDescent="0.2">
      <c r="B47" s="90" t="s">
        <v>61</v>
      </c>
      <c r="C47" s="97">
        <v>0.09</v>
      </c>
      <c r="D47" s="97">
        <v>0.04</v>
      </c>
      <c r="E47" s="97">
        <v>0.12</v>
      </c>
      <c r="F47" s="97">
        <v>0</v>
      </c>
      <c r="G47" s="97">
        <v>0</v>
      </c>
      <c r="H47" s="97">
        <v>5.0999999999999997E-2</v>
      </c>
      <c r="I47" s="97">
        <v>8.7999999999999995E-2</v>
      </c>
      <c r="J47" s="97">
        <v>0</v>
      </c>
      <c r="K47" s="97">
        <v>0</v>
      </c>
      <c r="L47" s="97">
        <v>7.2999999999999995E-2</v>
      </c>
      <c r="M47" s="97">
        <v>0.113</v>
      </c>
      <c r="N47" s="97">
        <v>0</v>
      </c>
      <c r="O47" s="97">
        <f t="shared" si="5"/>
        <v>0.57500000000000007</v>
      </c>
    </row>
    <row r="48" spans="1:15" x14ac:dyDescent="0.2">
      <c r="B48" s="90" t="s">
        <v>756</v>
      </c>
      <c r="C48" s="97">
        <v>6.93</v>
      </c>
      <c r="D48" s="97">
        <v>5.79</v>
      </c>
      <c r="E48" s="97">
        <v>14.3</v>
      </c>
      <c r="F48" s="97">
        <v>4.6680000000000001</v>
      </c>
      <c r="G48" s="97">
        <v>2.6760000000000002</v>
      </c>
      <c r="H48" s="97">
        <v>3.5169999999999999</v>
      </c>
      <c r="I48" s="97">
        <v>4.22</v>
      </c>
      <c r="J48" s="97">
        <v>3.2189999999999999</v>
      </c>
      <c r="K48" s="97">
        <v>2.3490000000000002</v>
      </c>
      <c r="L48" s="97">
        <v>9.2710000000000008</v>
      </c>
      <c r="M48" s="97">
        <v>1.8149999999999999</v>
      </c>
      <c r="N48" s="97">
        <v>0.30399999999999999</v>
      </c>
      <c r="O48" s="97">
        <f t="shared" si="5"/>
        <v>59.058999999999997</v>
      </c>
    </row>
    <row r="49" spans="1:15" x14ac:dyDescent="0.2">
      <c r="B49" s="90" t="s">
        <v>63</v>
      </c>
      <c r="C49" s="97">
        <v>21.11</v>
      </c>
      <c r="D49" s="97">
        <v>6.38</v>
      </c>
      <c r="E49" s="97">
        <v>10.81</v>
      </c>
      <c r="F49" s="97">
        <v>0.504</v>
      </c>
      <c r="G49" s="97">
        <v>0.39500000000000002</v>
      </c>
      <c r="H49" s="97">
        <v>5.8579999999999997</v>
      </c>
      <c r="I49" s="97">
        <v>6.931</v>
      </c>
      <c r="J49" s="97">
        <v>0.438</v>
      </c>
      <c r="K49" s="97">
        <v>0.32500000000000001</v>
      </c>
      <c r="L49" s="97">
        <v>8.0619999999999994</v>
      </c>
      <c r="M49" s="97">
        <v>8.7050000000000001</v>
      </c>
      <c r="N49" s="97">
        <v>4.2000000000000003E-2</v>
      </c>
      <c r="O49" s="97">
        <f t="shared" si="5"/>
        <v>69.56</v>
      </c>
    </row>
    <row r="50" spans="1:15" x14ac:dyDescent="0.2">
      <c r="B50" s="90" t="s">
        <v>64</v>
      </c>
      <c r="C50" s="97">
        <v>1.78</v>
      </c>
      <c r="D50" s="97">
        <v>0.2</v>
      </c>
      <c r="E50" s="97">
        <v>0.19</v>
      </c>
      <c r="F50" s="97">
        <v>0.216</v>
      </c>
      <c r="G50" s="97">
        <v>0.11</v>
      </c>
      <c r="H50" s="97">
        <v>0.28999999999999998</v>
      </c>
      <c r="I50" s="97">
        <v>0.16300000000000001</v>
      </c>
      <c r="J50" s="97">
        <v>0.19600000000000001</v>
      </c>
      <c r="K50" s="97">
        <v>7.1999999999999995E-2</v>
      </c>
      <c r="L50" s="97">
        <v>0.10100000000000001</v>
      </c>
      <c r="M50" s="97">
        <v>8.5999999999999993E-2</v>
      </c>
      <c r="N50" s="97">
        <v>3.7999999999999999E-2</v>
      </c>
      <c r="O50" s="97">
        <f t="shared" si="5"/>
        <v>3.4419999999999997</v>
      </c>
    </row>
    <row r="51" spans="1:15" x14ac:dyDescent="0.2">
      <c r="B51" s="90" t="s">
        <v>66</v>
      </c>
      <c r="C51" s="97">
        <v>3.62</v>
      </c>
      <c r="D51" s="97">
        <v>0.27</v>
      </c>
      <c r="E51" s="97">
        <v>0.13</v>
      </c>
      <c r="F51" s="97">
        <v>0.374</v>
      </c>
      <c r="G51" s="97">
        <v>0.193</v>
      </c>
      <c r="H51" s="97">
        <v>1.7000000000000001E-2</v>
      </c>
      <c r="I51" s="97">
        <v>0.73599999999999999</v>
      </c>
      <c r="J51" s="97">
        <v>6.3E-2</v>
      </c>
      <c r="K51" s="97">
        <v>1.2190000000000001</v>
      </c>
      <c r="L51" s="97">
        <v>1.3120000000000001</v>
      </c>
      <c r="M51" s="97">
        <v>0.78900000000000003</v>
      </c>
      <c r="N51" s="97">
        <v>6.0000000000000001E-3</v>
      </c>
      <c r="O51" s="97">
        <f t="shared" si="5"/>
        <v>8.729000000000001</v>
      </c>
    </row>
    <row r="52" spans="1:15" x14ac:dyDescent="0.2">
      <c r="B52" s="90" t="s">
        <v>720</v>
      </c>
      <c r="C52" s="97">
        <v>28.58</v>
      </c>
      <c r="D52" s="97">
        <v>9.2899999999999991</v>
      </c>
      <c r="E52" s="97">
        <v>25.19</v>
      </c>
      <c r="F52" s="97">
        <v>9.1349999999999998</v>
      </c>
      <c r="G52" s="97">
        <v>13.518000000000001</v>
      </c>
      <c r="H52" s="97">
        <v>12.41</v>
      </c>
      <c r="I52" s="97">
        <v>19.556000000000001</v>
      </c>
      <c r="J52" s="97">
        <v>10.026999999999999</v>
      </c>
      <c r="K52" s="97">
        <v>8.8230000000000004</v>
      </c>
      <c r="L52" s="97">
        <v>18.355</v>
      </c>
      <c r="M52" s="97">
        <v>18.428999999999998</v>
      </c>
      <c r="N52" s="97">
        <v>4.3330000000000002</v>
      </c>
      <c r="O52" s="97">
        <f t="shared" si="5"/>
        <v>177.64599999999999</v>
      </c>
    </row>
    <row r="53" spans="1:15" x14ac:dyDescent="0.2">
      <c r="B53" s="90" t="s">
        <v>695</v>
      </c>
      <c r="C53" s="97">
        <v>0</v>
      </c>
      <c r="D53" s="97">
        <v>0</v>
      </c>
      <c r="E53" s="97">
        <v>0</v>
      </c>
      <c r="F53" s="97">
        <v>0</v>
      </c>
      <c r="G53" s="97">
        <v>0</v>
      </c>
      <c r="H53" s="97">
        <v>0</v>
      </c>
      <c r="I53" s="97">
        <v>0</v>
      </c>
      <c r="J53" s="97">
        <v>7.4279999999999999</v>
      </c>
      <c r="K53" s="97">
        <v>0</v>
      </c>
      <c r="L53" s="97">
        <v>0.156</v>
      </c>
      <c r="M53" s="97">
        <v>0</v>
      </c>
      <c r="N53" s="97">
        <v>0</v>
      </c>
      <c r="O53" s="97">
        <f t="shared" si="5"/>
        <v>7.5839999999999996</v>
      </c>
    </row>
    <row r="55" spans="1:15" s="95" customFormat="1" ht="15" x14ac:dyDescent="0.25">
      <c r="A55" s="94" t="s">
        <v>69</v>
      </c>
      <c r="C55" s="96">
        <v>0.98</v>
      </c>
      <c r="D55" s="96">
        <v>0.08</v>
      </c>
      <c r="E55" s="96">
        <v>5.92</v>
      </c>
      <c r="F55" s="96">
        <v>0.01</v>
      </c>
      <c r="G55" s="96">
        <v>0.02</v>
      </c>
      <c r="H55" s="96">
        <v>0.35</v>
      </c>
      <c r="I55" s="96">
        <v>0.01</v>
      </c>
      <c r="J55" s="96">
        <v>0</v>
      </c>
      <c r="K55" s="96">
        <v>0</v>
      </c>
      <c r="L55" s="96">
        <v>0.38600000000000001</v>
      </c>
      <c r="M55" s="96">
        <v>0</v>
      </c>
      <c r="N55" s="96">
        <v>0.01</v>
      </c>
      <c r="O55" s="96">
        <v>7.7659999999999991</v>
      </c>
    </row>
    <row r="56" spans="1:15" x14ac:dyDescent="0.2">
      <c r="B56" s="90" t="s">
        <v>70</v>
      </c>
      <c r="C56" s="97">
        <v>0.98</v>
      </c>
      <c r="D56" s="97">
        <v>0.08</v>
      </c>
      <c r="E56" s="97">
        <v>5.92</v>
      </c>
      <c r="F56" s="97">
        <v>0.01</v>
      </c>
      <c r="G56" s="97">
        <v>0.02</v>
      </c>
      <c r="H56" s="97">
        <v>0.35</v>
      </c>
      <c r="I56" s="97">
        <v>0.01</v>
      </c>
      <c r="J56" s="97">
        <v>0</v>
      </c>
      <c r="K56" s="97">
        <v>0</v>
      </c>
      <c r="L56" s="97">
        <v>0.38600000000000001</v>
      </c>
      <c r="M56" s="97">
        <v>0</v>
      </c>
      <c r="N56" s="97">
        <v>0.01</v>
      </c>
      <c r="O56" s="97">
        <f>SUM(C56:N56)</f>
        <v>7.7659999999999991</v>
      </c>
    </row>
    <row r="57" spans="1:15" ht="12.75" customHeight="1" x14ac:dyDescent="0.2">
      <c r="C57" s="97"/>
      <c r="D57" s="97"/>
      <c r="E57" s="97"/>
      <c r="F57" s="97"/>
      <c r="G57" s="97"/>
      <c r="H57" s="97"/>
      <c r="I57" s="97"/>
      <c r="J57" s="97"/>
      <c r="K57" s="97"/>
      <c r="L57" s="97"/>
      <c r="M57" s="97"/>
      <c r="N57" s="97"/>
      <c r="O57" s="97"/>
    </row>
    <row r="58" spans="1:15" s="95" customFormat="1" ht="15" x14ac:dyDescent="0.25">
      <c r="A58" s="94" t="s">
        <v>71</v>
      </c>
      <c r="C58" s="96">
        <f>SUM(C59:C78)</f>
        <v>28.150000000000006</v>
      </c>
      <c r="D58" s="96">
        <f t="shared" ref="D58:O58" si="6">SUM(D59:D78)</f>
        <v>14.25</v>
      </c>
      <c r="E58" s="96">
        <f t="shared" si="6"/>
        <v>22.1</v>
      </c>
      <c r="F58" s="96">
        <f t="shared" si="6"/>
        <v>8.8880000000000017</v>
      </c>
      <c r="G58" s="96">
        <f t="shared" si="6"/>
        <v>11.022999999999998</v>
      </c>
      <c r="H58" s="96">
        <f t="shared" si="6"/>
        <v>6.6580000000000004</v>
      </c>
      <c r="I58" s="96">
        <f t="shared" si="6"/>
        <v>13.397</v>
      </c>
      <c r="J58" s="96">
        <f t="shared" si="6"/>
        <v>5.9749999999999996</v>
      </c>
      <c r="K58" s="96">
        <f t="shared" si="6"/>
        <v>2.988</v>
      </c>
      <c r="L58" s="96">
        <f t="shared" si="6"/>
        <v>48.113</v>
      </c>
      <c r="M58" s="96">
        <f t="shared" si="6"/>
        <v>25.617000000000001</v>
      </c>
      <c r="N58" s="96">
        <f t="shared" si="6"/>
        <v>2.512</v>
      </c>
      <c r="O58" s="96">
        <f t="shared" si="6"/>
        <v>189.67099999999996</v>
      </c>
    </row>
    <row r="59" spans="1:15" x14ac:dyDescent="0.2">
      <c r="B59" s="90" t="s">
        <v>778</v>
      </c>
      <c r="C59" s="97">
        <v>0</v>
      </c>
      <c r="D59" s="97">
        <v>0</v>
      </c>
      <c r="E59" s="97">
        <v>0</v>
      </c>
      <c r="F59" s="97">
        <v>0</v>
      </c>
      <c r="G59" s="97">
        <v>0</v>
      </c>
      <c r="H59" s="97">
        <v>0</v>
      </c>
      <c r="I59" s="97">
        <v>0</v>
      </c>
      <c r="J59" s="97">
        <v>0</v>
      </c>
      <c r="K59" s="97">
        <v>0</v>
      </c>
      <c r="L59" s="97">
        <v>0</v>
      </c>
      <c r="M59" s="97">
        <v>8.9999999999999993E-3</v>
      </c>
      <c r="N59" s="97">
        <v>0</v>
      </c>
      <c r="O59" s="97">
        <f t="shared" ref="O59:O78" si="7">SUM(C59:N59)</f>
        <v>8.9999999999999993E-3</v>
      </c>
    </row>
    <row r="60" spans="1:15" x14ac:dyDescent="0.2">
      <c r="B60" s="90" t="s">
        <v>721</v>
      </c>
      <c r="C60" s="97">
        <v>0.01</v>
      </c>
      <c r="D60" s="97">
        <v>0</v>
      </c>
      <c r="E60" s="97">
        <v>0</v>
      </c>
      <c r="F60" s="97">
        <v>0</v>
      </c>
      <c r="G60" s="97">
        <v>0</v>
      </c>
      <c r="H60" s="97">
        <v>0</v>
      </c>
      <c r="I60" s="97">
        <v>0</v>
      </c>
      <c r="J60" s="97">
        <v>0</v>
      </c>
      <c r="K60" s="97">
        <v>0</v>
      </c>
      <c r="L60" s="97">
        <v>0</v>
      </c>
      <c r="M60" s="97">
        <v>0</v>
      </c>
      <c r="N60" s="97">
        <v>0</v>
      </c>
      <c r="O60" s="97">
        <f t="shared" si="7"/>
        <v>0.01</v>
      </c>
    </row>
    <row r="61" spans="1:15" x14ac:dyDescent="0.2">
      <c r="B61" s="90" t="s">
        <v>722</v>
      </c>
      <c r="C61" s="97">
        <v>0</v>
      </c>
      <c r="D61" s="97">
        <v>0</v>
      </c>
      <c r="E61" s="97">
        <v>0.01</v>
      </c>
      <c r="F61" s="97">
        <v>0</v>
      </c>
      <c r="G61" s="97">
        <v>0</v>
      </c>
      <c r="H61" s="97">
        <v>0</v>
      </c>
      <c r="I61" s="97">
        <v>0</v>
      </c>
      <c r="J61" s="97">
        <v>0</v>
      </c>
      <c r="K61" s="97">
        <v>0</v>
      </c>
      <c r="L61" s="97">
        <v>0</v>
      </c>
      <c r="M61" s="97">
        <v>0</v>
      </c>
      <c r="N61" s="97">
        <v>0</v>
      </c>
      <c r="O61" s="97">
        <f t="shared" si="7"/>
        <v>0.01</v>
      </c>
    </row>
    <row r="62" spans="1:15" x14ac:dyDescent="0.2">
      <c r="B62" s="90" t="s">
        <v>779</v>
      </c>
      <c r="C62" s="97">
        <v>0</v>
      </c>
      <c r="D62" s="97">
        <v>0</v>
      </c>
      <c r="E62" s="97">
        <v>0</v>
      </c>
      <c r="F62" s="97">
        <v>0</v>
      </c>
      <c r="G62" s="97">
        <v>0</v>
      </c>
      <c r="H62" s="97">
        <v>0</v>
      </c>
      <c r="I62" s="97">
        <v>0</v>
      </c>
      <c r="J62" s="97">
        <v>0</v>
      </c>
      <c r="K62" s="97">
        <v>5.2999999999999999E-2</v>
      </c>
      <c r="L62" s="97">
        <v>0</v>
      </c>
      <c r="M62" s="97">
        <v>0</v>
      </c>
      <c r="N62" s="97">
        <v>0</v>
      </c>
      <c r="O62" s="97">
        <f t="shared" si="7"/>
        <v>5.2999999999999999E-2</v>
      </c>
    </row>
    <row r="63" spans="1:15" x14ac:dyDescent="0.2">
      <c r="B63" s="90" t="s">
        <v>723</v>
      </c>
      <c r="C63" s="97">
        <v>0.02</v>
      </c>
      <c r="D63" s="97">
        <v>0</v>
      </c>
      <c r="E63" s="97">
        <v>0</v>
      </c>
      <c r="F63" s="97">
        <v>0</v>
      </c>
      <c r="G63" s="97">
        <v>0</v>
      </c>
      <c r="H63" s="97">
        <v>6.0000000000000001E-3</v>
      </c>
      <c r="I63" s="97">
        <v>0</v>
      </c>
      <c r="J63" s="97">
        <v>0</v>
      </c>
      <c r="K63" s="97">
        <v>0</v>
      </c>
      <c r="L63" s="97">
        <v>0</v>
      </c>
      <c r="M63" s="97">
        <v>6.0000000000000001E-3</v>
      </c>
      <c r="N63" s="97">
        <v>0</v>
      </c>
      <c r="O63" s="97">
        <f t="shared" si="7"/>
        <v>3.2000000000000001E-2</v>
      </c>
    </row>
    <row r="64" spans="1:15" x14ac:dyDescent="0.2">
      <c r="B64" s="90" t="s">
        <v>757</v>
      </c>
      <c r="C64" s="97">
        <v>27.97</v>
      </c>
      <c r="D64" s="97">
        <v>14.21</v>
      </c>
      <c r="E64" s="97">
        <v>22.06</v>
      </c>
      <c r="F64" s="97">
        <v>8.56</v>
      </c>
      <c r="G64" s="97">
        <v>11.007999999999999</v>
      </c>
      <c r="H64" s="97">
        <v>6.5410000000000004</v>
      </c>
      <c r="I64" s="97">
        <v>13.397</v>
      </c>
      <c r="J64" s="97">
        <v>5.9749999999999996</v>
      </c>
      <c r="K64" s="97">
        <v>2.887</v>
      </c>
      <c r="L64" s="97">
        <v>48.066000000000003</v>
      </c>
      <c r="M64" s="97">
        <v>25.602</v>
      </c>
      <c r="N64" s="97">
        <v>2.512</v>
      </c>
      <c r="O64" s="97">
        <f t="shared" si="7"/>
        <v>188.78799999999998</v>
      </c>
    </row>
    <row r="65" spans="1:15" x14ac:dyDescent="0.2">
      <c r="B65" s="90" t="s">
        <v>724</v>
      </c>
      <c r="C65" s="97">
        <v>0</v>
      </c>
      <c r="D65" s="97">
        <v>0</v>
      </c>
      <c r="E65" s="97">
        <v>0</v>
      </c>
      <c r="F65" s="97">
        <v>0.317</v>
      </c>
      <c r="G65" s="97">
        <v>0</v>
      </c>
      <c r="H65" s="97">
        <v>0</v>
      </c>
      <c r="I65" s="97">
        <v>0</v>
      </c>
      <c r="J65" s="97">
        <v>0</v>
      </c>
      <c r="K65" s="97">
        <v>0</v>
      </c>
      <c r="L65" s="97">
        <v>0</v>
      </c>
      <c r="M65" s="97">
        <v>0</v>
      </c>
      <c r="N65" s="97">
        <v>0</v>
      </c>
      <c r="O65" s="97">
        <f t="shared" si="7"/>
        <v>0.317</v>
      </c>
    </row>
    <row r="66" spans="1:15" x14ac:dyDescent="0.2">
      <c r="B66" s="90" t="s">
        <v>725</v>
      </c>
      <c r="C66" s="97">
        <v>0</v>
      </c>
      <c r="D66" s="97">
        <v>0</v>
      </c>
      <c r="E66" s="97">
        <v>0</v>
      </c>
      <c r="F66" s="97">
        <v>5.0000000000000001E-3</v>
      </c>
      <c r="G66" s="97">
        <v>0</v>
      </c>
      <c r="H66" s="97">
        <v>0</v>
      </c>
      <c r="I66" s="97">
        <v>0</v>
      </c>
      <c r="J66" s="97">
        <v>0</v>
      </c>
      <c r="K66" s="97">
        <v>0</v>
      </c>
      <c r="L66" s="97">
        <v>0</v>
      </c>
      <c r="M66" s="97">
        <v>0</v>
      </c>
      <c r="N66" s="97">
        <v>0</v>
      </c>
      <c r="O66" s="97">
        <f t="shared" si="7"/>
        <v>5.0000000000000001E-3</v>
      </c>
    </row>
    <row r="67" spans="1:15" x14ac:dyDescent="0.2">
      <c r="B67" s="90" t="s">
        <v>726</v>
      </c>
      <c r="C67" s="97">
        <v>0</v>
      </c>
      <c r="D67" s="97">
        <v>0</v>
      </c>
      <c r="E67" s="97">
        <v>0</v>
      </c>
      <c r="F67" s="97">
        <v>0</v>
      </c>
      <c r="G67" s="97">
        <v>0</v>
      </c>
      <c r="H67" s="97">
        <v>0</v>
      </c>
      <c r="I67" s="97">
        <v>0</v>
      </c>
      <c r="J67" s="97">
        <v>0</v>
      </c>
      <c r="K67" s="97">
        <v>4.8000000000000001E-2</v>
      </c>
      <c r="L67" s="97">
        <v>0</v>
      </c>
      <c r="M67" s="97">
        <v>0</v>
      </c>
      <c r="N67" s="97">
        <v>0</v>
      </c>
      <c r="O67" s="97">
        <f t="shared" si="7"/>
        <v>4.8000000000000001E-2</v>
      </c>
    </row>
    <row r="68" spans="1:15" x14ac:dyDescent="0.2">
      <c r="B68" s="90" t="s">
        <v>727</v>
      </c>
      <c r="C68" s="97">
        <v>0.01</v>
      </c>
      <c r="D68" s="97">
        <v>0</v>
      </c>
      <c r="E68" s="97">
        <v>0</v>
      </c>
      <c r="F68" s="97">
        <v>0</v>
      </c>
      <c r="G68" s="97">
        <v>0</v>
      </c>
      <c r="H68" s="97">
        <v>0</v>
      </c>
      <c r="I68" s="97">
        <v>0</v>
      </c>
      <c r="J68" s="97">
        <v>0</v>
      </c>
      <c r="K68" s="97">
        <v>0</v>
      </c>
      <c r="L68" s="97">
        <v>0</v>
      </c>
      <c r="M68" s="97">
        <v>0</v>
      </c>
      <c r="N68" s="97">
        <v>0</v>
      </c>
      <c r="O68" s="97">
        <f t="shared" si="7"/>
        <v>0.01</v>
      </c>
    </row>
    <row r="69" spans="1:15" x14ac:dyDescent="0.2">
      <c r="B69" s="90" t="s">
        <v>758</v>
      </c>
      <c r="C69" s="97">
        <v>0.01</v>
      </c>
      <c r="D69" s="97">
        <v>0</v>
      </c>
      <c r="E69" s="97">
        <v>0</v>
      </c>
      <c r="F69" s="97">
        <v>0</v>
      </c>
      <c r="G69" s="97">
        <v>0</v>
      </c>
      <c r="H69" s="97">
        <v>0</v>
      </c>
      <c r="I69" s="97">
        <v>0</v>
      </c>
      <c r="J69" s="97">
        <v>0</v>
      </c>
      <c r="K69" s="97">
        <v>0</v>
      </c>
      <c r="L69" s="97">
        <v>0</v>
      </c>
      <c r="M69" s="97">
        <v>0</v>
      </c>
      <c r="N69" s="97">
        <v>0</v>
      </c>
      <c r="O69" s="97">
        <f t="shared" si="7"/>
        <v>0.01</v>
      </c>
    </row>
    <row r="70" spans="1:15" x14ac:dyDescent="0.2">
      <c r="B70" s="90" t="s">
        <v>728</v>
      </c>
      <c r="C70" s="97">
        <v>0.02</v>
      </c>
      <c r="D70" s="97">
        <v>0</v>
      </c>
      <c r="E70" s="97">
        <v>0</v>
      </c>
      <c r="F70" s="97">
        <v>0</v>
      </c>
      <c r="G70" s="97">
        <v>8.0000000000000002E-3</v>
      </c>
      <c r="H70" s="97">
        <v>7.0000000000000001E-3</v>
      </c>
      <c r="I70" s="97">
        <v>0</v>
      </c>
      <c r="J70" s="97">
        <v>0</v>
      </c>
      <c r="K70" s="97">
        <v>0</v>
      </c>
      <c r="L70" s="97">
        <v>7.0000000000000001E-3</v>
      </c>
      <c r="M70" s="97">
        <v>0</v>
      </c>
      <c r="N70" s="97">
        <v>0</v>
      </c>
      <c r="O70" s="97">
        <f t="shared" si="7"/>
        <v>4.2000000000000003E-2</v>
      </c>
    </row>
    <row r="71" spans="1:15" x14ac:dyDescent="0.2">
      <c r="B71" s="90" t="s">
        <v>729</v>
      </c>
      <c r="C71" s="97">
        <v>0.01</v>
      </c>
      <c r="D71" s="97">
        <v>0</v>
      </c>
      <c r="E71" s="97">
        <v>0</v>
      </c>
      <c r="F71" s="97">
        <v>0</v>
      </c>
      <c r="G71" s="97">
        <v>0</v>
      </c>
      <c r="H71" s="97">
        <v>0</v>
      </c>
      <c r="I71" s="97">
        <v>0</v>
      </c>
      <c r="J71" s="97">
        <v>0</v>
      </c>
      <c r="K71" s="97">
        <v>0</v>
      </c>
      <c r="L71" s="97">
        <v>0</v>
      </c>
      <c r="M71" s="97">
        <v>0</v>
      </c>
      <c r="N71" s="97">
        <v>0</v>
      </c>
      <c r="O71" s="97">
        <f t="shared" si="7"/>
        <v>0.01</v>
      </c>
    </row>
    <row r="72" spans="1:15" x14ac:dyDescent="0.2">
      <c r="B72" s="90" t="s">
        <v>730</v>
      </c>
      <c r="C72" s="97">
        <v>0</v>
      </c>
      <c r="D72" s="97">
        <v>0</v>
      </c>
      <c r="E72" s="97">
        <v>0.02</v>
      </c>
      <c r="F72" s="97">
        <v>0</v>
      </c>
      <c r="G72" s="97">
        <v>0</v>
      </c>
      <c r="H72" s="97">
        <v>0</v>
      </c>
      <c r="I72" s="97">
        <v>0</v>
      </c>
      <c r="J72" s="97">
        <v>0</v>
      </c>
      <c r="K72" s="97">
        <v>0</v>
      </c>
      <c r="L72" s="97">
        <v>0</v>
      </c>
      <c r="M72" s="97">
        <v>0</v>
      </c>
      <c r="N72" s="97">
        <v>0</v>
      </c>
      <c r="O72" s="97">
        <f t="shared" si="7"/>
        <v>0.02</v>
      </c>
    </row>
    <row r="73" spans="1:15" x14ac:dyDescent="0.2">
      <c r="B73" s="90" t="s">
        <v>731</v>
      </c>
      <c r="C73" s="97">
        <v>0</v>
      </c>
      <c r="D73" s="97">
        <v>0</v>
      </c>
      <c r="E73" s="97">
        <v>0</v>
      </c>
      <c r="F73" s="97">
        <v>0</v>
      </c>
      <c r="G73" s="97">
        <v>0</v>
      </c>
      <c r="H73" s="97">
        <v>9.6000000000000002E-2</v>
      </c>
      <c r="I73" s="97">
        <v>0</v>
      </c>
      <c r="J73" s="97">
        <v>0</v>
      </c>
      <c r="K73" s="97">
        <v>0</v>
      </c>
      <c r="L73" s="97">
        <v>0</v>
      </c>
      <c r="M73" s="97">
        <v>0</v>
      </c>
      <c r="N73" s="97">
        <v>0</v>
      </c>
      <c r="O73" s="97">
        <f t="shared" si="7"/>
        <v>9.6000000000000002E-2</v>
      </c>
    </row>
    <row r="74" spans="1:15" x14ac:dyDescent="0.2">
      <c r="B74" s="90" t="s">
        <v>73</v>
      </c>
      <c r="C74" s="97">
        <v>7.0000000000000007E-2</v>
      </c>
      <c r="D74" s="97">
        <v>0.04</v>
      </c>
      <c r="E74" s="97">
        <v>0.01</v>
      </c>
      <c r="F74" s="97">
        <v>0</v>
      </c>
      <c r="G74" s="97">
        <v>0</v>
      </c>
      <c r="H74" s="97">
        <v>8.0000000000000002E-3</v>
      </c>
      <c r="I74" s="97">
        <v>0</v>
      </c>
      <c r="J74" s="97">
        <v>0</v>
      </c>
      <c r="K74" s="97">
        <v>0</v>
      </c>
      <c r="L74" s="97">
        <v>0</v>
      </c>
      <c r="M74" s="97">
        <v>0</v>
      </c>
      <c r="N74" s="97">
        <v>0</v>
      </c>
      <c r="O74" s="97">
        <f t="shared" si="7"/>
        <v>0.128</v>
      </c>
    </row>
    <row r="75" spans="1:15" x14ac:dyDescent="0.2">
      <c r="B75" s="90" t="s">
        <v>732</v>
      </c>
      <c r="C75" s="97">
        <v>0</v>
      </c>
      <c r="D75" s="97">
        <v>0</v>
      </c>
      <c r="E75" s="97">
        <v>0</v>
      </c>
      <c r="F75" s="97">
        <v>0</v>
      </c>
      <c r="G75" s="97">
        <v>0</v>
      </c>
      <c r="H75" s="97">
        <v>0</v>
      </c>
      <c r="I75" s="97">
        <v>0</v>
      </c>
      <c r="J75" s="97">
        <v>0</v>
      </c>
      <c r="K75" s="97">
        <v>0</v>
      </c>
      <c r="L75" s="97">
        <v>0.04</v>
      </c>
      <c r="M75" s="97">
        <v>0</v>
      </c>
      <c r="N75" s="97">
        <v>0</v>
      </c>
      <c r="O75" s="97">
        <f t="shared" si="7"/>
        <v>0.04</v>
      </c>
    </row>
    <row r="76" spans="1:15" x14ac:dyDescent="0.2">
      <c r="B76" s="90" t="s">
        <v>733</v>
      </c>
      <c r="C76" s="97">
        <v>0.03</v>
      </c>
      <c r="D76" s="97">
        <v>0</v>
      </c>
      <c r="E76" s="97">
        <v>0</v>
      </c>
      <c r="F76" s="97">
        <v>0</v>
      </c>
      <c r="G76" s="97">
        <v>0</v>
      </c>
      <c r="H76" s="97">
        <v>0</v>
      </c>
      <c r="I76" s="97">
        <v>0</v>
      </c>
      <c r="J76" s="97">
        <v>0</v>
      </c>
      <c r="K76" s="97">
        <v>0</v>
      </c>
      <c r="L76" s="97">
        <v>0</v>
      </c>
      <c r="M76" s="97">
        <v>0</v>
      </c>
      <c r="N76" s="97">
        <v>0</v>
      </c>
      <c r="O76" s="97">
        <f t="shared" si="7"/>
        <v>0.03</v>
      </c>
    </row>
    <row r="77" spans="1:15" x14ac:dyDescent="0.2">
      <c r="B77" s="90" t="s">
        <v>734</v>
      </c>
      <c r="C77" s="97">
        <v>0</v>
      </c>
      <c r="D77" s="97">
        <v>0</v>
      </c>
      <c r="E77" s="97">
        <v>0</v>
      </c>
      <c r="F77" s="97">
        <v>0</v>
      </c>
      <c r="G77" s="97">
        <v>7.0000000000000001E-3</v>
      </c>
      <c r="H77" s="97">
        <v>0</v>
      </c>
      <c r="I77" s="97">
        <v>0</v>
      </c>
      <c r="J77" s="97">
        <v>0</v>
      </c>
      <c r="K77" s="97">
        <v>0</v>
      </c>
      <c r="L77" s="97">
        <v>0</v>
      </c>
      <c r="M77" s="97">
        <v>0</v>
      </c>
      <c r="N77" s="97">
        <v>0</v>
      </c>
      <c r="O77" s="97">
        <f t="shared" si="7"/>
        <v>7.0000000000000001E-3</v>
      </c>
    </row>
    <row r="78" spans="1:15" x14ac:dyDescent="0.2">
      <c r="B78" s="90" t="s">
        <v>735</v>
      </c>
      <c r="C78" s="97">
        <v>0</v>
      </c>
      <c r="D78" s="97">
        <v>0</v>
      </c>
      <c r="E78" s="97">
        <v>0</v>
      </c>
      <c r="F78" s="97">
        <v>6.0000000000000001E-3</v>
      </c>
      <c r="G78" s="97">
        <v>0</v>
      </c>
      <c r="H78" s="97">
        <v>0</v>
      </c>
      <c r="I78" s="97">
        <v>0</v>
      </c>
      <c r="J78" s="97">
        <v>0</v>
      </c>
      <c r="K78" s="97">
        <v>0</v>
      </c>
      <c r="L78" s="97">
        <v>0</v>
      </c>
      <c r="M78" s="97">
        <v>0</v>
      </c>
      <c r="N78" s="97">
        <v>0</v>
      </c>
      <c r="O78" s="97">
        <f t="shared" si="7"/>
        <v>6.0000000000000001E-3</v>
      </c>
    </row>
    <row r="79" spans="1:15" ht="12.75" customHeight="1" x14ac:dyDescent="0.2">
      <c r="C79" s="97"/>
      <c r="D79" s="97"/>
      <c r="E79" s="97"/>
      <c r="F79" s="97"/>
      <c r="G79" s="97"/>
      <c r="H79" s="97"/>
      <c r="I79" s="97"/>
      <c r="J79" s="97"/>
      <c r="K79" s="97"/>
      <c r="L79" s="97"/>
      <c r="M79" s="97"/>
      <c r="N79" s="97"/>
      <c r="O79" s="97"/>
    </row>
    <row r="80" spans="1:15" s="95" customFormat="1" ht="15" x14ac:dyDescent="0.25">
      <c r="A80" s="94" t="s">
        <v>75</v>
      </c>
      <c r="C80" s="96">
        <f>C81</f>
        <v>0.17</v>
      </c>
      <c r="D80" s="96">
        <f t="shared" ref="D80:O80" si="8">D81</f>
        <v>0.03</v>
      </c>
      <c r="E80" s="96">
        <f t="shared" si="8"/>
        <v>9.15</v>
      </c>
      <c r="F80" s="96">
        <f t="shared" si="8"/>
        <v>0</v>
      </c>
      <c r="G80" s="96">
        <f t="shared" si="8"/>
        <v>0.28999999999999998</v>
      </c>
      <c r="H80" s="96">
        <f t="shared" si="8"/>
        <v>0.27</v>
      </c>
      <c r="I80" s="96">
        <f t="shared" si="8"/>
        <v>0</v>
      </c>
      <c r="J80" s="96">
        <f t="shared" si="8"/>
        <v>5.9749999999999996</v>
      </c>
      <c r="K80" s="96">
        <f t="shared" si="8"/>
        <v>0</v>
      </c>
      <c r="L80" s="96">
        <f t="shared" si="8"/>
        <v>0</v>
      </c>
      <c r="M80" s="96">
        <f t="shared" si="8"/>
        <v>0</v>
      </c>
      <c r="N80" s="96">
        <f t="shared" si="8"/>
        <v>0</v>
      </c>
      <c r="O80" s="96">
        <f t="shared" si="8"/>
        <v>15.884999999999998</v>
      </c>
    </row>
    <row r="81" spans="1:15" x14ac:dyDescent="0.2">
      <c r="B81" s="90" t="s">
        <v>77</v>
      </c>
      <c r="C81" s="97">
        <v>0.17</v>
      </c>
      <c r="D81" s="97">
        <v>0.03</v>
      </c>
      <c r="E81" s="97">
        <v>9.15</v>
      </c>
      <c r="F81" s="97">
        <v>0</v>
      </c>
      <c r="G81" s="97">
        <v>0.28999999999999998</v>
      </c>
      <c r="H81" s="97">
        <v>0.27</v>
      </c>
      <c r="I81" s="97">
        <v>0</v>
      </c>
      <c r="J81" s="97">
        <v>5.9749999999999996</v>
      </c>
      <c r="K81" s="97">
        <v>0</v>
      </c>
      <c r="L81" s="97">
        <v>0</v>
      </c>
      <c r="M81" s="97">
        <v>0</v>
      </c>
      <c r="N81" s="97">
        <v>0</v>
      </c>
      <c r="O81" s="97">
        <f>SUM(C81:N81)</f>
        <v>15.884999999999998</v>
      </c>
    </row>
    <row r="82" spans="1:15" x14ac:dyDescent="0.2">
      <c r="C82" s="97"/>
      <c r="D82" s="97"/>
      <c r="E82" s="97"/>
      <c r="F82" s="97"/>
      <c r="G82" s="97"/>
      <c r="H82" s="97"/>
      <c r="I82" s="97"/>
      <c r="J82" s="97"/>
      <c r="K82" s="97"/>
      <c r="L82" s="97"/>
      <c r="M82" s="97"/>
      <c r="N82" s="97"/>
      <c r="O82" s="97"/>
    </row>
    <row r="83" spans="1:15" s="95" customFormat="1" ht="15" x14ac:dyDescent="0.25">
      <c r="A83" s="94" t="s">
        <v>759</v>
      </c>
      <c r="C83" s="96">
        <f>SUM(C84:C90)</f>
        <v>377.69</v>
      </c>
      <c r="D83" s="96">
        <f t="shared" ref="D83:O83" si="9">SUM(D84:D90)</f>
        <v>43.910000000000004</v>
      </c>
      <c r="E83" s="96">
        <f t="shared" si="9"/>
        <v>97.26</v>
      </c>
      <c r="F83" s="96">
        <f t="shared" si="9"/>
        <v>90.804000000000002</v>
      </c>
      <c r="G83" s="96">
        <f t="shared" si="9"/>
        <v>57.976000000000006</v>
      </c>
      <c r="H83" s="96">
        <f t="shared" si="9"/>
        <v>203.268</v>
      </c>
      <c r="I83" s="96">
        <f t="shared" si="9"/>
        <v>224.98099999999999</v>
      </c>
      <c r="J83" s="96">
        <f t="shared" si="9"/>
        <v>124.55199999999999</v>
      </c>
      <c r="K83" s="96">
        <f t="shared" si="9"/>
        <v>32.924999999999997</v>
      </c>
      <c r="L83" s="96">
        <f t="shared" si="9"/>
        <v>79.691999999999993</v>
      </c>
      <c r="M83" s="96">
        <f t="shared" si="9"/>
        <v>107.69300000000001</v>
      </c>
      <c r="N83" s="96">
        <f t="shared" si="9"/>
        <v>7.4150000000000009</v>
      </c>
      <c r="O83" s="96">
        <f t="shared" si="9"/>
        <v>1448.1659999999999</v>
      </c>
    </row>
    <row r="84" spans="1:15" x14ac:dyDescent="0.2">
      <c r="B84" s="90" t="s">
        <v>760</v>
      </c>
      <c r="C84" s="97">
        <v>143.99</v>
      </c>
      <c r="D84" s="97">
        <v>34.840000000000003</v>
      </c>
      <c r="E84" s="97">
        <v>75.97</v>
      </c>
      <c r="F84" s="97">
        <v>83.238</v>
      </c>
      <c r="G84" s="97">
        <v>41.698999999999998</v>
      </c>
      <c r="H84" s="97">
        <v>181.46899999999999</v>
      </c>
      <c r="I84" s="97">
        <v>173.44200000000001</v>
      </c>
      <c r="J84" s="97">
        <v>111.523</v>
      </c>
      <c r="K84" s="97">
        <v>27.248999999999999</v>
      </c>
      <c r="L84" s="97">
        <v>50.908999999999999</v>
      </c>
      <c r="M84" s="97">
        <v>79.332999999999998</v>
      </c>
      <c r="N84" s="97">
        <v>6.42</v>
      </c>
      <c r="O84" s="97">
        <f>SUM(C84:N84)</f>
        <v>1010.082</v>
      </c>
    </row>
    <row r="85" spans="1:15" x14ac:dyDescent="0.2">
      <c r="B85" s="90" t="s">
        <v>82</v>
      </c>
      <c r="C85" s="97">
        <v>13.24</v>
      </c>
      <c r="D85" s="97">
        <v>2.4900000000000002</v>
      </c>
      <c r="E85" s="97">
        <v>5.37</v>
      </c>
      <c r="F85" s="97">
        <v>2.7080000000000002</v>
      </c>
      <c r="G85" s="97">
        <v>10.361000000000001</v>
      </c>
      <c r="H85" s="97">
        <v>4.2619999999999996</v>
      </c>
      <c r="I85" s="97">
        <v>43.966999999999999</v>
      </c>
      <c r="J85" s="97">
        <v>9.4190000000000005</v>
      </c>
      <c r="K85" s="97">
        <v>1.7989999999999999</v>
      </c>
      <c r="L85" s="97">
        <v>21.82</v>
      </c>
      <c r="M85" s="97">
        <v>20.289000000000001</v>
      </c>
      <c r="N85" s="97">
        <v>0.42599999999999999</v>
      </c>
      <c r="O85" s="97">
        <f t="shared" ref="O85:O90" si="10">SUM(C85:N85)</f>
        <v>136.15100000000001</v>
      </c>
    </row>
    <row r="86" spans="1:15" x14ac:dyDescent="0.2">
      <c r="B86" s="90" t="s">
        <v>81</v>
      </c>
      <c r="C86" s="97">
        <v>0.13</v>
      </c>
      <c r="D86" s="97">
        <v>0.14000000000000001</v>
      </c>
      <c r="E86" s="97">
        <v>0.11</v>
      </c>
      <c r="F86" s="97">
        <v>3.4000000000000002E-2</v>
      </c>
      <c r="G86" s="97">
        <v>1.4E-2</v>
      </c>
      <c r="H86" s="97">
        <v>6.0000000000000001E-3</v>
      </c>
      <c r="I86" s="97">
        <v>3.5000000000000003E-2</v>
      </c>
      <c r="J86" s="97">
        <v>1.4999999999999999E-2</v>
      </c>
      <c r="K86" s="97">
        <v>2.4E-2</v>
      </c>
      <c r="L86" s="97">
        <v>1.7999999999999999E-2</v>
      </c>
      <c r="M86" s="97">
        <v>1.2E-2</v>
      </c>
      <c r="N86" s="97">
        <v>6.0000000000000001E-3</v>
      </c>
      <c r="O86" s="97">
        <f t="shared" si="10"/>
        <v>0.54400000000000015</v>
      </c>
    </row>
    <row r="87" spans="1:15" x14ac:dyDescent="0.2">
      <c r="B87" s="90" t="s">
        <v>83</v>
      </c>
      <c r="C87" s="97">
        <v>211.61</v>
      </c>
      <c r="D87" s="97">
        <v>0.18</v>
      </c>
      <c r="E87" s="97">
        <v>1.07</v>
      </c>
      <c r="F87" s="97">
        <v>6.0000000000000001E-3</v>
      </c>
      <c r="G87" s="97">
        <v>0.83499999999999996</v>
      </c>
      <c r="H87" s="97">
        <v>0.122</v>
      </c>
      <c r="I87" s="97">
        <v>0.214</v>
      </c>
      <c r="J87" s="97">
        <v>1.4E-2</v>
      </c>
      <c r="K87" s="97">
        <v>0</v>
      </c>
      <c r="L87" s="97">
        <v>8.8999999999999996E-2</v>
      </c>
      <c r="M87" s="97">
        <v>0.14699999999999999</v>
      </c>
      <c r="N87" s="97">
        <v>1E-3</v>
      </c>
      <c r="O87" s="97">
        <f t="shared" si="10"/>
        <v>214.28800000000004</v>
      </c>
    </row>
    <row r="88" spans="1:15" x14ac:dyDescent="0.2">
      <c r="B88" s="90" t="s">
        <v>84</v>
      </c>
      <c r="C88" s="97">
        <v>8.08</v>
      </c>
      <c r="D88" s="97">
        <v>6</v>
      </c>
      <c r="E88" s="97">
        <v>14.06</v>
      </c>
      <c r="F88" s="97">
        <v>4.7530000000000001</v>
      </c>
      <c r="G88" s="97">
        <v>4.2380000000000004</v>
      </c>
      <c r="H88" s="97">
        <v>17.071999999999999</v>
      </c>
      <c r="I88" s="97">
        <v>7.1079999999999997</v>
      </c>
      <c r="J88" s="97">
        <v>3.548</v>
      </c>
      <c r="K88" s="97">
        <v>3.8220000000000001</v>
      </c>
      <c r="L88" s="97">
        <v>6.5730000000000004</v>
      </c>
      <c r="M88" s="97">
        <v>6.2329999999999997</v>
      </c>
      <c r="N88" s="97">
        <v>0.55300000000000005</v>
      </c>
      <c r="O88" s="97">
        <f t="shared" si="10"/>
        <v>82.039999999999992</v>
      </c>
    </row>
    <row r="89" spans="1:15" x14ac:dyDescent="0.2">
      <c r="B89" s="90" t="s">
        <v>85</v>
      </c>
      <c r="C89" s="97">
        <v>0.62</v>
      </c>
      <c r="D89" s="97">
        <v>0.26</v>
      </c>
      <c r="E89" s="97">
        <v>0.68</v>
      </c>
      <c r="F89" s="97">
        <v>6.5000000000000002E-2</v>
      </c>
      <c r="G89" s="97">
        <v>0.82899999999999996</v>
      </c>
      <c r="H89" s="97">
        <v>0.29199999999999998</v>
      </c>
      <c r="I89" s="97">
        <v>0.215</v>
      </c>
      <c r="J89" s="97">
        <v>3.3000000000000002E-2</v>
      </c>
      <c r="K89" s="97">
        <v>3.1E-2</v>
      </c>
      <c r="L89" s="97">
        <v>0.182</v>
      </c>
      <c r="M89" s="97">
        <v>0.27600000000000002</v>
      </c>
      <c r="N89" s="97">
        <v>8.9999999999999993E-3</v>
      </c>
      <c r="O89" s="97">
        <f t="shared" si="10"/>
        <v>3.4919999999999995</v>
      </c>
    </row>
    <row r="90" spans="1:15" x14ac:dyDescent="0.2">
      <c r="B90" s="90" t="s">
        <v>87</v>
      </c>
      <c r="C90" s="97">
        <v>0.02</v>
      </c>
      <c r="D90" s="97">
        <v>0</v>
      </c>
      <c r="E90" s="97">
        <v>0</v>
      </c>
      <c r="F90" s="97">
        <v>0</v>
      </c>
      <c r="G90" s="97">
        <v>0</v>
      </c>
      <c r="H90" s="97">
        <v>4.4999999999999998E-2</v>
      </c>
      <c r="I90" s="97">
        <v>0</v>
      </c>
      <c r="J90" s="97">
        <v>0</v>
      </c>
      <c r="K90" s="97">
        <v>0</v>
      </c>
      <c r="L90" s="97">
        <v>0.10100000000000001</v>
      </c>
      <c r="M90" s="97">
        <v>1.403</v>
      </c>
      <c r="N90" s="97">
        <v>0</v>
      </c>
      <c r="O90" s="97">
        <f t="shared" si="10"/>
        <v>1.569</v>
      </c>
    </row>
    <row r="91" spans="1:15" ht="12.75" customHeight="1" x14ac:dyDescent="0.2">
      <c r="C91" s="97"/>
      <c r="D91" s="97"/>
      <c r="E91" s="97"/>
      <c r="F91" s="97"/>
      <c r="G91" s="97"/>
      <c r="H91" s="97"/>
      <c r="I91" s="97"/>
      <c r="J91" s="97"/>
      <c r="K91" s="97"/>
      <c r="L91" s="97"/>
      <c r="M91" s="97"/>
      <c r="N91" s="97"/>
      <c r="O91" s="97"/>
    </row>
    <row r="92" spans="1:15" s="95" customFormat="1" ht="15" x14ac:dyDescent="0.25">
      <c r="A92" s="94" t="s">
        <v>88</v>
      </c>
      <c r="C92" s="96">
        <f>SUM(C93:C110)</f>
        <v>26.68</v>
      </c>
      <c r="D92" s="96">
        <f t="shared" ref="D92:O92" si="11">SUM(D93:D110)</f>
        <v>3.0599999999999996</v>
      </c>
      <c r="E92" s="96">
        <f t="shared" si="11"/>
        <v>4.78</v>
      </c>
      <c r="F92" s="96">
        <f t="shared" si="11"/>
        <v>4.4649999999999999</v>
      </c>
      <c r="G92" s="96">
        <f t="shared" si="11"/>
        <v>5.2409999999999997</v>
      </c>
      <c r="H92" s="96">
        <f t="shared" si="11"/>
        <v>0.23900000000000002</v>
      </c>
      <c r="I92" s="96">
        <f t="shared" si="11"/>
        <v>11.587</v>
      </c>
      <c r="J92" s="96">
        <f t="shared" si="11"/>
        <v>0.252</v>
      </c>
      <c r="K92" s="96">
        <f t="shared" si="11"/>
        <v>0.70000000000000007</v>
      </c>
      <c r="L92" s="96">
        <f t="shared" si="11"/>
        <v>3.0189999999999997</v>
      </c>
      <c r="M92" s="96">
        <f t="shared" si="11"/>
        <v>6.7569999999999997</v>
      </c>
      <c r="N92" s="96">
        <f t="shared" si="11"/>
        <v>3.9E-2</v>
      </c>
      <c r="O92" s="96">
        <f t="shared" si="11"/>
        <v>66.818999999999988</v>
      </c>
    </row>
    <row r="93" spans="1:15" x14ac:dyDescent="0.2">
      <c r="B93" s="105" t="s">
        <v>686</v>
      </c>
      <c r="C93" s="97">
        <v>0</v>
      </c>
      <c r="D93" s="97">
        <v>0</v>
      </c>
      <c r="E93" s="97">
        <v>0.01</v>
      </c>
      <c r="F93" s="97">
        <v>2.1000000000000001E-2</v>
      </c>
      <c r="G93" s="97">
        <v>0</v>
      </c>
      <c r="H93" s="97">
        <v>8.0000000000000002E-3</v>
      </c>
      <c r="I93" s="97">
        <v>7.0000000000000001E-3</v>
      </c>
      <c r="J93" s="97">
        <v>1.2999999999999999E-2</v>
      </c>
      <c r="K93" s="97">
        <v>6.0000000000000001E-3</v>
      </c>
      <c r="L93" s="97">
        <v>3.1E-2</v>
      </c>
      <c r="M93" s="97">
        <v>2E-3</v>
      </c>
      <c r="N93" s="97">
        <v>0</v>
      </c>
      <c r="O93" s="97">
        <f t="shared" ref="O93:O110" si="12">SUM(C93:N93)</f>
        <v>9.8000000000000004E-2</v>
      </c>
    </row>
    <row r="94" spans="1:15" x14ac:dyDescent="0.2">
      <c r="B94" s="105" t="s">
        <v>89</v>
      </c>
      <c r="C94" s="97">
        <v>0.01</v>
      </c>
      <c r="D94" s="97">
        <v>0</v>
      </c>
      <c r="E94" s="97">
        <v>0.01</v>
      </c>
      <c r="F94" s="97">
        <v>0</v>
      </c>
      <c r="G94" s="97">
        <v>0</v>
      </c>
      <c r="H94" s="97">
        <v>1.4999999999999999E-2</v>
      </c>
      <c r="I94" s="97">
        <v>4.2000000000000003E-2</v>
      </c>
      <c r="J94" s="97">
        <v>0</v>
      </c>
      <c r="K94" s="97">
        <v>0</v>
      </c>
      <c r="L94" s="97">
        <v>0</v>
      </c>
      <c r="M94" s="97">
        <v>3.0000000000000001E-3</v>
      </c>
      <c r="N94" s="97">
        <v>0</v>
      </c>
      <c r="O94" s="97">
        <f t="shared" si="12"/>
        <v>8.0000000000000016E-2</v>
      </c>
    </row>
    <row r="95" spans="1:15" x14ac:dyDescent="0.2">
      <c r="B95" s="105" t="s">
        <v>90</v>
      </c>
      <c r="C95" s="97">
        <v>0.11</v>
      </c>
      <c r="D95" s="97">
        <v>0</v>
      </c>
      <c r="E95" s="97">
        <v>0.18</v>
      </c>
      <c r="F95" s="97">
        <v>0</v>
      </c>
      <c r="G95" s="97">
        <v>0</v>
      </c>
      <c r="H95" s="97">
        <v>0</v>
      </c>
      <c r="I95" s="97">
        <v>5.0000000000000001E-3</v>
      </c>
      <c r="J95" s="97">
        <v>0</v>
      </c>
      <c r="K95" s="97">
        <v>0</v>
      </c>
      <c r="L95" s="97">
        <v>2.069</v>
      </c>
      <c r="M95" s="97">
        <v>0</v>
      </c>
      <c r="N95" s="97">
        <v>0</v>
      </c>
      <c r="O95" s="97">
        <f t="shared" si="12"/>
        <v>2.3639999999999999</v>
      </c>
    </row>
    <row r="96" spans="1:15" x14ac:dyDescent="0.2">
      <c r="B96" s="105" t="s">
        <v>666</v>
      </c>
      <c r="C96" s="97">
        <v>0.01</v>
      </c>
      <c r="D96" s="97">
        <v>0</v>
      </c>
      <c r="E96" s="97">
        <v>0</v>
      </c>
      <c r="F96" s="97">
        <v>0</v>
      </c>
      <c r="G96" s="97">
        <v>0</v>
      </c>
      <c r="H96" s="97">
        <v>0</v>
      </c>
      <c r="I96" s="97">
        <v>0</v>
      </c>
      <c r="J96" s="97">
        <v>0</v>
      </c>
      <c r="K96" s="97">
        <v>0</v>
      </c>
      <c r="L96" s="97">
        <v>0</v>
      </c>
      <c r="M96" s="97">
        <v>0</v>
      </c>
      <c r="N96" s="97">
        <v>0</v>
      </c>
      <c r="O96" s="97">
        <f t="shared" si="12"/>
        <v>0.01</v>
      </c>
    </row>
    <row r="97" spans="1:15" x14ac:dyDescent="0.2">
      <c r="B97" s="105" t="s">
        <v>696</v>
      </c>
      <c r="C97" s="97">
        <v>0.04</v>
      </c>
      <c r="D97" s="97">
        <v>0.03</v>
      </c>
      <c r="E97" s="97">
        <v>0.01</v>
      </c>
      <c r="F97" s="97">
        <v>0</v>
      </c>
      <c r="G97" s="97">
        <v>4.7E-2</v>
      </c>
      <c r="H97" s="97">
        <v>0.01</v>
      </c>
      <c r="I97" s="97">
        <v>0</v>
      </c>
      <c r="J97" s="97">
        <v>0</v>
      </c>
      <c r="K97" s="97">
        <v>0</v>
      </c>
      <c r="L97" s="97">
        <v>0</v>
      </c>
      <c r="M97" s="97">
        <v>8.9999999999999993E-3</v>
      </c>
      <c r="N97" s="97">
        <v>0</v>
      </c>
      <c r="O97" s="97">
        <f t="shared" si="12"/>
        <v>0.14600000000000002</v>
      </c>
    </row>
    <row r="98" spans="1:15" x14ac:dyDescent="0.2">
      <c r="B98" s="105" t="s">
        <v>697</v>
      </c>
      <c r="C98" s="97">
        <v>0.21</v>
      </c>
      <c r="D98" s="97">
        <v>0.3</v>
      </c>
      <c r="E98" s="97">
        <v>0.05</v>
      </c>
      <c r="F98" s="97">
        <v>1.9E-2</v>
      </c>
      <c r="G98" s="97">
        <v>1.2E-2</v>
      </c>
      <c r="H98" s="97">
        <v>0</v>
      </c>
      <c r="I98" s="97">
        <v>0.61499999999999999</v>
      </c>
      <c r="J98" s="97">
        <v>0.114</v>
      </c>
      <c r="K98" s="97">
        <v>0.44900000000000001</v>
      </c>
      <c r="L98" s="97">
        <v>0.10199999999999999</v>
      </c>
      <c r="M98" s="97">
        <v>0.05</v>
      </c>
      <c r="N98" s="97">
        <v>0</v>
      </c>
      <c r="O98" s="97">
        <f t="shared" si="12"/>
        <v>1.9210000000000003</v>
      </c>
    </row>
    <row r="99" spans="1:15" x14ac:dyDescent="0.2">
      <c r="B99" s="105" t="s">
        <v>679</v>
      </c>
      <c r="C99" s="97">
        <v>2.78</v>
      </c>
      <c r="D99" s="97">
        <v>0</v>
      </c>
      <c r="E99" s="97">
        <v>0.09</v>
      </c>
      <c r="F99" s="97">
        <v>0</v>
      </c>
      <c r="G99" s="97">
        <v>0.27600000000000002</v>
      </c>
      <c r="H99" s="97">
        <v>0</v>
      </c>
      <c r="I99" s="97">
        <v>0</v>
      </c>
      <c r="J99" s="97">
        <v>0</v>
      </c>
      <c r="K99" s="97">
        <v>0</v>
      </c>
      <c r="L99" s="97">
        <v>0.11700000000000001</v>
      </c>
      <c r="M99" s="97">
        <v>0</v>
      </c>
      <c r="N99" s="97">
        <v>0</v>
      </c>
      <c r="O99" s="97">
        <f t="shared" si="12"/>
        <v>3.2629999999999999</v>
      </c>
    </row>
    <row r="100" spans="1:15" x14ac:dyDescent="0.2">
      <c r="B100" s="105" t="s">
        <v>701</v>
      </c>
      <c r="C100" s="97">
        <v>0.02</v>
      </c>
      <c r="D100" s="97">
        <v>0.06</v>
      </c>
      <c r="E100" s="97">
        <v>0</v>
      </c>
      <c r="F100" s="97">
        <v>0</v>
      </c>
      <c r="G100" s="97">
        <v>2.3E-2</v>
      </c>
      <c r="H100" s="97">
        <v>0</v>
      </c>
      <c r="I100" s="97">
        <v>0</v>
      </c>
      <c r="J100" s="97">
        <v>0</v>
      </c>
      <c r="K100" s="97">
        <v>1.2E-2</v>
      </c>
      <c r="L100" s="97">
        <v>0</v>
      </c>
      <c r="M100" s="97">
        <v>0</v>
      </c>
      <c r="N100" s="97">
        <v>0</v>
      </c>
      <c r="O100" s="97">
        <f t="shared" si="12"/>
        <v>0.115</v>
      </c>
    </row>
    <row r="101" spans="1:15" x14ac:dyDescent="0.2">
      <c r="B101" s="105" t="s">
        <v>680</v>
      </c>
      <c r="C101" s="97">
        <v>0</v>
      </c>
      <c r="D101" s="97">
        <v>0.05</v>
      </c>
      <c r="E101" s="97">
        <v>0.03</v>
      </c>
      <c r="F101" s="97">
        <v>1.6E-2</v>
      </c>
      <c r="G101" s="97">
        <v>1.6E-2</v>
      </c>
      <c r="H101" s="97">
        <v>0.01</v>
      </c>
      <c r="I101" s="97">
        <v>3.2000000000000001E-2</v>
      </c>
      <c r="J101" s="97">
        <v>0</v>
      </c>
      <c r="K101" s="97">
        <v>6.0000000000000001E-3</v>
      </c>
      <c r="L101" s="97">
        <v>0.02</v>
      </c>
      <c r="M101" s="97">
        <v>0</v>
      </c>
      <c r="N101" s="97">
        <v>0</v>
      </c>
      <c r="O101" s="97">
        <f t="shared" si="12"/>
        <v>0.18</v>
      </c>
    </row>
    <row r="102" spans="1:15" x14ac:dyDescent="0.2">
      <c r="B102" s="105" t="s">
        <v>698</v>
      </c>
      <c r="C102" s="97">
        <v>0</v>
      </c>
      <c r="D102" s="97">
        <v>0</v>
      </c>
      <c r="E102" s="97">
        <v>0</v>
      </c>
      <c r="F102" s="97">
        <v>0</v>
      </c>
      <c r="G102" s="97">
        <v>0.03</v>
      </c>
      <c r="H102" s="97">
        <v>0</v>
      </c>
      <c r="I102" s="97">
        <v>0</v>
      </c>
      <c r="J102" s="97">
        <v>0</v>
      </c>
      <c r="K102" s="97">
        <v>0</v>
      </c>
      <c r="L102" s="97">
        <v>6.0000000000000001E-3</v>
      </c>
      <c r="M102" s="97">
        <v>0</v>
      </c>
      <c r="N102" s="97">
        <v>0</v>
      </c>
      <c r="O102" s="97">
        <f t="shared" si="12"/>
        <v>3.5999999999999997E-2</v>
      </c>
    </row>
    <row r="103" spans="1:15" x14ac:dyDescent="0.2">
      <c r="B103" s="105" t="s">
        <v>699</v>
      </c>
      <c r="C103" s="97">
        <v>0</v>
      </c>
      <c r="D103" s="97">
        <v>0</v>
      </c>
      <c r="E103" s="97">
        <v>0</v>
      </c>
      <c r="F103" s="97">
        <v>1.7999999999999999E-2</v>
      </c>
      <c r="G103" s="97">
        <v>0</v>
      </c>
      <c r="H103" s="97">
        <v>0</v>
      </c>
      <c r="I103" s="97">
        <v>1.7789999999999999</v>
      </c>
      <c r="J103" s="97">
        <v>6.0000000000000001E-3</v>
      </c>
      <c r="K103" s="97">
        <v>0</v>
      </c>
      <c r="L103" s="97">
        <v>0</v>
      </c>
      <c r="M103" s="97">
        <v>3.714</v>
      </c>
      <c r="N103" s="97">
        <v>0</v>
      </c>
      <c r="O103" s="97">
        <f t="shared" si="12"/>
        <v>5.5169999999999995</v>
      </c>
    </row>
    <row r="104" spans="1:15" x14ac:dyDescent="0.2">
      <c r="B104" s="105" t="s">
        <v>682</v>
      </c>
      <c r="C104" s="97">
        <v>11.6</v>
      </c>
      <c r="D104" s="97">
        <v>0</v>
      </c>
      <c r="E104" s="97">
        <v>0</v>
      </c>
      <c r="F104" s="97">
        <v>0</v>
      </c>
      <c r="G104" s="97">
        <v>0</v>
      </c>
      <c r="H104" s="97">
        <v>0</v>
      </c>
      <c r="I104" s="97">
        <v>0</v>
      </c>
      <c r="J104" s="97">
        <v>8.0000000000000002E-3</v>
      </c>
      <c r="K104" s="97">
        <v>0</v>
      </c>
      <c r="L104" s="97">
        <v>0</v>
      </c>
      <c r="M104" s="97">
        <v>6.0000000000000001E-3</v>
      </c>
      <c r="N104" s="97">
        <v>0</v>
      </c>
      <c r="O104" s="97">
        <f t="shared" si="12"/>
        <v>11.613999999999999</v>
      </c>
    </row>
    <row r="105" spans="1:15" x14ac:dyDescent="0.2">
      <c r="B105" s="105" t="s">
        <v>700</v>
      </c>
      <c r="C105" s="97">
        <v>0.01</v>
      </c>
      <c r="D105" s="97">
        <v>0</v>
      </c>
      <c r="E105" s="97">
        <v>0</v>
      </c>
      <c r="F105" s="97">
        <v>0</v>
      </c>
      <c r="G105" s="97">
        <v>5.0000000000000001E-3</v>
      </c>
      <c r="H105" s="97">
        <v>2.5000000000000001E-2</v>
      </c>
      <c r="I105" s="97">
        <v>0</v>
      </c>
      <c r="J105" s="97">
        <v>0</v>
      </c>
      <c r="K105" s="97">
        <v>0</v>
      </c>
      <c r="L105" s="97">
        <v>0</v>
      </c>
      <c r="M105" s="97">
        <v>0</v>
      </c>
      <c r="N105" s="97">
        <v>0</v>
      </c>
      <c r="O105" s="97">
        <f t="shared" si="12"/>
        <v>0.04</v>
      </c>
    </row>
    <row r="106" spans="1:15" x14ac:dyDescent="0.2">
      <c r="B106" s="105" t="s">
        <v>683</v>
      </c>
      <c r="C106" s="97">
        <v>0</v>
      </c>
      <c r="D106" s="97">
        <v>0</v>
      </c>
      <c r="E106" s="97">
        <v>0.04</v>
      </c>
      <c r="F106" s="97">
        <v>3.3000000000000002E-2</v>
      </c>
      <c r="G106" s="97">
        <v>0.123</v>
      </c>
      <c r="H106" s="97">
        <v>0</v>
      </c>
      <c r="I106" s="97">
        <v>0</v>
      </c>
      <c r="J106" s="97">
        <v>0</v>
      </c>
      <c r="K106" s="97">
        <v>0</v>
      </c>
      <c r="L106" s="97">
        <v>1.0999999999999999E-2</v>
      </c>
      <c r="M106" s="97">
        <v>3.9E-2</v>
      </c>
      <c r="N106" s="97">
        <v>2E-3</v>
      </c>
      <c r="O106" s="97">
        <f t="shared" si="12"/>
        <v>0.24800000000000003</v>
      </c>
    </row>
    <row r="107" spans="1:15" x14ac:dyDescent="0.2">
      <c r="B107" s="105" t="s">
        <v>736</v>
      </c>
      <c r="C107" s="97">
        <v>0</v>
      </c>
      <c r="D107" s="97">
        <v>0.01</v>
      </c>
      <c r="E107" s="97">
        <v>0</v>
      </c>
      <c r="F107" s="97">
        <v>0</v>
      </c>
      <c r="G107" s="97">
        <v>0</v>
      </c>
      <c r="H107" s="97">
        <v>0</v>
      </c>
      <c r="I107" s="97">
        <v>0</v>
      </c>
      <c r="J107" s="97">
        <v>0</v>
      </c>
      <c r="K107" s="97">
        <v>0</v>
      </c>
      <c r="L107" s="97">
        <v>0</v>
      </c>
      <c r="M107" s="97">
        <v>0</v>
      </c>
      <c r="N107" s="97">
        <v>0</v>
      </c>
      <c r="O107" s="97">
        <f t="shared" si="12"/>
        <v>0.01</v>
      </c>
    </row>
    <row r="108" spans="1:15" x14ac:dyDescent="0.2">
      <c r="B108" s="105" t="s">
        <v>684</v>
      </c>
      <c r="C108" s="97">
        <v>0.11</v>
      </c>
      <c r="D108" s="97">
        <v>0.27</v>
      </c>
      <c r="E108" s="97">
        <v>0.11</v>
      </c>
      <c r="F108" s="97">
        <v>0.10100000000000001</v>
      </c>
      <c r="G108" s="97">
        <v>6.5000000000000002E-2</v>
      </c>
      <c r="H108" s="97">
        <v>6.0000000000000001E-3</v>
      </c>
      <c r="I108" s="97">
        <v>0.29199999999999998</v>
      </c>
      <c r="J108" s="97">
        <v>2.1999999999999999E-2</v>
      </c>
      <c r="K108" s="97">
        <v>0.10100000000000001</v>
      </c>
      <c r="L108" s="97">
        <v>4.4999999999999998E-2</v>
      </c>
      <c r="M108" s="97">
        <v>0</v>
      </c>
      <c r="N108" s="97">
        <v>0</v>
      </c>
      <c r="O108" s="97">
        <f t="shared" si="12"/>
        <v>1.1219999999999999</v>
      </c>
    </row>
    <row r="109" spans="1:15" x14ac:dyDescent="0.2">
      <c r="B109" s="105" t="s">
        <v>685</v>
      </c>
      <c r="C109" s="97">
        <v>0.02</v>
      </c>
      <c r="D109" s="97">
        <v>0</v>
      </c>
      <c r="E109" s="97">
        <v>0.05</v>
      </c>
      <c r="F109" s="97">
        <v>0</v>
      </c>
      <c r="G109" s="97">
        <v>1.8140000000000001</v>
      </c>
      <c r="H109" s="97">
        <v>0</v>
      </c>
      <c r="I109" s="97">
        <v>0</v>
      </c>
      <c r="J109" s="97">
        <v>0</v>
      </c>
      <c r="K109" s="97">
        <v>0</v>
      </c>
      <c r="L109" s="97">
        <v>0</v>
      </c>
      <c r="M109" s="97">
        <v>0</v>
      </c>
      <c r="N109" s="97">
        <v>0</v>
      </c>
      <c r="O109" s="97">
        <f t="shared" si="12"/>
        <v>1.8840000000000001</v>
      </c>
    </row>
    <row r="110" spans="1:15" x14ac:dyDescent="0.2">
      <c r="B110" s="105" t="s">
        <v>91</v>
      </c>
      <c r="C110" s="97">
        <v>11.76</v>
      </c>
      <c r="D110" s="97">
        <v>2.34</v>
      </c>
      <c r="E110" s="97">
        <v>4.2</v>
      </c>
      <c r="F110" s="97">
        <v>4.2569999999999997</v>
      </c>
      <c r="G110" s="97">
        <v>2.83</v>
      </c>
      <c r="H110" s="97">
        <v>0.16500000000000001</v>
      </c>
      <c r="I110" s="97">
        <v>8.8149999999999995</v>
      </c>
      <c r="J110" s="97">
        <v>8.8999999999999996E-2</v>
      </c>
      <c r="K110" s="97">
        <v>0.126</v>
      </c>
      <c r="L110" s="97">
        <v>0.61799999999999999</v>
      </c>
      <c r="M110" s="97">
        <v>2.9340000000000002</v>
      </c>
      <c r="N110" s="97">
        <v>3.6999999999999998E-2</v>
      </c>
      <c r="O110" s="97">
        <f t="shared" si="12"/>
        <v>38.170999999999992</v>
      </c>
    </row>
    <row r="111" spans="1:15" ht="12.75" customHeight="1" x14ac:dyDescent="0.2">
      <c r="C111" s="97"/>
      <c r="D111" s="97"/>
      <c r="E111" s="97"/>
      <c r="F111" s="97"/>
      <c r="G111" s="97"/>
      <c r="H111" s="97"/>
      <c r="I111" s="97"/>
      <c r="J111" s="97"/>
      <c r="K111" s="97"/>
      <c r="L111" s="97"/>
      <c r="M111" s="97"/>
      <c r="N111" s="97"/>
      <c r="O111" s="97"/>
    </row>
    <row r="112" spans="1:15" s="95" customFormat="1" ht="15" x14ac:dyDescent="0.25">
      <c r="A112" s="94" t="s">
        <v>92</v>
      </c>
      <c r="C112" s="96">
        <f>SUM(C113:C115)</f>
        <v>201.37</v>
      </c>
      <c r="D112" s="96">
        <f t="shared" ref="D112:O112" si="13">SUM(D113:D115)</f>
        <v>103.45</v>
      </c>
      <c r="E112" s="96">
        <f t="shared" si="13"/>
        <v>149.41</v>
      </c>
      <c r="F112" s="96">
        <f t="shared" si="13"/>
        <v>7.4989999999999997</v>
      </c>
      <c r="G112" s="96">
        <f t="shared" si="13"/>
        <v>150.124</v>
      </c>
      <c r="H112" s="96">
        <f t="shared" si="13"/>
        <v>190.392</v>
      </c>
      <c r="I112" s="96">
        <f t="shared" si="13"/>
        <v>188.821</v>
      </c>
      <c r="J112" s="96">
        <f t="shared" si="13"/>
        <v>9.3719999999999999</v>
      </c>
      <c r="K112" s="96">
        <f t="shared" si="13"/>
        <v>20.643999999999998</v>
      </c>
      <c r="L112" s="96">
        <f t="shared" si="13"/>
        <v>149.77599999999998</v>
      </c>
      <c r="M112" s="96">
        <f t="shared" si="13"/>
        <v>121.20699999999999</v>
      </c>
      <c r="N112" s="96">
        <f t="shared" si="13"/>
        <v>3.7570000000000001</v>
      </c>
      <c r="O112" s="96">
        <f t="shared" si="13"/>
        <v>1295.8220000000001</v>
      </c>
    </row>
    <row r="113" spans="1:15" x14ac:dyDescent="0.2">
      <c r="B113" s="90" t="s">
        <v>94</v>
      </c>
      <c r="C113" s="97">
        <v>1.1299999999999999</v>
      </c>
      <c r="D113" s="97">
        <v>0.67</v>
      </c>
      <c r="E113" s="97">
        <v>2.23</v>
      </c>
      <c r="F113" s="97">
        <v>0</v>
      </c>
      <c r="G113" s="97">
        <v>0.746</v>
      </c>
      <c r="H113" s="97">
        <v>0.94799999999999995</v>
      </c>
      <c r="I113" s="97">
        <v>0.623</v>
      </c>
      <c r="J113" s="97">
        <v>0</v>
      </c>
      <c r="K113" s="97">
        <v>0</v>
      </c>
      <c r="L113" s="97">
        <v>0.98</v>
      </c>
      <c r="M113" s="97">
        <v>0.60099999999999998</v>
      </c>
      <c r="N113" s="97">
        <v>0</v>
      </c>
      <c r="O113" s="97">
        <f>SUM(C113:N113)</f>
        <v>7.9279999999999999</v>
      </c>
    </row>
    <row r="114" spans="1:15" x14ac:dyDescent="0.2">
      <c r="B114" s="90" t="s">
        <v>761</v>
      </c>
      <c r="C114" s="97">
        <v>200.24</v>
      </c>
      <c r="D114" s="97">
        <v>102.78</v>
      </c>
      <c r="E114" s="97">
        <v>147.18</v>
      </c>
      <c r="F114" s="97">
        <v>7.4989999999999997</v>
      </c>
      <c r="G114" s="97">
        <v>149.37799999999999</v>
      </c>
      <c r="H114" s="97">
        <v>189.44399999999999</v>
      </c>
      <c r="I114" s="97">
        <v>188.19300000000001</v>
      </c>
      <c r="J114" s="97">
        <v>9.3719999999999999</v>
      </c>
      <c r="K114" s="97">
        <v>20.643999999999998</v>
      </c>
      <c r="L114" s="97">
        <v>148.79599999999999</v>
      </c>
      <c r="M114" s="97">
        <v>120.60599999999999</v>
      </c>
      <c r="N114" s="97">
        <v>3.7570000000000001</v>
      </c>
      <c r="O114" s="97">
        <f>SUM(C114:N114)</f>
        <v>1287.8889999999999</v>
      </c>
    </row>
    <row r="115" spans="1:15" x14ac:dyDescent="0.2">
      <c r="B115" s="90" t="s">
        <v>491</v>
      </c>
      <c r="C115" s="97">
        <v>0</v>
      </c>
      <c r="D115" s="97">
        <v>0</v>
      </c>
      <c r="E115" s="97">
        <v>0</v>
      </c>
      <c r="F115" s="97">
        <v>0</v>
      </c>
      <c r="G115" s="97">
        <v>0</v>
      </c>
      <c r="H115" s="97">
        <v>0</v>
      </c>
      <c r="I115" s="97">
        <v>5.0000000000000001E-3</v>
      </c>
      <c r="J115" s="97">
        <v>0</v>
      </c>
      <c r="K115" s="97">
        <v>0</v>
      </c>
      <c r="L115" s="97">
        <v>0</v>
      </c>
      <c r="M115" s="97">
        <v>0</v>
      </c>
      <c r="N115" s="97">
        <v>0</v>
      </c>
      <c r="O115" s="97">
        <f>SUM(C115:N115)</f>
        <v>5.0000000000000001E-3</v>
      </c>
    </row>
    <row r="116" spans="1:15" ht="12.75" customHeight="1" x14ac:dyDescent="0.2">
      <c r="C116" s="97"/>
      <c r="D116" s="97"/>
      <c r="E116" s="97"/>
      <c r="F116" s="97"/>
      <c r="G116" s="97"/>
      <c r="H116" s="97"/>
      <c r="I116" s="97"/>
      <c r="J116" s="97"/>
      <c r="K116" s="97"/>
      <c r="L116" s="97"/>
      <c r="M116" s="97"/>
      <c r="N116" s="97"/>
      <c r="O116" s="97"/>
    </row>
    <row r="117" spans="1:15" s="95" customFormat="1" ht="15" x14ac:dyDescent="0.25">
      <c r="A117" s="94" t="s">
        <v>96</v>
      </c>
      <c r="C117" s="96">
        <f>SUM(C118:C121)</f>
        <v>72.97</v>
      </c>
      <c r="D117" s="96">
        <f t="shared" ref="D117:O117" si="14">SUM(D118:D121)</f>
        <v>24.689999999999998</v>
      </c>
      <c r="E117" s="96">
        <f t="shared" si="14"/>
        <v>14.03</v>
      </c>
      <c r="F117" s="96">
        <f t="shared" si="14"/>
        <v>14.321</v>
      </c>
      <c r="G117" s="96">
        <f t="shared" si="14"/>
        <v>7.2639999999999993</v>
      </c>
      <c r="H117" s="96">
        <f t="shared" si="14"/>
        <v>17.541999999999998</v>
      </c>
      <c r="I117" s="96">
        <f t="shared" si="14"/>
        <v>25.073</v>
      </c>
      <c r="J117" s="96">
        <f t="shared" si="14"/>
        <v>13.851999999999999</v>
      </c>
      <c r="K117" s="96">
        <f t="shared" si="14"/>
        <v>65.742000000000004</v>
      </c>
      <c r="L117" s="96">
        <f t="shared" si="14"/>
        <v>17.776</v>
      </c>
      <c r="M117" s="96">
        <f t="shared" si="14"/>
        <v>17.963000000000001</v>
      </c>
      <c r="N117" s="96">
        <f t="shared" si="14"/>
        <v>9.74</v>
      </c>
      <c r="O117" s="96">
        <f t="shared" si="14"/>
        <v>300.96299999999997</v>
      </c>
    </row>
    <row r="118" spans="1:15" x14ac:dyDescent="0.2">
      <c r="B118" s="90" t="s">
        <v>98</v>
      </c>
      <c r="C118" s="97">
        <v>30.03</v>
      </c>
      <c r="D118" s="97">
        <v>0</v>
      </c>
      <c r="E118" s="97">
        <v>0.01</v>
      </c>
      <c r="F118" s="97">
        <v>0</v>
      </c>
      <c r="G118" s="97">
        <v>0.29399999999999998</v>
      </c>
      <c r="H118" s="97">
        <v>7.0000000000000007E-2</v>
      </c>
      <c r="I118" s="97">
        <v>0</v>
      </c>
      <c r="J118" s="97">
        <v>0</v>
      </c>
      <c r="K118" s="97">
        <v>0</v>
      </c>
      <c r="L118" s="97">
        <v>0</v>
      </c>
      <c r="M118" s="97">
        <v>4.1000000000000002E-2</v>
      </c>
      <c r="N118" s="97">
        <v>0</v>
      </c>
      <c r="O118" s="97">
        <f>SUM(C118:N118)</f>
        <v>30.445000000000004</v>
      </c>
    </row>
    <row r="119" spans="1:15" x14ac:dyDescent="0.2">
      <c r="B119" s="90" t="s">
        <v>737</v>
      </c>
      <c r="C119" s="97">
        <v>6.22</v>
      </c>
      <c r="D119" s="97">
        <v>1.42</v>
      </c>
      <c r="E119" s="97">
        <v>0.68</v>
      </c>
      <c r="F119" s="97">
        <v>0.13800000000000001</v>
      </c>
      <c r="G119" s="97">
        <v>0.17799999999999999</v>
      </c>
      <c r="H119" s="97">
        <v>0.252</v>
      </c>
      <c r="I119" s="97">
        <v>0.29099999999999998</v>
      </c>
      <c r="J119" s="97">
        <v>7.1999999999999995E-2</v>
      </c>
      <c r="K119" s="97">
        <v>5.6000000000000001E-2</v>
      </c>
      <c r="L119" s="97">
        <v>0.13</v>
      </c>
      <c r="M119" s="97">
        <v>0.129</v>
      </c>
      <c r="N119" s="97">
        <v>1.6E-2</v>
      </c>
      <c r="O119" s="97">
        <f t="shared" ref="O119:O121" si="15">SUM(C119:N119)</f>
        <v>9.5820000000000007</v>
      </c>
    </row>
    <row r="120" spans="1:15" x14ac:dyDescent="0.2">
      <c r="B120" s="90" t="s">
        <v>97</v>
      </c>
      <c r="C120" s="97">
        <v>36.72</v>
      </c>
      <c r="D120" s="97">
        <v>23.27</v>
      </c>
      <c r="E120" s="97">
        <v>13.34</v>
      </c>
      <c r="F120" s="97">
        <v>14.183</v>
      </c>
      <c r="G120" s="97">
        <v>6.7919999999999998</v>
      </c>
      <c r="H120" s="97">
        <v>17.22</v>
      </c>
      <c r="I120" s="97">
        <v>24.782</v>
      </c>
      <c r="J120" s="97">
        <v>13.773999999999999</v>
      </c>
      <c r="K120" s="97">
        <v>65.686000000000007</v>
      </c>
      <c r="L120" s="97">
        <v>17.646000000000001</v>
      </c>
      <c r="M120" s="97">
        <v>17.792999999999999</v>
      </c>
      <c r="N120" s="97">
        <v>9.7240000000000002</v>
      </c>
      <c r="O120" s="97">
        <f t="shared" si="15"/>
        <v>260.93</v>
      </c>
    </row>
    <row r="121" spans="1:15" x14ac:dyDescent="0.2">
      <c r="B121" s="90" t="s">
        <v>738</v>
      </c>
      <c r="C121" s="97">
        <v>0</v>
      </c>
      <c r="D121" s="97">
        <v>0</v>
      </c>
      <c r="E121" s="97">
        <v>0</v>
      </c>
      <c r="F121" s="97">
        <v>0</v>
      </c>
      <c r="G121" s="97">
        <v>0</v>
      </c>
      <c r="H121" s="97">
        <v>0</v>
      </c>
      <c r="I121" s="97">
        <v>0</v>
      </c>
      <c r="J121" s="97">
        <v>6.0000000000000001E-3</v>
      </c>
      <c r="K121" s="97">
        <v>0</v>
      </c>
      <c r="L121" s="97">
        <v>0</v>
      </c>
      <c r="M121" s="97">
        <v>0</v>
      </c>
      <c r="N121" s="97">
        <v>0</v>
      </c>
      <c r="O121" s="97">
        <f t="shared" si="15"/>
        <v>6.0000000000000001E-3</v>
      </c>
    </row>
    <row r="122" spans="1:15" ht="12.75" customHeight="1" x14ac:dyDescent="0.2">
      <c r="C122" s="97"/>
      <c r="D122" s="97"/>
      <c r="E122" s="97"/>
      <c r="F122" s="97"/>
      <c r="G122" s="97"/>
      <c r="H122" s="97"/>
      <c r="I122" s="97"/>
      <c r="J122" s="97"/>
      <c r="K122" s="97"/>
      <c r="L122" s="97"/>
      <c r="M122" s="97"/>
      <c r="N122" s="97"/>
      <c r="O122" s="97"/>
    </row>
    <row r="123" spans="1:15" s="95" customFormat="1" ht="15" x14ac:dyDescent="0.25">
      <c r="A123" s="94" t="s">
        <v>102</v>
      </c>
      <c r="C123" s="96">
        <f>SUM(C124:C128)</f>
        <v>121.69000000000001</v>
      </c>
      <c r="D123" s="96">
        <f t="shared" ref="D123:O123" si="16">SUM(D124:D128)</f>
        <v>8.65</v>
      </c>
      <c r="E123" s="96">
        <f t="shared" si="16"/>
        <v>7.36</v>
      </c>
      <c r="F123" s="96">
        <f t="shared" si="16"/>
        <v>2.4750000000000001</v>
      </c>
      <c r="G123" s="96">
        <f t="shared" si="16"/>
        <v>3.4119999999999999</v>
      </c>
      <c r="H123" s="96">
        <f t="shared" si="16"/>
        <v>5.5209999999999999</v>
      </c>
      <c r="I123" s="96">
        <f t="shared" si="16"/>
        <v>6.8840000000000003</v>
      </c>
      <c r="J123" s="96">
        <f t="shared" si="16"/>
        <v>3.0420000000000003</v>
      </c>
      <c r="K123" s="96">
        <f t="shared" si="16"/>
        <v>4.1899999999999995</v>
      </c>
      <c r="L123" s="96">
        <f t="shared" si="16"/>
        <v>4.6450000000000005</v>
      </c>
      <c r="M123" s="96">
        <f t="shared" si="16"/>
        <v>10.442</v>
      </c>
      <c r="N123" s="96">
        <f t="shared" si="16"/>
        <v>1.7349999999999999</v>
      </c>
      <c r="O123" s="96">
        <f t="shared" si="16"/>
        <v>180.04600000000002</v>
      </c>
    </row>
    <row r="124" spans="1:15" x14ac:dyDescent="0.2">
      <c r="B124" s="90" t="s">
        <v>103</v>
      </c>
      <c r="C124" s="97">
        <v>3.74</v>
      </c>
      <c r="D124" s="97">
        <v>4.4400000000000004</v>
      </c>
      <c r="E124" s="97">
        <v>1.85</v>
      </c>
      <c r="F124" s="97">
        <v>1.593</v>
      </c>
      <c r="G124" s="97">
        <v>0.85199999999999998</v>
      </c>
      <c r="H124" s="97">
        <v>3.6970000000000001</v>
      </c>
      <c r="I124" s="97">
        <v>4.6070000000000002</v>
      </c>
      <c r="J124" s="97">
        <v>2.0680000000000001</v>
      </c>
      <c r="K124" s="97">
        <v>1.8620000000000001</v>
      </c>
      <c r="L124" s="97">
        <v>1.603</v>
      </c>
      <c r="M124" s="97">
        <v>1.44</v>
      </c>
      <c r="N124" s="97">
        <v>0.92200000000000004</v>
      </c>
      <c r="O124" s="97">
        <f>SUM(C124:N124)</f>
        <v>28.674000000000007</v>
      </c>
    </row>
    <row r="125" spans="1:15" x14ac:dyDescent="0.2">
      <c r="B125" s="90" t="s">
        <v>104</v>
      </c>
      <c r="C125" s="97">
        <v>0.01</v>
      </c>
      <c r="D125" s="97">
        <v>0.02</v>
      </c>
      <c r="E125" s="97">
        <v>0.05</v>
      </c>
      <c r="F125" s="97">
        <v>0</v>
      </c>
      <c r="G125" s="97">
        <v>0</v>
      </c>
      <c r="H125" s="97">
        <v>0.29399999999999998</v>
      </c>
      <c r="I125" s="97">
        <v>0</v>
      </c>
      <c r="J125" s="97">
        <v>0</v>
      </c>
      <c r="K125" s="97">
        <v>0</v>
      </c>
      <c r="L125" s="97">
        <v>1.964</v>
      </c>
      <c r="M125" s="97">
        <v>6.77</v>
      </c>
      <c r="N125" s="97">
        <v>0</v>
      </c>
      <c r="O125" s="97">
        <f t="shared" ref="O125:O128" si="17">SUM(C125:N125)</f>
        <v>9.1080000000000005</v>
      </c>
    </row>
    <row r="126" spans="1:15" x14ac:dyDescent="0.2">
      <c r="B126" s="90" t="s">
        <v>105</v>
      </c>
      <c r="C126" s="97">
        <v>5.76</v>
      </c>
      <c r="D126" s="97">
        <v>2.95</v>
      </c>
      <c r="E126" s="97">
        <v>4.6100000000000003</v>
      </c>
      <c r="F126" s="97">
        <v>0.23100000000000001</v>
      </c>
      <c r="G126" s="97">
        <v>0.33900000000000002</v>
      </c>
      <c r="H126" s="97">
        <v>0.51100000000000001</v>
      </c>
      <c r="I126" s="97">
        <v>1.34</v>
      </c>
      <c r="J126" s="97">
        <v>0.47499999999999998</v>
      </c>
      <c r="K126" s="97">
        <v>0.25900000000000001</v>
      </c>
      <c r="L126" s="97">
        <v>0.79100000000000004</v>
      </c>
      <c r="M126" s="97">
        <v>1.665</v>
      </c>
      <c r="N126" s="97">
        <v>0.748</v>
      </c>
      <c r="O126" s="97">
        <f t="shared" si="17"/>
        <v>19.679000000000002</v>
      </c>
    </row>
    <row r="127" spans="1:15" x14ac:dyDescent="0.2">
      <c r="B127" s="90" t="s">
        <v>739</v>
      </c>
      <c r="C127" s="97">
        <v>0</v>
      </c>
      <c r="D127" s="97">
        <v>0</v>
      </c>
      <c r="E127" s="97">
        <v>0</v>
      </c>
      <c r="F127" s="97">
        <v>0</v>
      </c>
      <c r="G127" s="97">
        <v>0</v>
      </c>
      <c r="H127" s="97">
        <v>0</v>
      </c>
      <c r="I127" s="97">
        <v>0</v>
      </c>
      <c r="J127" s="97">
        <v>0</v>
      </c>
      <c r="K127" s="97">
        <v>0</v>
      </c>
      <c r="L127" s="97">
        <v>0</v>
      </c>
      <c r="M127" s="97">
        <v>0.13500000000000001</v>
      </c>
      <c r="N127" s="97">
        <v>0</v>
      </c>
      <c r="O127" s="97">
        <f t="shared" si="17"/>
        <v>0.13500000000000001</v>
      </c>
    </row>
    <row r="128" spans="1:15" x14ac:dyDescent="0.2">
      <c r="B128" s="90" t="s">
        <v>106</v>
      </c>
      <c r="C128" s="97">
        <v>112.18</v>
      </c>
      <c r="D128" s="97">
        <v>1.24</v>
      </c>
      <c r="E128" s="97">
        <v>0.85</v>
      </c>
      <c r="F128" s="97">
        <v>0.65100000000000002</v>
      </c>
      <c r="G128" s="97">
        <v>2.2210000000000001</v>
      </c>
      <c r="H128" s="97">
        <v>1.0189999999999999</v>
      </c>
      <c r="I128" s="97">
        <v>0.93700000000000006</v>
      </c>
      <c r="J128" s="97">
        <v>0.499</v>
      </c>
      <c r="K128" s="97">
        <v>2.069</v>
      </c>
      <c r="L128" s="97">
        <v>0.28699999999999998</v>
      </c>
      <c r="M128" s="97">
        <v>0.432</v>
      </c>
      <c r="N128" s="97">
        <v>6.5000000000000002E-2</v>
      </c>
      <c r="O128" s="97">
        <f t="shared" si="17"/>
        <v>122.45</v>
      </c>
    </row>
    <row r="129" spans="1:15" ht="12.75" customHeight="1" x14ac:dyDescent="0.2">
      <c r="C129" s="97"/>
      <c r="D129" s="97"/>
      <c r="E129" s="97"/>
      <c r="F129" s="97"/>
      <c r="G129" s="97"/>
      <c r="H129" s="97"/>
      <c r="I129" s="97"/>
      <c r="J129" s="97"/>
      <c r="K129" s="97"/>
      <c r="L129" s="97"/>
      <c r="M129" s="97"/>
      <c r="N129" s="97"/>
      <c r="O129" s="97"/>
    </row>
    <row r="130" spans="1:15" s="173" customFormat="1" ht="15" x14ac:dyDescent="0.25">
      <c r="A130" s="94" t="s">
        <v>107</v>
      </c>
      <c r="C130" s="174">
        <f>SUM(C131:C135)</f>
        <v>2081.88</v>
      </c>
      <c r="D130" s="174">
        <f t="shared" ref="D130:O130" si="18">SUM(D131:D135)</f>
        <v>724.02</v>
      </c>
      <c r="E130" s="174">
        <f t="shared" si="18"/>
        <v>1131.95</v>
      </c>
      <c r="F130" s="174">
        <f t="shared" si="18"/>
        <v>405.60500000000002</v>
      </c>
      <c r="G130" s="174">
        <f t="shared" si="18"/>
        <v>960.79100000000005</v>
      </c>
      <c r="H130" s="174">
        <f t="shared" si="18"/>
        <v>746.82299999999998</v>
      </c>
      <c r="I130" s="174">
        <f t="shared" si="18"/>
        <v>717.13</v>
      </c>
      <c r="J130" s="174">
        <f t="shared" si="18"/>
        <v>362.61799999999999</v>
      </c>
      <c r="K130" s="174">
        <f t="shared" si="18"/>
        <v>311.286</v>
      </c>
      <c r="L130" s="174">
        <f t="shared" si="18"/>
        <v>664.64200000000005</v>
      </c>
      <c r="M130" s="174">
        <f t="shared" si="18"/>
        <v>802.7</v>
      </c>
      <c r="N130" s="174">
        <f t="shared" si="18"/>
        <v>199.47599999999997</v>
      </c>
      <c r="O130" s="174">
        <f t="shared" si="18"/>
        <v>9108.9210000000021</v>
      </c>
    </row>
    <row r="131" spans="1:15" x14ac:dyDescent="0.2">
      <c r="B131" s="90" t="s">
        <v>109</v>
      </c>
      <c r="C131" s="97">
        <v>1</v>
      </c>
      <c r="D131" s="97">
        <v>0.15</v>
      </c>
      <c r="E131" s="97">
        <v>0.36</v>
      </c>
      <c r="F131" s="97">
        <v>5.0999999999999997E-2</v>
      </c>
      <c r="G131" s="97">
        <v>1.514</v>
      </c>
      <c r="H131" s="97">
        <v>0.214</v>
      </c>
      <c r="I131" s="97">
        <v>0.27200000000000002</v>
      </c>
      <c r="J131" s="97">
        <v>7.6999999999999999E-2</v>
      </c>
      <c r="K131" s="97">
        <v>1.4999999999999999E-2</v>
      </c>
      <c r="L131" s="97">
        <v>0.17199999999999999</v>
      </c>
      <c r="M131" s="97">
        <v>0.23300000000000001</v>
      </c>
      <c r="N131" s="97">
        <v>0</v>
      </c>
      <c r="O131" s="97">
        <f>SUM(C131:N131)</f>
        <v>4.0579999999999998</v>
      </c>
    </row>
    <row r="132" spans="1:15" x14ac:dyDescent="0.2">
      <c r="B132" s="90" t="s">
        <v>110</v>
      </c>
      <c r="C132" s="97">
        <v>1104.98</v>
      </c>
      <c r="D132" s="97">
        <v>302.48</v>
      </c>
      <c r="E132" s="97">
        <v>552</v>
      </c>
      <c r="F132" s="97">
        <v>81.903000000000006</v>
      </c>
      <c r="G132" s="97">
        <v>454.32600000000002</v>
      </c>
      <c r="H132" s="97">
        <v>317.33300000000003</v>
      </c>
      <c r="I132" s="97">
        <v>314.05500000000001</v>
      </c>
      <c r="J132" s="97">
        <v>51.231999999999999</v>
      </c>
      <c r="K132" s="97">
        <v>38.476999999999997</v>
      </c>
      <c r="L132" s="97">
        <v>262.447</v>
      </c>
      <c r="M132" s="97">
        <v>233.26900000000001</v>
      </c>
      <c r="N132" s="97">
        <v>12.558999999999999</v>
      </c>
      <c r="O132" s="97">
        <f>SUM(C132:N132)</f>
        <v>3725.0610000000006</v>
      </c>
    </row>
    <row r="133" spans="1:15" x14ac:dyDescent="0.2">
      <c r="B133" s="90" t="s">
        <v>762</v>
      </c>
      <c r="C133" s="97">
        <v>3.38</v>
      </c>
      <c r="D133" s="97">
        <v>2.87</v>
      </c>
      <c r="E133" s="97">
        <v>1.86</v>
      </c>
      <c r="F133" s="97">
        <v>1.575</v>
      </c>
      <c r="G133" s="97">
        <v>4.0759999999999996</v>
      </c>
      <c r="H133" s="97">
        <v>3.2250000000000001</v>
      </c>
      <c r="I133" s="97">
        <v>1.329</v>
      </c>
      <c r="J133" s="97">
        <v>1.204</v>
      </c>
      <c r="K133" s="97">
        <v>0.67100000000000004</v>
      </c>
      <c r="L133" s="97">
        <v>2.9590000000000001</v>
      </c>
      <c r="M133" s="97">
        <v>3.726</v>
      </c>
      <c r="N133" s="97">
        <v>0.57599999999999996</v>
      </c>
      <c r="O133" s="97">
        <f>SUM(C133:N133)</f>
        <v>27.451000000000001</v>
      </c>
    </row>
    <row r="134" spans="1:15" x14ac:dyDescent="0.2">
      <c r="B134" s="90" t="s">
        <v>111</v>
      </c>
      <c r="C134" s="97">
        <v>970.25</v>
      </c>
      <c r="D134" s="97">
        <v>417.27</v>
      </c>
      <c r="E134" s="97">
        <v>575.91</v>
      </c>
      <c r="F134" s="97">
        <v>320.86</v>
      </c>
      <c r="G134" s="97">
        <v>495.80399999999997</v>
      </c>
      <c r="H134" s="97">
        <v>423.95</v>
      </c>
      <c r="I134" s="97">
        <v>400.36500000000001</v>
      </c>
      <c r="J134" s="97">
        <v>308.86200000000002</v>
      </c>
      <c r="K134" s="97">
        <v>270.83100000000002</v>
      </c>
      <c r="L134" s="97">
        <v>393.72800000000001</v>
      </c>
      <c r="M134" s="97">
        <v>563.45299999999997</v>
      </c>
      <c r="N134" s="97">
        <v>186.18899999999999</v>
      </c>
      <c r="O134" s="97">
        <f>SUM(C134:N134)</f>
        <v>5327.4719999999998</v>
      </c>
    </row>
    <row r="135" spans="1:15" x14ac:dyDescent="0.2">
      <c r="B135" s="90" t="s">
        <v>112</v>
      </c>
      <c r="C135" s="97">
        <v>2.27</v>
      </c>
      <c r="D135" s="97">
        <v>1.25</v>
      </c>
      <c r="E135" s="97">
        <v>1.82</v>
      </c>
      <c r="F135" s="97">
        <v>1.216</v>
      </c>
      <c r="G135" s="97">
        <v>5.0709999999999997</v>
      </c>
      <c r="H135" s="97">
        <v>2.101</v>
      </c>
      <c r="I135" s="97">
        <v>1.109</v>
      </c>
      <c r="J135" s="97">
        <v>1.2430000000000001</v>
      </c>
      <c r="K135" s="97">
        <v>1.292</v>
      </c>
      <c r="L135" s="97">
        <v>5.3360000000000003</v>
      </c>
      <c r="M135" s="97">
        <v>2.0190000000000001</v>
      </c>
      <c r="N135" s="97">
        <v>0.152</v>
      </c>
      <c r="O135" s="97">
        <f>SUM(C135:N135)</f>
        <v>24.878999999999998</v>
      </c>
    </row>
    <row r="136" spans="1:15" x14ac:dyDescent="0.2">
      <c r="C136" s="97"/>
      <c r="D136" s="97"/>
      <c r="E136" s="97"/>
      <c r="F136" s="97"/>
      <c r="G136" s="97"/>
      <c r="H136" s="97"/>
      <c r="I136" s="97"/>
      <c r="J136" s="97"/>
      <c r="K136" s="97"/>
      <c r="L136" s="97"/>
      <c r="M136" s="97"/>
      <c r="N136" s="97"/>
      <c r="O136" s="97"/>
    </row>
    <row r="137" spans="1:15" s="95" customFormat="1" ht="15" x14ac:dyDescent="0.25">
      <c r="A137" s="94" t="s">
        <v>113</v>
      </c>
      <c r="C137" s="96">
        <f>SUM(C138:C145)</f>
        <v>107.29999999999998</v>
      </c>
      <c r="D137" s="96">
        <f t="shared" ref="D137:O137" si="19">SUM(D138:D145)</f>
        <v>28.42</v>
      </c>
      <c r="E137" s="96">
        <f t="shared" si="19"/>
        <v>54.820000000000007</v>
      </c>
      <c r="F137" s="96">
        <f t="shared" si="19"/>
        <v>28.58</v>
      </c>
      <c r="G137" s="96">
        <f t="shared" si="19"/>
        <v>36.17</v>
      </c>
      <c r="H137" s="96">
        <f t="shared" si="19"/>
        <v>31.77</v>
      </c>
      <c r="I137" s="96">
        <f t="shared" si="19"/>
        <v>39.404999999999994</v>
      </c>
      <c r="J137" s="96">
        <f t="shared" si="19"/>
        <v>16.59</v>
      </c>
      <c r="K137" s="96">
        <f t="shared" si="19"/>
        <v>14.88</v>
      </c>
      <c r="L137" s="96">
        <f t="shared" si="19"/>
        <v>37.884999999999998</v>
      </c>
      <c r="M137" s="96">
        <f t="shared" si="19"/>
        <v>52.233999999999995</v>
      </c>
      <c r="N137" s="96">
        <f t="shared" si="19"/>
        <v>4.87</v>
      </c>
      <c r="O137" s="96">
        <f t="shared" si="19"/>
        <v>452.92399999999998</v>
      </c>
    </row>
    <row r="138" spans="1:15" x14ac:dyDescent="0.2">
      <c r="B138" s="90" t="s">
        <v>763</v>
      </c>
      <c r="C138" s="97">
        <v>81.92</v>
      </c>
      <c r="D138" s="97">
        <v>16.690000000000001</v>
      </c>
      <c r="E138" s="97">
        <v>35.729999999999997</v>
      </c>
      <c r="F138" s="97">
        <v>27.47</v>
      </c>
      <c r="G138" s="97">
        <v>26.353999999999999</v>
      </c>
      <c r="H138" s="97">
        <v>24.815000000000001</v>
      </c>
      <c r="I138" s="97">
        <v>29.971</v>
      </c>
      <c r="J138" s="97">
        <v>14.787000000000001</v>
      </c>
      <c r="K138" s="97">
        <v>13.47</v>
      </c>
      <c r="L138" s="97">
        <v>26.8</v>
      </c>
      <c r="M138" s="97">
        <v>38.982999999999997</v>
      </c>
      <c r="N138" s="97">
        <v>4.625</v>
      </c>
      <c r="O138" s="97">
        <f t="shared" ref="O138:O145" si="20">SUM(C138:N138)</f>
        <v>341.61500000000001</v>
      </c>
    </row>
    <row r="139" spans="1:15" x14ac:dyDescent="0.2">
      <c r="B139" s="90" t="s">
        <v>740</v>
      </c>
      <c r="C139" s="97">
        <v>0.56999999999999995</v>
      </c>
      <c r="D139" s="97">
        <v>0.08</v>
      </c>
      <c r="E139" s="97">
        <v>0.25</v>
      </c>
      <c r="F139" s="97">
        <v>6.3E-2</v>
      </c>
      <c r="G139" s="97">
        <v>0.22700000000000001</v>
      </c>
      <c r="H139" s="97">
        <v>2.1000000000000001E-2</v>
      </c>
      <c r="I139" s="97">
        <v>0.40600000000000003</v>
      </c>
      <c r="J139" s="97">
        <v>0.83799999999999997</v>
      </c>
      <c r="K139" s="97">
        <v>0.59699999999999998</v>
      </c>
      <c r="L139" s="97">
        <v>0.22800000000000001</v>
      </c>
      <c r="M139" s="97">
        <v>0.27</v>
      </c>
      <c r="N139" s="97">
        <v>0</v>
      </c>
      <c r="O139" s="97">
        <f t="shared" si="20"/>
        <v>3.5500000000000003</v>
      </c>
    </row>
    <row r="140" spans="1:15" x14ac:dyDescent="0.2">
      <c r="B140" s="90" t="s">
        <v>116</v>
      </c>
      <c r="C140" s="97">
        <v>0</v>
      </c>
      <c r="D140" s="97">
        <v>0.01</v>
      </c>
      <c r="E140" s="97">
        <v>0.01</v>
      </c>
      <c r="F140" s="97">
        <v>0</v>
      </c>
      <c r="G140" s="97">
        <v>0</v>
      </c>
      <c r="H140" s="97">
        <v>0</v>
      </c>
      <c r="I140" s="97">
        <v>0</v>
      </c>
      <c r="J140" s="97">
        <v>0</v>
      </c>
      <c r="K140" s="97">
        <v>0</v>
      </c>
      <c r="L140" s="97">
        <v>0</v>
      </c>
      <c r="M140" s="97">
        <v>0</v>
      </c>
      <c r="N140" s="97">
        <v>0</v>
      </c>
      <c r="O140" s="97">
        <f t="shared" si="20"/>
        <v>0.02</v>
      </c>
    </row>
    <row r="141" spans="1:15" x14ac:dyDescent="0.2">
      <c r="B141" s="90" t="s">
        <v>114</v>
      </c>
      <c r="C141" s="97">
        <v>0.01</v>
      </c>
      <c r="D141" s="97">
        <v>0</v>
      </c>
      <c r="E141" s="97">
        <v>0.1</v>
      </c>
      <c r="F141" s="97">
        <v>0</v>
      </c>
      <c r="G141" s="97">
        <v>1.7999999999999999E-2</v>
      </c>
      <c r="H141" s="97">
        <v>2.1000000000000001E-2</v>
      </c>
      <c r="I141" s="97">
        <v>0</v>
      </c>
      <c r="J141" s="97">
        <v>0</v>
      </c>
      <c r="K141" s="97">
        <v>0</v>
      </c>
      <c r="L141" s="97">
        <v>2.3E-2</v>
      </c>
      <c r="M141" s="97">
        <v>2E-3</v>
      </c>
      <c r="N141" s="97">
        <v>0</v>
      </c>
      <c r="O141" s="97">
        <f t="shared" si="20"/>
        <v>0.17399999999999999</v>
      </c>
    </row>
    <row r="142" spans="1:15" x14ac:dyDescent="0.2">
      <c r="B142" s="90" t="s">
        <v>115</v>
      </c>
      <c r="C142" s="97">
        <v>0.32</v>
      </c>
      <c r="D142" s="97">
        <v>0.12</v>
      </c>
      <c r="E142" s="97">
        <v>0.06</v>
      </c>
      <c r="F142" s="97">
        <v>7.8E-2</v>
      </c>
      <c r="G142" s="97">
        <v>0.13300000000000001</v>
      </c>
      <c r="H142" s="97">
        <v>0.33400000000000002</v>
      </c>
      <c r="I142" s="97">
        <v>0.158</v>
      </c>
      <c r="J142" s="97">
        <v>4.8000000000000001E-2</v>
      </c>
      <c r="K142" s="97">
        <v>5.1999999999999998E-2</v>
      </c>
      <c r="L142" s="97">
        <v>0.03</v>
      </c>
      <c r="M142" s="97">
        <v>0.76600000000000001</v>
      </c>
      <c r="N142" s="97">
        <v>1.9E-2</v>
      </c>
      <c r="O142" s="97">
        <f t="shared" si="20"/>
        <v>2.1180000000000003</v>
      </c>
    </row>
    <row r="143" spans="1:15" x14ac:dyDescent="0.2">
      <c r="B143" s="90" t="s">
        <v>117</v>
      </c>
      <c r="C143" s="97">
        <v>0.5</v>
      </c>
      <c r="D143" s="97">
        <v>1.9</v>
      </c>
      <c r="E143" s="97">
        <v>0.02</v>
      </c>
      <c r="F143" s="97">
        <v>0</v>
      </c>
      <c r="G143" s="97">
        <v>2.3E-2</v>
      </c>
      <c r="H143" s="97">
        <v>6.0000000000000001E-3</v>
      </c>
      <c r="I143" s="97">
        <v>0.72899999999999998</v>
      </c>
      <c r="J143" s="97">
        <v>0</v>
      </c>
      <c r="K143" s="97">
        <v>0</v>
      </c>
      <c r="L143" s="97">
        <v>0</v>
      </c>
      <c r="M143" s="97">
        <v>0.42199999999999999</v>
      </c>
      <c r="N143" s="97">
        <v>0</v>
      </c>
      <c r="O143" s="97">
        <f t="shared" si="20"/>
        <v>3.6</v>
      </c>
    </row>
    <row r="144" spans="1:15" x14ac:dyDescent="0.2">
      <c r="B144" s="90" t="s">
        <v>118</v>
      </c>
      <c r="C144" s="97">
        <v>23.1</v>
      </c>
      <c r="D144" s="97">
        <v>9.43</v>
      </c>
      <c r="E144" s="97">
        <v>13.95</v>
      </c>
      <c r="F144" s="97">
        <v>0.60499999999999998</v>
      </c>
      <c r="G144" s="97">
        <v>8.6980000000000004</v>
      </c>
      <c r="H144" s="97">
        <v>6.15</v>
      </c>
      <c r="I144" s="97">
        <v>7.7590000000000003</v>
      </c>
      <c r="J144" s="97">
        <v>0.46899999999999997</v>
      </c>
      <c r="K144" s="97">
        <v>0.53100000000000003</v>
      </c>
      <c r="L144" s="97">
        <v>6.742</v>
      </c>
      <c r="M144" s="97">
        <v>5.5380000000000003</v>
      </c>
      <c r="N144" s="97">
        <v>0.153</v>
      </c>
      <c r="O144" s="97">
        <f t="shared" si="20"/>
        <v>83.125000000000014</v>
      </c>
    </row>
    <row r="145" spans="1:15" x14ac:dyDescent="0.2">
      <c r="B145" s="90" t="s">
        <v>119</v>
      </c>
      <c r="C145" s="97">
        <v>0.88</v>
      </c>
      <c r="D145" s="97">
        <v>0.19</v>
      </c>
      <c r="E145" s="97">
        <v>4.7</v>
      </c>
      <c r="F145" s="97">
        <v>0.36399999999999999</v>
      </c>
      <c r="G145" s="97">
        <v>0.71699999999999997</v>
      </c>
      <c r="H145" s="97">
        <v>0.42299999999999999</v>
      </c>
      <c r="I145" s="97">
        <v>0.38200000000000001</v>
      </c>
      <c r="J145" s="97">
        <v>0.44800000000000001</v>
      </c>
      <c r="K145" s="97">
        <v>0.23</v>
      </c>
      <c r="L145" s="97">
        <v>4.0620000000000003</v>
      </c>
      <c r="M145" s="97">
        <v>6.2530000000000001</v>
      </c>
      <c r="N145" s="97">
        <v>7.2999999999999995E-2</v>
      </c>
      <c r="O145" s="97">
        <f t="shared" si="20"/>
        <v>18.722000000000001</v>
      </c>
    </row>
    <row r="146" spans="1:15" ht="12.75" customHeight="1" x14ac:dyDescent="0.2">
      <c r="C146" s="97"/>
      <c r="D146" s="97"/>
      <c r="E146" s="97"/>
      <c r="F146" s="97"/>
      <c r="G146" s="97"/>
      <c r="H146" s="97"/>
      <c r="I146" s="97"/>
      <c r="J146" s="97"/>
      <c r="K146" s="97"/>
      <c r="L146" s="97"/>
      <c r="M146" s="97"/>
      <c r="N146" s="97"/>
      <c r="O146" s="97"/>
    </row>
    <row r="147" spans="1:15" s="95" customFormat="1" ht="12.75" customHeight="1" x14ac:dyDescent="0.25">
      <c r="A147" s="94" t="s">
        <v>687</v>
      </c>
      <c r="C147" s="96">
        <f>C148</f>
        <v>7.43</v>
      </c>
      <c r="D147" s="96">
        <f t="shared" ref="D147:O147" si="21">D148</f>
        <v>2.29</v>
      </c>
      <c r="E147" s="96">
        <f t="shared" si="21"/>
        <v>3.87</v>
      </c>
      <c r="F147" s="96">
        <f t="shared" si="21"/>
        <v>2.6989999999999998</v>
      </c>
      <c r="G147" s="96">
        <f t="shared" si="21"/>
        <v>1.44</v>
      </c>
      <c r="H147" s="96">
        <f t="shared" si="21"/>
        <v>2.4390000000000001</v>
      </c>
      <c r="I147" s="96">
        <f t="shared" si="21"/>
        <v>5.59</v>
      </c>
      <c r="J147" s="96">
        <f t="shared" si="21"/>
        <v>4.2140000000000004</v>
      </c>
      <c r="K147" s="96">
        <f t="shared" si="21"/>
        <v>3.024</v>
      </c>
      <c r="L147" s="96">
        <f t="shared" si="21"/>
        <v>6.6520000000000001</v>
      </c>
      <c r="M147" s="96">
        <f t="shared" si="21"/>
        <v>7.6509999999999998</v>
      </c>
      <c r="N147" s="96">
        <f t="shared" si="21"/>
        <v>1.9019999999999999</v>
      </c>
      <c r="O147" s="96">
        <f t="shared" si="21"/>
        <v>49.201000000000008</v>
      </c>
    </row>
    <row r="148" spans="1:15" ht="12.75" customHeight="1" x14ac:dyDescent="0.2">
      <c r="B148" s="90" t="s">
        <v>764</v>
      </c>
      <c r="C148" s="97">
        <v>7.43</v>
      </c>
      <c r="D148" s="97">
        <v>2.29</v>
      </c>
      <c r="E148" s="97">
        <v>3.87</v>
      </c>
      <c r="F148" s="97">
        <v>2.6989999999999998</v>
      </c>
      <c r="G148" s="97">
        <v>1.44</v>
      </c>
      <c r="H148" s="97">
        <v>2.4390000000000001</v>
      </c>
      <c r="I148" s="97">
        <v>5.59</v>
      </c>
      <c r="J148" s="97">
        <v>4.2140000000000004</v>
      </c>
      <c r="K148" s="97">
        <v>3.024</v>
      </c>
      <c r="L148" s="97">
        <v>6.6520000000000001</v>
      </c>
      <c r="M148" s="97">
        <v>7.6509999999999998</v>
      </c>
      <c r="N148" s="97">
        <v>1.9019999999999999</v>
      </c>
      <c r="O148" s="97">
        <f>SUM(C148:N148)</f>
        <v>49.201000000000008</v>
      </c>
    </row>
    <row r="149" spans="1:15" ht="12.75" customHeight="1" x14ac:dyDescent="0.2">
      <c r="C149" s="97"/>
      <c r="D149" s="97"/>
      <c r="E149" s="97"/>
      <c r="F149" s="97"/>
      <c r="G149" s="97"/>
      <c r="H149" s="97"/>
      <c r="I149" s="97"/>
      <c r="J149" s="97"/>
      <c r="K149" s="97"/>
      <c r="L149" s="97"/>
      <c r="M149" s="97"/>
      <c r="N149" s="97"/>
      <c r="O149" s="97"/>
    </row>
    <row r="150" spans="1:15" s="95" customFormat="1" ht="15" x14ac:dyDescent="0.25">
      <c r="A150" s="94" t="s">
        <v>122</v>
      </c>
      <c r="C150" s="96">
        <f>SUM(C151:C153)</f>
        <v>98.56</v>
      </c>
      <c r="D150" s="96">
        <f t="shared" ref="D150:O150" si="22">SUM(D151:D153)</f>
        <v>24.720000000000002</v>
      </c>
      <c r="E150" s="96">
        <f t="shared" si="22"/>
        <v>31.55</v>
      </c>
      <c r="F150" s="96">
        <f t="shared" si="22"/>
        <v>10.199</v>
      </c>
      <c r="G150" s="96">
        <f t="shared" si="22"/>
        <v>11.62</v>
      </c>
      <c r="H150" s="96">
        <f t="shared" si="22"/>
        <v>16.260000000000002</v>
      </c>
      <c r="I150" s="96">
        <f t="shared" si="22"/>
        <v>44.730000000000004</v>
      </c>
      <c r="J150" s="96">
        <f t="shared" si="22"/>
        <v>15.446999999999999</v>
      </c>
      <c r="K150" s="96">
        <f t="shared" si="22"/>
        <v>0.08</v>
      </c>
      <c r="L150" s="96">
        <f t="shared" si="22"/>
        <v>38.792000000000002</v>
      </c>
      <c r="M150" s="96">
        <f t="shared" si="22"/>
        <v>14.86</v>
      </c>
      <c r="N150" s="96">
        <f t="shared" si="22"/>
        <v>0.158</v>
      </c>
      <c r="O150" s="96">
        <f t="shared" si="22"/>
        <v>306.976</v>
      </c>
    </row>
    <row r="151" spans="1:15" x14ac:dyDescent="0.2">
      <c r="B151" s="90" t="s">
        <v>124</v>
      </c>
      <c r="C151" s="97">
        <v>98.27</v>
      </c>
      <c r="D151" s="97">
        <v>24.69</v>
      </c>
      <c r="E151" s="97">
        <v>31.17</v>
      </c>
      <c r="F151" s="97">
        <v>10.199</v>
      </c>
      <c r="G151" s="97">
        <v>11.62</v>
      </c>
      <c r="H151" s="97">
        <v>16.247</v>
      </c>
      <c r="I151" s="97">
        <v>44.51</v>
      </c>
      <c r="J151" s="97">
        <v>15.446999999999999</v>
      </c>
      <c r="K151" s="97">
        <v>0.08</v>
      </c>
      <c r="L151" s="97">
        <v>38.133000000000003</v>
      </c>
      <c r="M151" s="97">
        <v>14.852</v>
      </c>
      <c r="N151" s="97">
        <v>0.158</v>
      </c>
      <c r="O151" s="97">
        <f>SUM(C151:N151)</f>
        <v>305.37600000000003</v>
      </c>
    </row>
    <row r="152" spans="1:15" x14ac:dyDescent="0.2">
      <c r="B152" s="90" t="s">
        <v>127</v>
      </c>
      <c r="C152" s="97">
        <v>0.23</v>
      </c>
      <c r="D152" s="97">
        <v>0</v>
      </c>
      <c r="E152" s="97">
        <v>0.18</v>
      </c>
      <c r="F152" s="97">
        <v>0</v>
      </c>
      <c r="G152" s="97">
        <v>0</v>
      </c>
      <c r="H152" s="97">
        <v>0</v>
      </c>
      <c r="I152" s="97">
        <v>0.2</v>
      </c>
      <c r="J152" s="97">
        <v>0</v>
      </c>
      <c r="K152" s="97">
        <v>0</v>
      </c>
      <c r="L152" s="97">
        <v>0.626</v>
      </c>
      <c r="M152" s="97">
        <v>0</v>
      </c>
      <c r="N152" s="97">
        <v>0</v>
      </c>
      <c r="O152" s="97">
        <f t="shared" ref="O152:O153" si="23">SUM(C152:N152)</f>
        <v>1.2360000000000002</v>
      </c>
    </row>
    <row r="153" spans="1:15" x14ac:dyDescent="0.2">
      <c r="B153" s="90" t="s">
        <v>126</v>
      </c>
      <c r="C153" s="97">
        <v>0.06</v>
      </c>
      <c r="D153" s="97">
        <v>0.03</v>
      </c>
      <c r="E153" s="97">
        <v>0.2</v>
      </c>
      <c r="F153" s="97">
        <v>0</v>
      </c>
      <c r="G153" s="97">
        <v>0</v>
      </c>
      <c r="H153" s="97">
        <v>1.2999999999999999E-2</v>
      </c>
      <c r="I153" s="97">
        <v>0.02</v>
      </c>
      <c r="J153" s="97">
        <v>0</v>
      </c>
      <c r="K153" s="97">
        <v>0</v>
      </c>
      <c r="L153" s="97">
        <v>3.3000000000000002E-2</v>
      </c>
      <c r="M153" s="97">
        <v>8.0000000000000002E-3</v>
      </c>
      <c r="N153" s="97">
        <v>0</v>
      </c>
      <c r="O153" s="97">
        <f t="shared" si="23"/>
        <v>0.3640000000000001</v>
      </c>
    </row>
    <row r="154" spans="1:15" x14ac:dyDescent="0.2">
      <c r="C154" s="97"/>
      <c r="D154" s="97"/>
      <c r="E154" s="97"/>
      <c r="F154" s="97"/>
      <c r="G154" s="97"/>
      <c r="H154" s="97"/>
      <c r="I154" s="97"/>
      <c r="J154" s="97"/>
      <c r="K154" s="97"/>
      <c r="L154" s="97"/>
      <c r="M154" s="97"/>
      <c r="N154" s="97"/>
      <c r="O154" s="97"/>
    </row>
    <row r="155" spans="1:15" s="95" customFormat="1" ht="15" x14ac:dyDescent="0.25">
      <c r="A155" s="94" t="s">
        <v>128</v>
      </c>
      <c r="C155" s="96">
        <f>SUM(C156:C164)</f>
        <v>290.83</v>
      </c>
      <c r="D155" s="96">
        <f t="shared" ref="D155:O155" si="24">SUM(D156:D164)</f>
        <v>92.9</v>
      </c>
      <c r="E155" s="96">
        <f t="shared" si="24"/>
        <v>137.23000000000002</v>
      </c>
      <c r="F155" s="96">
        <f t="shared" si="24"/>
        <v>155.03199999999998</v>
      </c>
      <c r="G155" s="96">
        <f t="shared" si="24"/>
        <v>142.31100000000001</v>
      </c>
      <c r="H155" s="96">
        <f t="shared" si="24"/>
        <v>103.96499999999999</v>
      </c>
      <c r="I155" s="96">
        <f t="shared" si="24"/>
        <v>104.37299999999999</v>
      </c>
      <c r="J155" s="96">
        <f t="shared" si="24"/>
        <v>65.009</v>
      </c>
      <c r="K155" s="96">
        <f t="shared" si="24"/>
        <v>42.922000000000004</v>
      </c>
      <c r="L155" s="96">
        <f t="shared" si="24"/>
        <v>69.534999999999997</v>
      </c>
      <c r="M155" s="96">
        <f t="shared" si="24"/>
        <v>174.74700000000004</v>
      </c>
      <c r="N155" s="96">
        <f t="shared" si="24"/>
        <v>21.937000000000001</v>
      </c>
      <c r="O155" s="96">
        <f t="shared" si="24"/>
        <v>1400.7910000000004</v>
      </c>
    </row>
    <row r="156" spans="1:15" x14ac:dyDescent="0.2">
      <c r="B156" s="90" t="s">
        <v>741</v>
      </c>
      <c r="C156" s="97">
        <v>0.14000000000000001</v>
      </c>
      <c r="D156" s="97">
        <v>0.18</v>
      </c>
      <c r="E156" s="97">
        <v>0</v>
      </c>
      <c r="F156" s="97">
        <v>0.159</v>
      </c>
      <c r="G156" s="97">
        <v>1.1319999999999999</v>
      </c>
      <c r="H156" s="97">
        <v>0.06</v>
      </c>
      <c r="I156" s="97">
        <v>1.7999999999999999E-2</v>
      </c>
      <c r="J156" s="97">
        <v>0</v>
      </c>
      <c r="K156" s="97">
        <v>0</v>
      </c>
      <c r="L156" s="97">
        <v>0</v>
      </c>
      <c r="M156" s="97">
        <v>0</v>
      </c>
      <c r="N156" s="97">
        <v>0</v>
      </c>
      <c r="O156" s="97">
        <f t="shared" ref="O156:O164" si="25">SUM(C156:N156)</f>
        <v>1.6889999999999998</v>
      </c>
    </row>
    <row r="157" spans="1:15" x14ac:dyDescent="0.2">
      <c r="B157" s="90" t="s">
        <v>765</v>
      </c>
      <c r="C157" s="97">
        <v>240.09</v>
      </c>
      <c r="D157" s="97">
        <v>80.22</v>
      </c>
      <c r="E157" s="97">
        <v>100.02</v>
      </c>
      <c r="F157" s="97">
        <v>154.32900000000001</v>
      </c>
      <c r="G157" s="97">
        <v>140.762</v>
      </c>
      <c r="H157" s="97">
        <v>95.873999999999995</v>
      </c>
      <c r="I157" s="97">
        <v>95.031999999999996</v>
      </c>
      <c r="J157" s="97">
        <v>64.516999999999996</v>
      </c>
      <c r="K157" s="97">
        <v>40.439</v>
      </c>
      <c r="L157" s="97">
        <v>57.112000000000002</v>
      </c>
      <c r="M157" s="97">
        <v>164.68100000000001</v>
      </c>
      <c r="N157" s="97">
        <v>21.937000000000001</v>
      </c>
      <c r="O157" s="97">
        <f t="shared" si="25"/>
        <v>1255.0129999999999</v>
      </c>
    </row>
    <row r="158" spans="1:15" x14ac:dyDescent="0.2">
      <c r="B158" s="90" t="s">
        <v>137</v>
      </c>
      <c r="C158" s="97">
        <v>0.15</v>
      </c>
      <c r="D158" s="97">
        <v>0.02</v>
      </c>
      <c r="E158" s="97">
        <v>0.01</v>
      </c>
      <c r="F158" s="97">
        <v>1.7999999999999999E-2</v>
      </c>
      <c r="G158" s="97">
        <v>0.107</v>
      </c>
      <c r="H158" s="97">
        <v>0</v>
      </c>
      <c r="I158" s="97">
        <v>0.49399999999999999</v>
      </c>
      <c r="J158" s="97">
        <v>0.11</v>
      </c>
      <c r="K158" s="97">
        <v>1.962</v>
      </c>
      <c r="L158" s="97">
        <v>1.0580000000000001</v>
      </c>
      <c r="M158" s="97">
        <v>0.21099999999999999</v>
      </c>
      <c r="N158" s="97">
        <v>0</v>
      </c>
      <c r="O158" s="97">
        <f t="shared" si="25"/>
        <v>4.1400000000000006</v>
      </c>
    </row>
    <row r="159" spans="1:15" x14ac:dyDescent="0.2">
      <c r="B159" s="90" t="s">
        <v>742</v>
      </c>
      <c r="C159" s="97">
        <v>0</v>
      </c>
      <c r="D159" s="97">
        <v>0</v>
      </c>
      <c r="E159" s="97">
        <v>0</v>
      </c>
      <c r="F159" s="97">
        <v>0</v>
      </c>
      <c r="G159" s="97">
        <v>0</v>
      </c>
      <c r="H159" s="97">
        <v>0</v>
      </c>
      <c r="I159" s="97">
        <v>0</v>
      </c>
      <c r="J159" s="97">
        <v>0</v>
      </c>
      <c r="K159" s="97">
        <v>0</v>
      </c>
      <c r="L159" s="97">
        <v>0</v>
      </c>
      <c r="M159" s="97">
        <v>7.2999999999999995E-2</v>
      </c>
      <c r="N159" s="97">
        <v>0</v>
      </c>
      <c r="O159" s="97">
        <f t="shared" si="25"/>
        <v>7.2999999999999995E-2</v>
      </c>
    </row>
    <row r="160" spans="1:15" x14ac:dyDescent="0.2">
      <c r="B160" s="90" t="s">
        <v>688</v>
      </c>
      <c r="C160" s="97">
        <v>0.01</v>
      </c>
      <c r="D160" s="97">
        <v>0.01</v>
      </c>
      <c r="E160" s="97">
        <v>0</v>
      </c>
      <c r="F160" s="97">
        <v>2.3E-2</v>
      </c>
      <c r="G160" s="97">
        <v>9.0999999999999998E-2</v>
      </c>
      <c r="H160" s="97">
        <v>0.39</v>
      </c>
      <c r="I160" s="97">
        <v>0.13900000000000001</v>
      </c>
      <c r="J160" s="97">
        <v>0.123</v>
      </c>
      <c r="K160" s="97">
        <v>0.112</v>
      </c>
      <c r="L160" s="97">
        <v>0.13400000000000001</v>
      </c>
      <c r="M160" s="97">
        <v>0.124</v>
      </c>
      <c r="N160" s="97">
        <v>0</v>
      </c>
      <c r="O160" s="97">
        <f t="shared" si="25"/>
        <v>1.1560000000000001</v>
      </c>
    </row>
    <row r="161" spans="1:15" x14ac:dyDescent="0.2">
      <c r="B161" s="90" t="s">
        <v>135</v>
      </c>
      <c r="C161" s="97">
        <v>0.06</v>
      </c>
      <c r="D161" s="97">
        <v>0.01</v>
      </c>
      <c r="E161" s="97">
        <v>0</v>
      </c>
      <c r="F161" s="97">
        <v>0.128</v>
      </c>
      <c r="G161" s="97">
        <v>0.20599999999999999</v>
      </c>
      <c r="H161" s="97">
        <v>0</v>
      </c>
      <c r="I161" s="97">
        <v>2.9000000000000001E-2</v>
      </c>
      <c r="J161" s="97">
        <v>4.1000000000000002E-2</v>
      </c>
      <c r="K161" s="97">
        <v>5.1999999999999998E-2</v>
      </c>
      <c r="L161" s="97">
        <v>1.9E-2</v>
      </c>
      <c r="M161" s="97">
        <v>0</v>
      </c>
      <c r="N161" s="97">
        <v>0</v>
      </c>
      <c r="O161" s="97">
        <f t="shared" si="25"/>
        <v>0.54500000000000004</v>
      </c>
    </row>
    <row r="162" spans="1:15" x14ac:dyDescent="0.2">
      <c r="B162" s="90" t="s">
        <v>139</v>
      </c>
      <c r="C162" s="97">
        <v>0.04</v>
      </c>
      <c r="D162" s="97">
        <v>0.1</v>
      </c>
      <c r="E162" s="97">
        <v>0.12</v>
      </c>
      <c r="F162" s="97">
        <v>0.122</v>
      </c>
      <c r="G162" s="97">
        <v>1.2999999999999999E-2</v>
      </c>
      <c r="H162" s="97">
        <v>0</v>
      </c>
      <c r="I162" s="97">
        <v>0.14000000000000001</v>
      </c>
      <c r="J162" s="97">
        <v>0.14299999999999999</v>
      </c>
      <c r="K162" s="97">
        <v>6.9000000000000006E-2</v>
      </c>
      <c r="L162" s="97">
        <v>0</v>
      </c>
      <c r="M162" s="97">
        <v>0</v>
      </c>
      <c r="N162" s="97">
        <v>0</v>
      </c>
      <c r="O162" s="97">
        <f t="shared" si="25"/>
        <v>0.74700000000000011</v>
      </c>
    </row>
    <row r="163" spans="1:15" x14ac:dyDescent="0.2">
      <c r="B163" s="90" t="s">
        <v>689</v>
      </c>
      <c r="C163" s="97">
        <v>0.12</v>
      </c>
      <c r="D163" s="97">
        <v>0</v>
      </c>
      <c r="E163" s="97">
        <v>0.06</v>
      </c>
      <c r="F163" s="97">
        <v>0.253</v>
      </c>
      <c r="G163" s="97">
        <v>0</v>
      </c>
      <c r="H163" s="97">
        <v>3.5000000000000003E-2</v>
      </c>
      <c r="I163" s="97">
        <v>4.4999999999999998E-2</v>
      </c>
      <c r="J163" s="97">
        <v>7.4999999999999997E-2</v>
      </c>
      <c r="K163" s="97">
        <v>0.28799999999999998</v>
      </c>
      <c r="L163" s="97">
        <v>0.09</v>
      </c>
      <c r="M163" s="97">
        <v>0.05</v>
      </c>
      <c r="N163" s="97">
        <v>0</v>
      </c>
      <c r="O163" s="97">
        <f t="shared" si="25"/>
        <v>1.0159999999999998</v>
      </c>
    </row>
    <row r="164" spans="1:15" x14ac:dyDescent="0.2">
      <c r="B164" s="90" t="s">
        <v>131</v>
      </c>
      <c r="C164" s="97">
        <v>50.22</v>
      </c>
      <c r="D164" s="97">
        <v>12.36</v>
      </c>
      <c r="E164" s="97">
        <v>37.020000000000003</v>
      </c>
      <c r="F164" s="97">
        <v>0</v>
      </c>
      <c r="G164" s="97">
        <v>0</v>
      </c>
      <c r="H164" s="97">
        <v>7.6059999999999999</v>
      </c>
      <c r="I164" s="97">
        <v>8.4760000000000009</v>
      </c>
      <c r="J164" s="97">
        <v>0</v>
      </c>
      <c r="K164" s="97">
        <v>0</v>
      </c>
      <c r="L164" s="97">
        <v>11.122</v>
      </c>
      <c r="M164" s="97">
        <v>9.6080000000000005</v>
      </c>
      <c r="N164" s="97">
        <v>0</v>
      </c>
      <c r="O164" s="97">
        <f t="shared" si="25"/>
        <v>136.41199999999998</v>
      </c>
    </row>
    <row r="165" spans="1:15" ht="12.75" customHeight="1" x14ac:dyDescent="0.25">
      <c r="A165" s="93"/>
      <c r="B165" s="93"/>
      <c r="C165" s="93"/>
      <c r="D165" s="93"/>
      <c r="E165" s="93"/>
      <c r="F165" s="93"/>
      <c r="G165" s="93"/>
      <c r="H165" s="93"/>
      <c r="I165" s="93"/>
      <c r="J165" s="93"/>
      <c r="K165" s="93"/>
      <c r="L165" s="93"/>
      <c r="M165" s="93"/>
      <c r="N165" s="93"/>
      <c r="O165" s="93"/>
    </row>
    <row r="166" spans="1:15" s="95" customFormat="1" ht="15" x14ac:dyDescent="0.25">
      <c r="A166" s="94" t="s">
        <v>140</v>
      </c>
      <c r="C166" s="96">
        <f>SUM(C167:C181)</f>
        <v>67.820000000000007</v>
      </c>
      <c r="D166" s="96">
        <f t="shared" ref="D166:O166" si="26">SUM(D167:D181)</f>
        <v>41.21</v>
      </c>
      <c r="E166" s="96">
        <f t="shared" si="26"/>
        <v>55.350000000000009</v>
      </c>
      <c r="F166" s="96">
        <f t="shared" si="26"/>
        <v>20.951999999999998</v>
      </c>
      <c r="G166" s="96">
        <f t="shared" si="26"/>
        <v>31.293000000000006</v>
      </c>
      <c r="H166" s="96">
        <f t="shared" si="26"/>
        <v>25.814999999999998</v>
      </c>
      <c r="I166" s="96">
        <f t="shared" si="26"/>
        <v>31.216999999999999</v>
      </c>
      <c r="J166" s="96">
        <f t="shared" si="26"/>
        <v>15.593999999999999</v>
      </c>
      <c r="K166" s="96">
        <f t="shared" si="26"/>
        <v>28.355</v>
      </c>
      <c r="L166" s="96">
        <f t="shared" si="26"/>
        <v>36.844000000000008</v>
      </c>
      <c r="M166" s="96">
        <f t="shared" si="26"/>
        <v>23.541000000000004</v>
      </c>
      <c r="N166" s="96">
        <f t="shared" si="26"/>
        <v>3.7770000000000001</v>
      </c>
      <c r="O166" s="96">
        <f t="shared" si="26"/>
        <v>381.76799999999992</v>
      </c>
    </row>
    <row r="167" spans="1:15" x14ac:dyDescent="0.2">
      <c r="B167" s="90" t="s">
        <v>142</v>
      </c>
      <c r="C167" s="97">
        <v>1.84</v>
      </c>
      <c r="D167" s="97">
        <v>1.94</v>
      </c>
      <c r="E167" s="97">
        <v>8.25</v>
      </c>
      <c r="F167" s="97">
        <v>0</v>
      </c>
      <c r="G167" s="97">
        <v>0</v>
      </c>
      <c r="H167" s="97">
        <v>0.36099999999999999</v>
      </c>
      <c r="I167" s="97">
        <v>0.29799999999999999</v>
      </c>
      <c r="J167" s="97">
        <v>0</v>
      </c>
      <c r="K167" s="97">
        <v>0</v>
      </c>
      <c r="L167" s="97">
        <v>3.8290000000000002</v>
      </c>
      <c r="M167" s="97">
        <v>0</v>
      </c>
      <c r="N167" s="97">
        <v>0</v>
      </c>
      <c r="O167" s="97">
        <f t="shared" ref="O167:O181" si="27">SUM(C167:N167)</f>
        <v>16.518000000000001</v>
      </c>
    </row>
    <row r="168" spans="1:15" x14ac:dyDescent="0.2">
      <c r="B168" s="90" t="s">
        <v>141</v>
      </c>
      <c r="C168" s="97">
        <v>37.03</v>
      </c>
      <c r="D168" s="97">
        <v>23.82</v>
      </c>
      <c r="E168" s="97">
        <v>32.28</v>
      </c>
      <c r="F168" s="97">
        <v>20.446999999999999</v>
      </c>
      <c r="G168" s="97">
        <v>12.038</v>
      </c>
      <c r="H168" s="97">
        <v>14.234</v>
      </c>
      <c r="I168" s="97">
        <v>23.719000000000001</v>
      </c>
      <c r="J168" s="97">
        <v>15.161</v>
      </c>
      <c r="K168" s="97">
        <v>28.218</v>
      </c>
      <c r="L168" s="97">
        <v>21.623000000000001</v>
      </c>
      <c r="M168" s="97">
        <v>14.286</v>
      </c>
      <c r="N168" s="97">
        <v>2.6880000000000002</v>
      </c>
      <c r="O168" s="97">
        <f t="shared" si="27"/>
        <v>245.54399999999995</v>
      </c>
    </row>
    <row r="169" spans="1:15" x14ac:dyDescent="0.2">
      <c r="B169" s="90" t="s">
        <v>157</v>
      </c>
      <c r="C169" s="97">
        <v>4.71</v>
      </c>
      <c r="D169" s="97">
        <v>0</v>
      </c>
      <c r="E169" s="97">
        <v>0</v>
      </c>
      <c r="F169" s="97">
        <v>0</v>
      </c>
      <c r="G169" s="97">
        <v>0</v>
      </c>
      <c r="H169" s="97">
        <v>0</v>
      </c>
      <c r="I169" s="97">
        <v>0</v>
      </c>
      <c r="J169" s="97">
        <v>0</v>
      </c>
      <c r="K169" s="97">
        <v>0</v>
      </c>
      <c r="L169" s="97">
        <v>0</v>
      </c>
      <c r="M169" s="97">
        <v>0</v>
      </c>
      <c r="N169" s="97">
        <v>0</v>
      </c>
      <c r="O169" s="97">
        <f t="shared" si="27"/>
        <v>4.71</v>
      </c>
    </row>
    <row r="170" spans="1:15" x14ac:dyDescent="0.2">
      <c r="B170" s="90" t="s">
        <v>143</v>
      </c>
      <c r="C170" s="97">
        <v>0.83</v>
      </c>
      <c r="D170" s="97">
        <v>0.52</v>
      </c>
      <c r="E170" s="97">
        <v>7.0000000000000007E-2</v>
      </c>
      <c r="F170" s="97">
        <v>0</v>
      </c>
      <c r="G170" s="97">
        <v>1.5409999999999999</v>
      </c>
      <c r="H170" s="97">
        <v>0.47199999999999998</v>
      </c>
      <c r="I170" s="97">
        <v>0.13100000000000001</v>
      </c>
      <c r="J170" s="97">
        <v>0</v>
      </c>
      <c r="K170" s="97">
        <v>0</v>
      </c>
      <c r="L170" s="97">
        <v>0.38900000000000001</v>
      </c>
      <c r="M170" s="97">
        <v>0.222</v>
      </c>
      <c r="N170" s="97">
        <v>0</v>
      </c>
      <c r="O170" s="97">
        <f t="shared" si="27"/>
        <v>4.1750000000000007</v>
      </c>
    </row>
    <row r="171" spans="1:15" x14ac:dyDescent="0.2">
      <c r="B171" s="90" t="s">
        <v>774</v>
      </c>
      <c r="C171" s="97">
        <v>1.7</v>
      </c>
      <c r="D171" s="97">
        <v>0.26</v>
      </c>
      <c r="E171" s="97">
        <v>0.79</v>
      </c>
      <c r="F171" s="97">
        <v>0.499</v>
      </c>
      <c r="G171" s="97">
        <v>0.48699999999999999</v>
      </c>
      <c r="H171" s="97">
        <v>9.5000000000000001E-2</v>
      </c>
      <c r="I171" s="97">
        <v>0.36</v>
      </c>
      <c r="J171" s="97">
        <v>0.433</v>
      </c>
      <c r="K171" s="97">
        <v>0.13700000000000001</v>
      </c>
      <c r="L171" s="97">
        <v>0</v>
      </c>
      <c r="M171" s="97">
        <v>2.7E-2</v>
      </c>
      <c r="N171" s="97">
        <v>0.84799999999999998</v>
      </c>
      <c r="O171" s="97">
        <f t="shared" si="27"/>
        <v>5.636000000000001</v>
      </c>
    </row>
    <row r="172" spans="1:15" x14ac:dyDescent="0.2">
      <c r="B172" s="90" t="s">
        <v>145</v>
      </c>
      <c r="C172" s="97">
        <v>4.05</v>
      </c>
      <c r="D172" s="97">
        <v>3.15</v>
      </c>
      <c r="E172" s="97">
        <v>2.5299999999999998</v>
      </c>
      <c r="F172" s="97">
        <v>6.0000000000000001E-3</v>
      </c>
      <c r="G172" s="97">
        <v>8.0340000000000007</v>
      </c>
      <c r="H172" s="97">
        <v>2.855</v>
      </c>
      <c r="I172" s="97">
        <v>1.345</v>
      </c>
      <c r="J172" s="97">
        <v>0</v>
      </c>
      <c r="K172" s="97">
        <v>0</v>
      </c>
      <c r="L172" s="97">
        <v>1.526</v>
      </c>
      <c r="M172" s="97">
        <v>3.456</v>
      </c>
      <c r="N172" s="97">
        <v>0</v>
      </c>
      <c r="O172" s="97">
        <f t="shared" si="27"/>
        <v>26.951999999999998</v>
      </c>
    </row>
    <row r="173" spans="1:15" x14ac:dyDescent="0.2">
      <c r="B173" s="90" t="s">
        <v>146</v>
      </c>
      <c r="C173" s="97">
        <v>3.24</v>
      </c>
      <c r="D173" s="97">
        <v>2.04</v>
      </c>
      <c r="E173" s="97">
        <v>1.55</v>
      </c>
      <c r="F173" s="97">
        <v>0</v>
      </c>
      <c r="G173" s="97">
        <v>5.4260000000000002</v>
      </c>
      <c r="H173" s="97">
        <v>1.99</v>
      </c>
      <c r="I173" s="97">
        <v>1.504</v>
      </c>
      <c r="J173" s="97">
        <v>0</v>
      </c>
      <c r="K173" s="97">
        <v>0</v>
      </c>
      <c r="L173" s="97">
        <v>1.3680000000000001</v>
      </c>
      <c r="M173" s="97">
        <v>3.1640000000000001</v>
      </c>
      <c r="N173" s="97">
        <v>0</v>
      </c>
      <c r="O173" s="97">
        <f t="shared" si="27"/>
        <v>20.282</v>
      </c>
    </row>
    <row r="174" spans="1:15" x14ac:dyDescent="0.2">
      <c r="B174" s="90" t="s">
        <v>147</v>
      </c>
      <c r="C174" s="97">
        <v>0</v>
      </c>
      <c r="D174" s="97">
        <v>0</v>
      </c>
      <c r="E174" s="97">
        <v>0</v>
      </c>
      <c r="F174" s="97">
        <v>0</v>
      </c>
      <c r="G174" s="97">
        <v>2.3E-2</v>
      </c>
      <c r="H174" s="97">
        <v>0</v>
      </c>
      <c r="I174" s="97">
        <v>0</v>
      </c>
      <c r="J174" s="97">
        <v>0</v>
      </c>
      <c r="K174" s="97">
        <v>0</v>
      </c>
      <c r="L174" s="97">
        <v>0</v>
      </c>
      <c r="M174" s="97">
        <v>0</v>
      </c>
      <c r="N174" s="97">
        <v>0</v>
      </c>
      <c r="O174" s="97">
        <f t="shared" si="27"/>
        <v>2.3E-2</v>
      </c>
    </row>
    <row r="175" spans="1:15" x14ac:dyDescent="0.2">
      <c r="B175" s="90" t="s">
        <v>766</v>
      </c>
      <c r="C175" s="97">
        <v>2.08</v>
      </c>
      <c r="D175" s="97">
        <v>3.18</v>
      </c>
      <c r="E175" s="97">
        <v>1.1399999999999999</v>
      </c>
      <c r="F175" s="97">
        <v>0</v>
      </c>
      <c r="G175" s="97">
        <v>0</v>
      </c>
      <c r="H175" s="97">
        <v>1.069</v>
      </c>
      <c r="I175" s="97">
        <v>1.242</v>
      </c>
      <c r="J175" s="97">
        <v>0</v>
      </c>
      <c r="K175" s="97">
        <v>0</v>
      </c>
      <c r="L175" s="97">
        <v>1.36</v>
      </c>
      <c r="M175" s="97">
        <v>0.44</v>
      </c>
      <c r="N175" s="97">
        <v>0</v>
      </c>
      <c r="O175" s="97">
        <f t="shared" si="27"/>
        <v>10.510999999999997</v>
      </c>
    </row>
    <row r="176" spans="1:15" x14ac:dyDescent="0.2">
      <c r="B176" s="90" t="s">
        <v>775</v>
      </c>
      <c r="C176" s="97">
        <v>0.39</v>
      </c>
      <c r="D176" s="97">
        <v>0.01</v>
      </c>
      <c r="E176" s="97">
        <v>0.5</v>
      </c>
      <c r="F176" s="97">
        <v>0</v>
      </c>
      <c r="G176" s="97">
        <v>0.156</v>
      </c>
      <c r="H176" s="97">
        <v>0.01</v>
      </c>
      <c r="I176" s="97">
        <v>3.9E-2</v>
      </c>
      <c r="J176" s="97">
        <v>0</v>
      </c>
      <c r="K176" s="97">
        <v>0</v>
      </c>
      <c r="L176" s="97">
        <v>1.7999999999999999E-2</v>
      </c>
      <c r="M176" s="97">
        <v>0.23499999999999999</v>
      </c>
      <c r="N176" s="97">
        <v>0.24099999999999999</v>
      </c>
      <c r="O176" s="97">
        <f t="shared" si="27"/>
        <v>1.5990000000000002</v>
      </c>
    </row>
    <row r="177" spans="1:15" x14ac:dyDescent="0.2">
      <c r="B177" s="90" t="s">
        <v>150</v>
      </c>
      <c r="C177" s="97">
        <v>6.77</v>
      </c>
      <c r="D177" s="97">
        <v>3.87</v>
      </c>
      <c r="E177" s="97">
        <v>6.84</v>
      </c>
      <c r="F177" s="97">
        <v>0</v>
      </c>
      <c r="G177" s="97">
        <v>0</v>
      </c>
      <c r="H177" s="97">
        <v>3.0750000000000002</v>
      </c>
      <c r="I177" s="97">
        <v>1.409</v>
      </c>
      <c r="J177" s="97">
        <v>0</v>
      </c>
      <c r="K177" s="97">
        <v>0</v>
      </c>
      <c r="L177" s="97">
        <v>4.9560000000000004</v>
      </c>
      <c r="M177" s="97">
        <v>1.292</v>
      </c>
      <c r="N177" s="97">
        <v>0</v>
      </c>
      <c r="O177" s="97">
        <f t="shared" si="27"/>
        <v>28.212</v>
      </c>
    </row>
    <row r="178" spans="1:15" x14ac:dyDescent="0.2">
      <c r="B178" s="90" t="s">
        <v>151</v>
      </c>
      <c r="C178" s="97">
        <v>0.99</v>
      </c>
      <c r="D178" s="97">
        <v>0.27</v>
      </c>
      <c r="E178" s="97">
        <v>0.63</v>
      </c>
      <c r="F178" s="97">
        <v>0</v>
      </c>
      <c r="G178" s="97">
        <v>0.85799999999999998</v>
      </c>
      <c r="H178" s="97">
        <v>0.35899999999999999</v>
      </c>
      <c r="I178" s="97">
        <v>0.17599999999999999</v>
      </c>
      <c r="J178" s="97">
        <v>0</v>
      </c>
      <c r="K178" s="97">
        <v>0</v>
      </c>
      <c r="L178" s="97">
        <v>0.26100000000000001</v>
      </c>
      <c r="M178" s="97">
        <v>0.40400000000000003</v>
      </c>
      <c r="N178" s="97">
        <v>0</v>
      </c>
      <c r="O178" s="97">
        <f t="shared" si="27"/>
        <v>3.9480000000000004</v>
      </c>
    </row>
    <row r="179" spans="1:15" x14ac:dyDescent="0.2">
      <c r="B179" s="90" t="s">
        <v>158</v>
      </c>
      <c r="C179" s="97">
        <v>0.04</v>
      </c>
      <c r="D179" s="97">
        <v>0</v>
      </c>
      <c r="E179" s="97">
        <v>0</v>
      </c>
      <c r="F179" s="97">
        <v>0</v>
      </c>
      <c r="G179" s="97">
        <v>3.9E-2</v>
      </c>
      <c r="H179" s="97">
        <v>0</v>
      </c>
      <c r="I179" s="97">
        <v>0</v>
      </c>
      <c r="J179" s="97">
        <v>0</v>
      </c>
      <c r="K179" s="97">
        <v>0</v>
      </c>
      <c r="L179" s="97">
        <v>0</v>
      </c>
      <c r="M179" s="97">
        <v>1.4999999999999999E-2</v>
      </c>
      <c r="N179" s="97">
        <v>0</v>
      </c>
      <c r="O179" s="97">
        <f t="shared" si="27"/>
        <v>9.4E-2</v>
      </c>
    </row>
    <row r="180" spans="1:15" x14ac:dyDescent="0.2">
      <c r="B180" s="90" t="s">
        <v>152</v>
      </c>
      <c r="C180" s="97">
        <v>0.09</v>
      </c>
      <c r="D180" s="97">
        <v>0.03</v>
      </c>
      <c r="E180" s="97">
        <v>7.0000000000000007E-2</v>
      </c>
      <c r="F180" s="97">
        <v>0</v>
      </c>
      <c r="G180" s="97">
        <v>0.01</v>
      </c>
      <c r="H180" s="97">
        <v>0</v>
      </c>
      <c r="I180" s="97">
        <v>0</v>
      </c>
      <c r="J180" s="97">
        <v>0</v>
      </c>
      <c r="K180" s="97">
        <v>0</v>
      </c>
      <c r="L180" s="97">
        <v>0</v>
      </c>
      <c r="M180" s="97">
        <v>0</v>
      </c>
      <c r="N180" s="97">
        <v>0</v>
      </c>
      <c r="O180" s="97">
        <f t="shared" si="27"/>
        <v>0.2</v>
      </c>
    </row>
    <row r="181" spans="1:15" x14ac:dyDescent="0.2">
      <c r="B181" s="90" t="s">
        <v>743</v>
      </c>
      <c r="C181" s="97">
        <v>4.0599999999999996</v>
      </c>
      <c r="D181" s="97">
        <v>2.12</v>
      </c>
      <c r="E181" s="97">
        <v>0.7</v>
      </c>
      <c r="F181" s="97">
        <v>0</v>
      </c>
      <c r="G181" s="97">
        <v>2.681</v>
      </c>
      <c r="H181" s="97">
        <v>1.2949999999999999</v>
      </c>
      <c r="I181" s="97">
        <v>0.99399999999999999</v>
      </c>
      <c r="J181" s="97">
        <v>0</v>
      </c>
      <c r="K181" s="97">
        <v>0</v>
      </c>
      <c r="L181" s="97">
        <v>1.514</v>
      </c>
      <c r="M181" s="97">
        <v>0</v>
      </c>
      <c r="N181" s="97">
        <v>0</v>
      </c>
      <c r="O181" s="97">
        <f t="shared" si="27"/>
        <v>13.363999999999999</v>
      </c>
    </row>
    <row r="182" spans="1:15" ht="12.75" customHeight="1" x14ac:dyDescent="0.2">
      <c r="C182" s="97"/>
      <c r="D182" s="97"/>
      <c r="E182" s="97"/>
      <c r="F182" s="97"/>
      <c r="G182" s="97"/>
      <c r="H182" s="97"/>
      <c r="I182" s="97"/>
      <c r="J182" s="97"/>
      <c r="K182" s="97"/>
      <c r="L182" s="97"/>
      <c r="M182" s="97"/>
      <c r="N182" s="97"/>
      <c r="O182" s="97"/>
    </row>
    <row r="183" spans="1:15" s="95" customFormat="1" ht="15" x14ac:dyDescent="0.25">
      <c r="A183" s="94" t="s">
        <v>767</v>
      </c>
      <c r="C183" s="96">
        <f>C184</f>
        <v>26.41</v>
      </c>
      <c r="D183" s="96">
        <f t="shared" ref="D183:O183" si="28">D184</f>
        <v>61.03</v>
      </c>
      <c r="E183" s="96">
        <f t="shared" si="28"/>
        <v>34.15</v>
      </c>
      <c r="F183" s="96">
        <f t="shared" si="28"/>
        <v>23.61</v>
      </c>
      <c r="G183" s="96">
        <f t="shared" si="28"/>
        <v>28.391999999999999</v>
      </c>
      <c r="H183" s="96">
        <f t="shared" si="28"/>
        <v>14.244</v>
      </c>
      <c r="I183" s="96">
        <f t="shared" si="28"/>
        <v>9.44</v>
      </c>
      <c r="J183" s="96">
        <f t="shared" si="28"/>
        <v>1.222</v>
      </c>
      <c r="K183" s="96">
        <f t="shared" si="28"/>
        <v>13.946999999999999</v>
      </c>
      <c r="L183" s="96">
        <f t="shared" si="28"/>
        <v>15.9</v>
      </c>
      <c r="M183" s="96">
        <f t="shared" si="28"/>
        <v>18.571999999999999</v>
      </c>
      <c r="N183" s="96">
        <f t="shared" si="28"/>
        <v>0.123</v>
      </c>
      <c r="O183" s="96">
        <f t="shared" si="28"/>
        <v>247.04</v>
      </c>
    </row>
    <row r="184" spans="1:15" x14ac:dyDescent="0.2">
      <c r="B184" s="90" t="s">
        <v>768</v>
      </c>
      <c r="C184" s="97">
        <v>26.41</v>
      </c>
      <c r="D184" s="97">
        <v>61.03</v>
      </c>
      <c r="E184" s="97">
        <v>34.15</v>
      </c>
      <c r="F184" s="97">
        <v>23.61</v>
      </c>
      <c r="G184" s="97">
        <v>28.391999999999999</v>
      </c>
      <c r="H184" s="97">
        <v>14.244</v>
      </c>
      <c r="I184" s="97">
        <v>9.44</v>
      </c>
      <c r="J184" s="97">
        <v>1.222</v>
      </c>
      <c r="K184" s="97">
        <v>13.946999999999999</v>
      </c>
      <c r="L184" s="97">
        <v>15.9</v>
      </c>
      <c r="M184" s="97">
        <v>18.571999999999999</v>
      </c>
      <c r="N184" s="97">
        <v>0.123</v>
      </c>
      <c r="O184" s="97">
        <f>SUM(C184:N184)</f>
        <v>247.04</v>
      </c>
    </row>
    <row r="185" spans="1:15" ht="12.75" customHeight="1" x14ac:dyDescent="0.2">
      <c r="C185" s="97"/>
      <c r="D185" s="97"/>
      <c r="E185" s="97"/>
      <c r="F185" s="97"/>
      <c r="G185" s="97"/>
      <c r="H185" s="97"/>
      <c r="I185" s="97"/>
      <c r="J185" s="97"/>
      <c r="K185" s="97"/>
      <c r="L185" s="97"/>
      <c r="M185" s="97"/>
      <c r="N185" s="97"/>
      <c r="O185" s="97"/>
    </row>
    <row r="186" spans="1:15" s="95" customFormat="1" ht="15" x14ac:dyDescent="0.25">
      <c r="A186" s="94" t="s">
        <v>161</v>
      </c>
      <c r="C186" s="96">
        <f>SUM(C187:C189)</f>
        <v>9.5399999999999991</v>
      </c>
      <c r="D186" s="96">
        <f t="shared" ref="D186:O186" si="29">SUM(D187:D189)</f>
        <v>0.69000000000000006</v>
      </c>
      <c r="E186" s="96">
        <f t="shared" si="29"/>
        <v>5.9399999999999995</v>
      </c>
      <c r="F186" s="96">
        <f t="shared" si="29"/>
        <v>0.72899999999999998</v>
      </c>
      <c r="G186" s="96">
        <f t="shared" si="29"/>
        <v>0.17899999999999999</v>
      </c>
      <c r="H186" s="96">
        <f t="shared" si="29"/>
        <v>5.633</v>
      </c>
      <c r="I186" s="96">
        <f t="shared" si="29"/>
        <v>0.60899999999999999</v>
      </c>
      <c r="J186" s="96">
        <f t="shared" si="29"/>
        <v>7.0000000000000001E-3</v>
      </c>
      <c r="K186" s="96">
        <f t="shared" si="29"/>
        <v>5.0000000000000001E-3</v>
      </c>
      <c r="L186" s="96">
        <f t="shared" si="29"/>
        <v>6.4000000000000001E-2</v>
      </c>
      <c r="M186" s="96">
        <f t="shared" si="29"/>
        <v>0.26900000000000002</v>
      </c>
      <c r="N186" s="96">
        <f t="shared" si="29"/>
        <v>0</v>
      </c>
      <c r="O186" s="96">
        <f t="shared" si="29"/>
        <v>23.664999999999999</v>
      </c>
    </row>
    <row r="187" spans="1:15" x14ac:dyDescent="0.2">
      <c r="B187" s="90" t="s">
        <v>769</v>
      </c>
      <c r="C187" s="97">
        <v>9.51</v>
      </c>
      <c r="D187" s="97">
        <v>0.68</v>
      </c>
      <c r="E187" s="97">
        <v>0.01</v>
      </c>
      <c r="F187" s="97">
        <v>0.72899999999999998</v>
      </c>
      <c r="G187" s="97">
        <v>7.4999999999999997E-2</v>
      </c>
      <c r="H187" s="97">
        <v>4.84</v>
      </c>
      <c r="I187" s="97">
        <v>6.0000000000000001E-3</v>
      </c>
      <c r="J187" s="97">
        <v>7.0000000000000001E-3</v>
      </c>
      <c r="K187" s="97">
        <v>5.0000000000000001E-3</v>
      </c>
      <c r="L187" s="97">
        <v>6.4000000000000001E-2</v>
      </c>
      <c r="M187" s="97">
        <v>1.7000000000000001E-2</v>
      </c>
      <c r="N187" s="97">
        <v>0</v>
      </c>
      <c r="O187" s="97">
        <f>SUM(C187:N187)</f>
        <v>15.942999999999998</v>
      </c>
    </row>
    <row r="188" spans="1:15" x14ac:dyDescent="0.2">
      <c r="B188" s="90" t="s">
        <v>163</v>
      </c>
      <c r="C188" s="97">
        <v>0</v>
      </c>
      <c r="D188" s="97">
        <v>0</v>
      </c>
      <c r="E188" s="97">
        <v>0.05</v>
      </c>
      <c r="F188" s="97">
        <v>0</v>
      </c>
      <c r="G188" s="97">
        <v>0</v>
      </c>
      <c r="H188" s="97">
        <v>0</v>
      </c>
      <c r="I188" s="97">
        <v>0</v>
      </c>
      <c r="J188" s="97">
        <v>0</v>
      </c>
      <c r="K188" s="97">
        <v>0</v>
      </c>
      <c r="L188" s="97">
        <v>0</v>
      </c>
      <c r="M188" s="97">
        <v>0</v>
      </c>
      <c r="N188" s="97">
        <v>0</v>
      </c>
      <c r="O188" s="97">
        <f t="shared" ref="O188:O189" si="30">SUM(C188:N188)</f>
        <v>0.05</v>
      </c>
    </row>
    <row r="189" spans="1:15" x14ac:dyDescent="0.2">
      <c r="B189" s="90" t="s">
        <v>165</v>
      </c>
      <c r="C189" s="97">
        <v>0.03</v>
      </c>
      <c r="D189" s="97">
        <v>0.01</v>
      </c>
      <c r="E189" s="97">
        <v>5.88</v>
      </c>
      <c r="F189" s="97">
        <v>0</v>
      </c>
      <c r="G189" s="97">
        <v>0.104</v>
      </c>
      <c r="H189" s="97">
        <v>0.79300000000000004</v>
      </c>
      <c r="I189" s="97">
        <v>0.60299999999999998</v>
      </c>
      <c r="J189" s="97">
        <v>0</v>
      </c>
      <c r="K189" s="97">
        <v>0</v>
      </c>
      <c r="L189" s="97">
        <v>0</v>
      </c>
      <c r="M189" s="97">
        <v>0.252</v>
      </c>
      <c r="N189" s="97">
        <v>0</v>
      </c>
      <c r="O189" s="97">
        <f t="shared" si="30"/>
        <v>7.6719999999999997</v>
      </c>
    </row>
    <row r="190" spans="1:15" x14ac:dyDescent="0.2">
      <c r="C190" s="97"/>
      <c r="D190" s="97"/>
      <c r="E190" s="97"/>
      <c r="F190" s="97"/>
      <c r="G190" s="97"/>
      <c r="H190" s="97"/>
      <c r="I190" s="97"/>
      <c r="J190" s="97"/>
      <c r="K190" s="97"/>
      <c r="L190" s="97"/>
      <c r="M190" s="97"/>
      <c r="N190" s="97"/>
      <c r="O190" s="97"/>
    </row>
    <row r="191" spans="1:15" s="95" customFormat="1" ht="15" x14ac:dyDescent="0.25">
      <c r="A191" s="94" t="s">
        <v>166</v>
      </c>
      <c r="C191" s="96">
        <f>SUM(C192:C195)</f>
        <v>32.020000000000003</v>
      </c>
      <c r="D191" s="96">
        <f t="shared" ref="D191:O191" si="31">SUM(D192:D195)</f>
        <v>21.8</v>
      </c>
      <c r="E191" s="96">
        <f t="shared" si="31"/>
        <v>17.86</v>
      </c>
      <c r="F191" s="96">
        <f t="shared" si="31"/>
        <v>15.101000000000001</v>
      </c>
      <c r="G191" s="96">
        <f t="shared" si="31"/>
        <v>33.201000000000001</v>
      </c>
      <c r="H191" s="96">
        <f t="shared" si="31"/>
        <v>21.192999999999998</v>
      </c>
      <c r="I191" s="96">
        <f t="shared" si="31"/>
        <v>24.754000000000001</v>
      </c>
      <c r="J191" s="96">
        <f t="shared" si="31"/>
        <v>9.4110000000000014</v>
      </c>
      <c r="K191" s="96">
        <f t="shared" si="31"/>
        <v>7.9450000000000003</v>
      </c>
      <c r="L191" s="96">
        <f t="shared" si="31"/>
        <v>25.302</v>
      </c>
      <c r="M191" s="96">
        <f t="shared" si="31"/>
        <v>24.843</v>
      </c>
      <c r="N191" s="96">
        <f t="shared" si="31"/>
        <v>2.1659999999999999</v>
      </c>
      <c r="O191" s="96">
        <f t="shared" si="31"/>
        <v>235.596</v>
      </c>
    </row>
    <row r="192" spans="1:15" x14ac:dyDescent="0.2">
      <c r="B192" s="90" t="s">
        <v>168</v>
      </c>
      <c r="C192" s="97">
        <v>2</v>
      </c>
      <c r="D192" s="97">
        <v>0.04</v>
      </c>
      <c r="E192" s="97">
        <v>0.16</v>
      </c>
      <c r="F192" s="97">
        <v>5.0999999999999997E-2</v>
      </c>
      <c r="G192" s="97">
        <v>6.984</v>
      </c>
      <c r="H192" s="97">
        <v>2.129</v>
      </c>
      <c r="I192" s="97">
        <v>3.26</v>
      </c>
      <c r="J192" s="97">
        <v>8.3000000000000004E-2</v>
      </c>
      <c r="K192" s="97">
        <v>0.17199999999999999</v>
      </c>
      <c r="L192" s="97">
        <v>2.278</v>
      </c>
      <c r="M192" s="97">
        <v>4.2119999999999997</v>
      </c>
      <c r="N192" s="97">
        <v>5.0000000000000001E-3</v>
      </c>
      <c r="O192" s="97">
        <f>SUM(C192:N192)</f>
        <v>21.373999999999999</v>
      </c>
    </row>
    <row r="193" spans="1:15" x14ac:dyDescent="0.2">
      <c r="B193" s="90" t="s">
        <v>169</v>
      </c>
      <c r="C193" s="97">
        <v>0.34</v>
      </c>
      <c r="D193" s="97">
        <v>0.46</v>
      </c>
      <c r="E193" s="97">
        <v>0.2</v>
      </c>
      <c r="F193" s="97">
        <v>0.27900000000000003</v>
      </c>
      <c r="G193" s="97">
        <v>0.11</v>
      </c>
      <c r="H193" s="97">
        <v>0.16400000000000001</v>
      </c>
      <c r="I193" s="97">
        <v>7.3999999999999996E-2</v>
      </c>
      <c r="J193" s="97">
        <v>0.159</v>
      </c>
      <c r="K193" s="97">
        <v>0.107</v>
      </c>
      <c r="L193" s="97">
        <v>7.9000000000000001E-2</v>
      </c>
      <c r="M193" s="97">
        <v>6.5000000000000002E-2</v>
      </c>
      <c r="N193" s="97">
        <v>0</v>
      </c>
      <c r="O193" s="97">
        <f>SUM(C193:N193)</f>
        <v>2.0369999999999999</v>
      </c>
    </row>
    <row r="194" spans="1:15" x14ac:dyDescent="0.2">
      <c r="B194" s="90" t="s">
        <v>167</v>
      </c>
      <c r="C194" s="97">
        <v>29.67</v>
      </c>
      <c r="D194" s="97">
        <v>21.28</v>
      </c>
      <c r="E194" s="97">
        <v>17.39</v>
      </c>
      <c r="F194" s="97">
        <v>14.771000000000001</v>
      </c>
      <c r="G194" s="97">
        <v>25.994</v>
      </c>
      <c r="H194" s="97">
        <v>18.61</v>
      </c>
      <c r="I194" s="97">
        <v>21.42</v>
      </c>
      <c r="J194" s="97">
        <v>9.1690000000000005</v>
      </c>
      <c r="K194" s="97">
        <v>7.6660000000000004</v>
      </c>
      <c r="L194" s="97">
        <v>22.945</v>
      </c>
      <c r="M194" s="97">
        <v>20.565999999999999</v>
      </c>
      <c r="N194" s="97">
        <v>2.161</v>
      </c>
      <c r="O194" s="97">
        <f>SUM(C194:N194)</f>
        <v>211.642</v>
      </c>
    </row>
    <row r="195" spans="1:15" x14ac:dyDescent="0.2">
      <c r="B195" s="90" t="s">
        <v>776</v>
      </c>
      <c r="C195" s="97">
        <v>0.01</v>
      </c>
      <c r="D195" s="97">
        <v>0.02</v>
      </c>
      <c r="E195" s="97">
        <v>0.11</v>
      </c>
      <c r="F195" s="97">
        <v>0</v>
      </c>
      <c r="G195" s="97">
        <v>0.113</v>
      </c>
      <c r="H195" s="97">
        <v>0.28999999999999998</v>
      </c>
      <c r="I195" s="97">
        <v>0</v>
      </c>
      <c r="J195" s="97">
        <v>0</v>
      </c>
      <c r="K195" s="97">
        <v>0</v>
      </c>
      <c r="L195" s="97">
        <v>0</v>
      </c>
      <c r="M195" s="97">
        <v>0</v>
      </c>
      <c r="N195" s="97">
        <v>0</v>
      </c>
      <c r="O195" s="97">
        <f>SUM(C195:N195)</f>
        <v>0.54299999999999993</v>
      </c>
    </row>
    <row r="196" spans="1:15" x14ac:dyDescent="0.2">
      <c r="C196" s="97"/>
      <c r="D196" s="97"/>
      <c r="E196" s="97"/>
      <c r="F196" s="97"/>
      <c r="G196" s="97"/>
      <c r="H196" s="97"/>
      <c r="I196" s="97"/>
      <c r="J196" s="97"/>
      <c r="K196" s="97"/>
      <c r="L196" s="97"/>
      <c r="M196" s="97"/>
      <c r="N196" s="97"/>
      <c r="O196" s="97"/>
    </row>
    <row r="197" spans="1:15" s="95" customFormat="1" ht="15" x14ac:dyDescent="0.25">
      <c r="A197" s="94" t="s">
        <v>669</v>
      </c>
      <c r="C197" s="96">
        <f>SUM(C198:C204)</f>
        <v>945.74</v>
      </c>
      <c r="D197" s="96">
        <f t="shared" ref="D197:O197" si="32">SUM(D198:D204)</f>
        <v>613.51</v>
      </c>
      <c r="E197" s="96">
        <f t="shared" si="32"/>
        <v>473.01</v>
      </c>
      <c r="F197" s="96">
        <f t="shared" si="32"/>
        <v>314.83500000000004</v>
      </c>
      <c r="G197" s="96">
        <f t="shared" si="32"/>
        <v>365.59500000000003</v>
      </c>
      <c r="H197" s="96">
        <f t="shared" si="32"/>
        <v>442.29599999999999</v>
      </c>
      <c r="I197" s="96">
        <f t="shared" si="32"/>
        <v>409.916</v>
      </c>
      <c r="J197" s="96">
        <f t="shared" si="32"/>
        <v>387.48199999999986</v>
      </c>
      <c r="K197" s="96">
        <f t="shared" si="32"/>
        <v>251.78</v>
      </c>
      <c r="L197" s="96">
        <f t="shared" si="32"/>
        <v>384.24399999999997</v>
      </c>
      <c r="M197" s="96">
        <f t="shared" si="32"/>
        <v>429.63499999999999</v>
      </c>
      <c r="N197" s="96">
        <f t="shared" si="32"/>
        <v>115.98399999999999</v>
      </c>
      <c r="O197" s="96">
        <f t="shared" si="32"/>
        <v>5134.027</v>
      </c>
    </row>
    <row r="198" spans="1:15" x14ac:dyDescent="0.2">
      <c r="B198" s="90" t="s">
        <v>179</v>
      </c>
      <c r="C198" s="97">
        <v>0</v>
      </c>
      <c r="D198" s="97">
        <v>0</v>
      </c>
      <c r="E198" s="97">
        <v>0</v>
      </c>
      <c r="F198" s="97">
        <v>0</v>
      </c>
      <c r="G198" s="97">
        <v>0</v>
      </c>
      <c r="H198" s="97">
        <v>0</v>
      </c>
      <c r="I198" s="97">
        <v>0</v>
      </c>
      <c r="J198" s="97">
        <v>5.5E-2</v>
      </c>
      <c r="K198" s="97">
        <v>0</v>
      </c>
      <c r="L198" s="97">
        <v>0</v>
      </c>
      <c r="M198" s="97">
        <v>0</v>
      </c>
      <c r="N198" s="97">
        <v>0</v>
      </c>
      <c r="O198" s="97">
        <f t="shared" ref="O198:O204" si="33">SUM(C198:N198)</f>
        <v>5.5E-2</v>
      </c>
    </row>
    <row r="199" spans="1:15" x14ac:dyDescent="0.2">
      <c r="B199" s="90" t="s">
        <v>176</v>
      </c>
      <c r="C199" s="97">
        <v>31</v>
      </c>
      <c r="D199" s="97">
        <v>13.23</v>
      </c>
      <c r="E199" s="97">
        <v>23.92</v>
      </c>
      <c r="F199" s="97">
        <v>0</v>
      </c>
      <c r="G199" s="97">
        <v>0.73399999999999999</v>
      </c>
      <c r="H199" s="97">
        <v>0</v>
      </c>
      <c r="I199" s="97">
        <v>0</v>
      </c>
      <c r="J199" s="97">
        <v>0</v>
      </c>
      <c r="K199" s="97">
        <v>0</v>
      </c>
      <c r="L199" s="97">
        <v>3.3479999999999999</v>
      </c>
      <c r="M199" s="97">
        <v>14.086</v>
      </c>
      <c r="N199" s="97">
        <v>0</v>
      </c>
      <c r="O199" s="97">
        <f t="shared" si="33"/>
        <v>86.317999999999998</v>
      </c>
    </row>
    <row r="200" spans="1:15" x14ac:dyDescent="0.2">
      <c r="B200" s="90" t="s">
        <v>770</v>
      </c>
      <c r="C200" s="97">
        <v>30.62</v>
      </c>
      <c r="D200" s="97">
        <v>225.95</v>
      </c>
      <c r="E200" s="97">
        <v>10.16</v>
      </c>
      <c r="F200" s="97">
        <v>14.352</v>
      </c>
      <c r="G200" s="97">
        <v>16.968</v>
      </c>
      <c r="H200" s="97">
        <v>15.398999999999999</v>
      </c>
      <c r="I200" s="97">
        <v>6.8170000000000002</v>
      </c>
      <c r="J200" s="97">
        <v>24.909999999999854</v>
      </c>
      <c r="K200" s="97">
        <v>17.565000000000001</v>
      </c>
      <c r="L200" s="97">
        <v>8.3409999999999993</v>
      </c>
      <c r="M200" s="97">
        <v>9.8450000000000006</v>
      </c>
      <c r="N200" s="97">
        <v>1.702</v>
      </c>
      <c r="O200" s="97">
        <f t="shared" si="33"/>
        <v>382.62899999999991</v>
      </c>
    </row>
    <row r="201" spans="1:15" x14ac:dyDescent="0.2">
      <c r="B201" s="90" t="s">
        <v>777</v>
      </c>
      <c r="C201" s="97">
        <v>109.57</v>
      </c>
      <c r="D201" s="97">
        <v>54.14</v>
      </c>
      <c r="E201" s="97">
        <v>45</v>
      </c>
      <c r="F201" s="97">
        <v>31.306999999999999</v>
      </c>
      <c r="G201" s="97">
        <v>16.434000000000001</v>
      </c>
      <c r="H201" s="97">
        <v>68.53</v>
      </c>
      <c r="I201" s="97">
        <v>48.404000000000003</v>
      </c>
      <c r="J201" s="97">
        <v>37.143000000000001</v>
      </c>
      <c r="K201" s="97">
        <v>14.164999999999999</v>
      </c>
      <c r="L201" s="97">
        <v>56.204999999999998</v>
      </c>
      <c r="M201" s="97">
        <v>49.975000000000001</v>
      </c>
      <c r="N201" s="97">
        <v>6.0019999999999998</v>
      </c>
      <c r="O201" s="97">
        <f t="shared" si="33"/>
        <v>536.875</v>
      </c>
    </row>
    <row r="202" spans="1:15" x14ac:dyDescent="0.2">
      <c r="B202" s="90" t="s">
        <v>178</v>
      </c>
      <c r="C202" s="97">
        <v>715.08</v>
      </c>
      <c r="D202" s="97">
        <v>298.32</v>
      </c>
      <c r="E202" s="97">
        <v>350.7</v>
      </c>
      <c r="F202" s="97">
        <v>247.31100000000001</v>
      </c>
      <c r="G202" s="97">
        <v>307.06400000000002</v>
      </c>
      <c r="H202" s="97">
        <v>324.09100000000001</v>
      </c>
      <c r="I202" s="97">
        <v>331.27100000000002</v>
      </c>
      <c r="J202" s="97">
        <v>309.12200000000001</v>
      </c>
      <c r="K202" s="97">
        <v>206.756</v>
      </c>
      <c r="L202" s="97">
        <v>289.553</v>
      </c>
      <c r="M202" s="97">
        <v>326.584</v>
      </c>
      <c r="N202" s="97">
        <v>92.2</v>
      </c>
      <c r="O202" s="97">
        <f t="shared" si="33"/>
        <v>3798.0519999999997</v>
      </c>
    </row>
    <row r="203" spans="1:15" x14ac:dyDescent="0.2">
      <c r="B203" s="90" t="s">
        <v>180</v>
      </c>
      <c r="C203" s="97">
        <v>59.46</v>
      </c>
      <c r="D203" s="97">
        <v>21.82</v>
      </c>
      <c r="E203" s="97">
        <v>43.18</v>
      </c>
      <c r="F203" s="97">
        <v>21.864999999999998</v>
      </c>
      <c r="G203" s="97">
        <v>24.395</v>
      </c>
      <c r="H203" s="97">
        <v>34.167999999999999</v>
      </c>
      <c r="I203" s="97">
        <v>23.423999999999999</v>
      </c>
      <c r="J203" s="97">
        <v>16.251999999999999</v>
      </c>
      <c r="K203" s="97">
        <v>13.294</v>
      </c>
      <c r="L203" s="97">
        <v>26.731000000000002</v>
      </c>
      <c r="M203" s="97">
        <v>29.145</v>
      </c>
      <c r="N203" s="97">
        <v>16.079999999999998</v>
      </c>
      <c r="O203" s="97">
        <f t="shared" si="33"/>
        <v>329.81400000000002</v>
      </c>
    </row>
    <row r="204" spans="1:15" x14ac:dyDescent="0.2">
      <c r="B204" s="90" t="s">
        <v>181</v>
      </c>
      <c r="C204" s="97">
        <v>0.01</v>
      </c>
      <c r="D204" s="97">
        <v>0.05</v>
      </c>
      <c r="E204" s="97">
        <v>0.05</v>
      </c>
      <c r="F204" s="97">
        <v>0</v>
      </c>
      <c r="G204" s="97">
        <v>0</v>
      </c>
      <c r="H204" s="97">
        <v>0.108</v>
      </c>
      <c r="I204" s="97">
        <v>0</v>
      </c>
      <c r="J204" s="97">
        <v>0</v>
      </c>
      <c r="K204" s="97">
        <v>0</v>
      </c>
      <c r="L204" s="97">
        <v>6.6000000000000003E-2</v>
      </c>
      <c r="M204" s="97">
        <v>0</v>
      </c>
      <c r="N204" s="97">
        <v>0</v>
      </c>
      <c r="O204" s="97">
        <f t="shared" si="33"/>
        <v>0.28400000000000003</v>
      </c>
    </row>
    <row r="205" spans="1:15" x14ac:dyDescent="0.2">
      <c r="C205" s="97"/>
      <c r="D205" s="97"/>
      <c r="E205" s="97"/>
      <c r="F205" s="97"/>
      <c r="G205" s="97"/>
      <c r="H205" s="97"/>
      <c r="I205" s="97"/>
      <c r="J205" s="97"/>
      <c r="K205" s="97"/>
      <c r="L205" s="97"/>
      <c r="M205" s="97"/>
      <c r="N205" s="97"/>
      <c r="O205" s="97"/>
    </row>
    <row r="206" spans="1:15" s="94" customFormat="1" ht="15" x14ac:dyDescent="0.25">
      <c r="A206" s="94" t="s">
        <v>706</v>
      </c>
      <c r="C206" s="96">
        <f>SUM(C207:C208)</f>
        <v>1.73</v>
      </c>
      <c r="D206" s="96">
        <f t="shared" ref="D206:O206" si="34">SUM(D207:D208)</f>
        <v>0.14000000000000001</v>
      </c>
      <c r="E206" s="96">
        <f t="shared" si="34"/>
        <v>1.44</v>
      </c>
      <c r="F206" s="96">
        <f t="shared" si="34"/>
        <v>5.5479999999999992</v>
      </c>
      <c r="G206" s="96">
        <f t="shared" si="34"/>
        <v>0</v>
      </c>
      <c r="H206" s="96">
        <f t="shared" si="34"/>
        <v>0.25700000000000001</v>
      </c>
      <c r="I206" s="96">
        <f t="shared" si="34"/>
        <v>5.1580000000000004</v>
      </c>
      <c r="J206" s="96">
        <f t="shared" si="34"/>
        <v>0.40699999999999997</v>
      </c>
      <c r="K206" s="96">
        <f t="shared" si="34"/>
        <v>1.655</v>
      </c>
      <c r="L206" s="96">
        <f t="shared" si="34"/>
        <v>0.79300000000000004</v>
      </c>
      <c r="M206" s="96">
        <f t="shared" si="34"/>
        <v>0.81900000000000006</v>
      </c>
      <c r="N206" s="96">
        <f t="shared" si="34"/>
        <v>1.712</v>
      </c>
      <c r="O206" s="96">
        <f t="shared" si="34"/>
        <v>19.658999999999992</v>
      </c>
    </row>
    <row r="207" spans="1:15" x14ac:dyDescent="0.2">
      <c r="B207" s="90" t="s">
        <v>706</v>
      </c>
      <c r="C207" s="97">
        <v>1.69</v>
      </c>
      <c r="D207" s="97">
        <v>0.13</v>
      </c>
      <c r="E207" s="97">
        <v>1.3</v>
      </c>
      <c r="F207" s="97">
        <v>5.5039999999999996</v>
      </c>
      <c r="G207" s="97">
        <v>0</v>
      </c>
      <c r="H207" s="97">
        <v>0.25700000000000001</v>
      </c>
      <c r="I207" s="97">
        <v>5.141</v>
      </c>
      <c r="J207" s="97">
        <v>0.40699999999999997</v>
      </c>
      <c r="K207" s="97">
        <v>1.647</v>
      </c>
      <c r="L207" s="97">
        <v>0.79300000000000004</v>
      </c>
      <c r="M207" s="97">
        <v>0.80700000000000005</v>
      </c>
      <c r="N207" s="97">
        <v>1.7050000000000001</v>
      </c>
      <c r="O207" s="97">
        <f>SUM(C207:N207)</f>
        <v>19.380999999999993</v>
      </c>
    </row>
    <row r="208" spans="1:15" x14ac:dyDescent="0.2">
      <c r="B208" s="90" t="s">
        <v>744</v>
      </c>
      <c r="C208" s="97">
        <v>0.04</v>
      </c>
      <c r="D208" s="97">
        <v>0.01</v>
      </c>
      <c r="E208" s="97">
        <v>0.14000000000000001</v>
      </c>
      <c r="F208" s="97">
        <v>4.3999999999999997E-2</v>
      </c>
      <c r="G208" s="97">
        <v>0</v>
      </c>
      <c r="H208" s="97">
        <v>0</v>
      </c>
      <c r="I208" s="97">
        <v>1.7000000000000001E-2</v>
      </c>
      <c r="J208" s="97">
        <v>0</v>
      </c>
      <c r="K208" s="97">
        <v>8.0000000000000002E-3</v>
      </c>
      <c r="L208" s="97">
        <v>0</v>
      </c>
      <c r="M208" s="97">
        <v>1.2E-2</v>
      </c>
      <c r="N208" s="97">
        <v>7.0000000000000001E-3</v>
      </c>
      <c r="O208" s="97">
        <f>SUM(C208:N208)</f>
        <v>0.27800000000000002</v>
      </c>
    </row>
    <row r="209" spans="1:15" x14ac:dyDescent="0.2">
      <c r="C209" s="97"/>
      <c r="D209" s="97"/>
      <c r="E209" s="97"/>
      <c r="F209" s="97"/>
      <c r="G209" s="97"/>
      <c r="H209" s="97"/>
      <c r="I209" s="97"/>
      <c r="J209" s="97"/>
      <c r="K209" s="97"/>
      <c r="L209" s="97"/>
      <c r="M209" s="97"/>
      <c r="N209" s="97"/>
      <c r="O209" s="97"/>
    </row>
    <row r="210" spans="1:15" s="95" customFormat="1" ht="15" x14ac:dyDescent="0.25">
      <c r="A210" s="94" t="s">
        <v>182</v>
      </c>
      <c r="C210" s="96">
        <f>SUM(C211:C242)</f>
        <v>168.33999999999997</v>
      </c>
      <c r="D210" s="96">
        <f t="shared" ref="D210:O210" si="35">SUM(D211:D242)</f>
        <v>59.080000000000005</v>
      </c>
      <c r="E210" s="96">
        <f t="shared" si="35"/>
        <v>87.37</v>
      </c>
      <c r="F210" s="96">
        <f t="shared" si="35"/>
        <v>35.283999999999999</v>
      </c>
      <c r="G210" s="96">
        <f t="shared" si="35"/>
        <v>76.709999999999994</v>
      </c>
      <c r="H210" s="96">
        <f t="shared" si="35"/>
        <v>74.48599999999999</v>
      </c>
      <c r="I210" s="96">
        <f t="shared" si="35"/>
        <v>64.306000000000026</v>
      </c>
      <c r="J210" s="96">
        <f t="shared" si="35"/>
        <v>36.891999999999996</v>
      </c>
      <c r="K210" s="96">
        <f t="shared" si="35"/>
        <v>22.794</v>
      </c>
      <c r="L210" s="96">
        <f t="shared" si="35"/>
        <v>52.785000000000011</v>
      </c>
      <c r="M210" s="96">
        <f t="shared" si="35"/>
        <v>112.65599999999999</v>
      </c>
      <c r="N210" s="96">
        <f t="shared" si="35"/>
        <v>9.782</v>
      </c>
      <c r="O210" s="96">
        <f t="shared" si="35"/>
        <v>800.4849999999999</v>
      </c>
    </row>
    <row r="211" spans="1:15" x14ac:dyDescent="0.2">
      <c r="B211" s="90" t="s">
        <v>183</v>
      </c>
      <c r="C211" s="97">
        <v>6.43</v>
      </c>
      <c r="D211" s="97">
        <v>25.6</v>
      </c>
      <c r="E211" s="97">
        <v>2.2200000000000002</v>
      </c>
      <c r="F211" s="97">
        <v>0</v>
      </c>
      <c r="G211" s="97">
        <v>0</v>
      </c>
      <c r="H211" s="97">
        <v>0.112</v>
      </c>
      <c r="I211" s="97">
        <v>0.23400000000000001</v>
      </c>
      <c r="J211" s="97">
        <v>0</v>
      </c>
      <c r="K211" s="97">
        <v>0</v>
      </c>
      <c r="L211" s="97">
        <v>1.1379999999999999</v>
      </c>
      <c r="M211" s="97">
        <v>1.03</v>
      </c>
      <c r="N211" s="97">
        <v>0</v>
      </c>
      <c r="O211" s="97">
        <f>SUM(C211:N211)</f>
        <v>36.764000000000003</v>
      </c>
    </row>
    <row r="212" spans="1:15" x14ac:dyDescent="0.2">
      <c r="B212" s="90" t="s">
        <v>184</v>
      </c>
      <c r="C212" s="97">
        <v>0</v>
      </c>
      <c r="D212" s="97">
        <v>0</v>
      </c>
      <c r="E212" s="97">
        <v>0</v>
      </c>
      <c r="F212" s="97">
        <v>0</v>
      </c>
      <c r="G212" s="97">
        <v>0</v>
      </c>
      <c r="H212" s="97">
        <v>0.03</v>
      </c>
      <c r="I212" s="97">
        <v>0</v>
      </c>
      <c r="J212" s="97">
        <v>0</v>
      </c>
      <c r="K212" s="97">
        <v>0</v>
      </c>
      <c r="L212" s="97">
        <v>0.03</v>
      </c>
      <c r="M212" s="97">
        <v>0</v>
      </c>
      <c r="N212" s="97">
        <v>0</v>
      </c>
      <c r="O212" s="97">
        <f t="shared" ref="O212:O242" si="36">SUM(C212:N212)</f>
        <v>0.06</v>
      </c>
    </row>
    <row r="213" spans="1:15" x14ac:dyDescent="0.2">
      <c r="B213" s="90" t="s">
        <v>705</v>
      </c>
      <c r="C213" s="97">
        <v>0</v>
      </c>
      <c r="D213" s="97">
        <v>0</v>
      </c>
      <c r="E213" s="97">
        <v>0</v>
      </c>
      <c r="F213" s="97">
        <v>0</v>
      </c>
      <c r="G213" s="97">
        <v>0</v>
      </c>
      <c r="H213" s="97">
        <v>0</v>
      </c>
      <c r="I213" s="97">
        <v>0</v>
      </c>
      <c r="J213" s="97">
        <v>2.16</v>
      </c>
      <c r="K213" s="97">
        <v>0</v>
      </c>
      <c r="L213" s="97">
        <v>0</v>
      </c>
      <c r="M213" s="97">
        <v>0</v>
      </c>
      <c r="N213" s="97">
        <v>0</v>
      </c>
      <c r="O213" s="97">
        <f t="shared" si="36"/>
        <v>2.16</v>
      </c>
    </row>
    <row r="214" spans="1:15" x14ac:dyDescent="0.2">
      <c r="B214" s="90" t="s">
        <v>185</v>
      </c>
      <c r="C214" s="97">
        <v>0.04</v>
      </c>
      <c r="D214" s="97">
        <v>0.32</v>
      </c>
      <c r="E214" s="97">
        <v>0</v>
      </c>
      <c r="F214" s="97">
        <v>0</v>
      </c>
      <c r="G214" s="97">
        <v>0</v>
      </c>
      <c r="H214" s="97">
        <v>0</v>
      </c>
      <c r="I214" s="97">
        <v>0</v>
      </c>
      <c r="J214" s="97">
        <v>0</v>
      </c>
      <c r="K214" s="97">
        <v>0</v>
      </c>
      <c r="L214" s="97">
        <v>0</v>
      </c>
      <c r="M214" s="97">
        <v>0</v>
      </c>
      <c r="N214" s="97">
        <v>0</v>
      </c>
      <c r="O214" s="97">
        <f t="shared" si="36"/>
        <v>0.36</v>
      </c>
    </row>
    <row r="215" spans="1:15" x14ac:dyDescent="0.2">
      <c r="B215" s="90" t="s">
        <v>187</v>
      </c>
      <c r="C215" s="97">
        <v>91.44</v>
      </c>
      <c r="D215" s="97">
        <v>7.47</v>
      </c>
      <c r="E215" s="97">
        <v>41.42</v>
      </c>
      <c r="F215" s="97">
        <v>0.93500000000000005</v>
      </c>
      <c r="G215" s="97">
        <v>27.849</v>
      </c>
      <c r="H215" s="97">
        <v>30.117999999999999</v>
      </c>
      <c r="I215" s="97">
        <v>8.5549999999999997</v>
      </c>
      <c r="J215" s="97">
        <v>0.38600000000000001</v>
      </c>
      <c r="K215" s="97">
        <v>0</v>
      </c>
      <c r="L215" s="97">
        <v>21.324999999999999</v>
      </c>
      <c r="M215" s="97">
        <v>68.619</v>
      </c>
      <c r="N215" s="97">
        <v>0</v>
      </c>
      <c r="O215" s="97">
        <f t="shared" si="36"/>
        <v>298.11699999999996</v>
      </c>
    </row>
    <row r="216" spans="1:15" x14ac:dyDescent="0.2">
      <c r="B216" s="90" t="s">
        <v>745</v>
      </c>
      <c r="C216" s="97">
        <v>14.64</v>
      </c>
      <c r="D216" s="97">
        <v>7.82</v>
      </c>
      <c r="E216" s="97">
        <v>10.79</v>
      </c>
      <c r="F216" s="97">
        <v>12.837</v>
      </c>
      <c r="G216" s="97">
        <v>10.323</v>
      </c>
      <c r="H216" s="97">
        <v>14.797000000000001</v>
      </c>
      <c r="I216" s="97">
        <v>15.101000000000001</v>
      </c>
      <c r="J216" s="97">
        <v>12.75</v>
      </c>
      <c r="K216" s="97">
        <v>10.446999999999999</v>
      </c>
      <c r="L216" s="97">
        <v>9.3919999999999995</v>
      </c>
      <c r="M216" s="97">
        <v>11.531000000000001</v>
      </c>
      <c r="N216" s="97">
        <v>3.5630000000000002</v>
      </c>
      <c r="O216" s="97">
        <f t="shared" si="36"/>
        <v>133.99099999999999</v>
      </c>
    </row>
    <row r="217" spans="1:15" x14ac:dyDescent="0.2">
      <c r="B217" s="90" t="s">
        <v>746</v>
      </c>
      <c r="C217" s="97">
        <v>0</v>
      </c>
      <c r="D217" s="97">
        <v>0</v>
      </c>
      <c r="E217" s="97">
        <v>0</v>
      </c>
      <c r="F217" s="97">
        <v>0</v>
      </c>
      <c r="G217" s="97">
        <v>0</v>
      </c>
      <c r="H217" s="97">
        <v>0</v>
      </c>
      <c r="I217" s="97">
        <v>1.7999999999999999E-2</v>
      </c>
      <c r="J217" s="97">
        <v>0</v>
      </c>
      <c r="K217" s="97">
        <v>0</v>
      </c>
      <c r="L217" s="97">
        <v>0</v>
      </c>
      <c r="M217" s="97">
        <v>0</v>
      </c>
      <c r="N217" s="97">
        <v>0</v>
      </c>
      <c r="O217" s="97">
        <f t="shared" si="36"/>
        <v>1.7999999999999999E-2</v>
      </c>
    </row>
    <row r="218" spans="1:15" x14ac:dyDescent="0.2">
      <c r="B218" s="90" t="s">
        <v>190</v>
      </c>
      <c r="C218" s="97">
        <v>15.36</v>
      </c>
      <c r="D218" s="97">
        <v>0.92</v>
      </c>
      <c r="E218" s="97">
        <v>4.3099999999999996</v>
      </c>
      <c r="F218" s="97">
        <v>3.7690000000000001</v>
      </c>
      <c r="G218" s="97">
        <v>20.468</v>
      </c>
      <c r="H218" s="97">
        <v>9.32</v>
      </c>
      <c r="I218" s="97">
        <v>13.702999999999999</v>
      </c>
      <c r="J218" s="97">
        <v>2.641</v>
      </c>
      <c r="K218" s="97">
        <v>0.97499999999999998</v>
      </c>
      <c r="L218" s="97">
        <v>5.4260000000000002</v>
      </c>
      <c r="M218" s="97">
        <v>7.3209999999999997</v>
      </c>
      <c r="N218" s="97">
        <v>0.48499999999999999</v>
      </c>
      <c r="O218" s="97">
        <f t="shared" si="36"/>
        <v>84.697999999999993</v>
      </c>
    </row>
    <row r="219" spans="1:15" x14ac:dyDescent="0.2">
      <c r="B219" s="90" t="s">
        <v>191</v>
      </c>
      <c r="C219" s="97">
        <v>0</v>
      </c>
      <c r="D219" s="97">
        <v>0</v>
      </c>
      <c r="E219" s="97">
        <v>0</v>
      </c>
      <c r="F219" s="97">
        <v>0</v>
      </c>
      <c r="G219" s="97">
        <v>0</v>
      </c>
      <c r="H219" s="97">
        <v>0</v>
      </c>
      <c r="I219" s="97">
        <v>1.0999999999999999E-2</v>
      </c>
      <c r="J219" s="97">
        <v>0</v>
      </c>
      <c r="K219" s="97">
        <v>0</v>
      </c>
      <c r="L219" s="97">
        <v>0</v>
      </c>
      <c r="M219" s="97">
        <v>0</v>
      </c>
      <c r="N219" s="97">
        <v>0</v>
      </c>
      <c r="O219" s="97">
        <f t="shared" si="36"/>
        <v>1.0999999999999999E-2</v>
      </c>
    </row>
    <row r="220" spans="1:15" x14ac:dyDescent="0.2">
      <c r="B220" s="90" t="s">
        <v>747</v>
      </c>
      <c r="C220" s="97">
        <v>0</v>
      </c>
      <c r="D220" s="97">
        <v>0.01</v>
      </c>
      <c r="E220" s="97">
        <v>0</v>
      </c>
      <c r="F220" s="97">
        <v>0</v>
      </c>
      <c r="G220" s="97">
        <v>0</v>
      </c>
      <c r="H220" s="97">
        <v>0</v>
      </c>
      <c r="I220" s="97">
        <v>0</v>
      </c>
      <c r="J220" s="97">
        <v>0</v>
      </c>
      <c r="K220" s="97">
        <v>0</v>
      </c>
      <c r="L220" s="97">
        <v>0</v>
      </c>
      <c r="M220" s="97">
        <v>0</v>
      </c>
      <c r="N220" s="97">
        <v>0</v>
      </c>
      <c r="O220" s="97">
        <f t="shared" si="36"/>
        <v>0.01</v>
      </c>
    </row>
    <row r="221" spans="1:15" x14ac:dyDescent="0.2">
      <c r="B221" s="90" t="s">
        <v>195</v>
      </c>
      <c r="C221" s="97">
        <v>0.54</v>
      </c>
      <c r="D221" s="97">
        <v>0.04</v>
      </c>
      <c r="E221" s="97">
        <v>0.02</v>
      </c>
      <c r="F221" s="97">
        <v>0</v>
      </c>
      <c r="G221" s="97">
        <v>0</v>
      </c>
      <c r="H221" s="97">
        <v>0</v>
      </c>
      <c r="I221" s="97">
        <v>0</v>
      </c>
      <c r="J221" s="97">
        <v>2.2240000000000002</v>
      </c>
      <c r="K221" s="97">
        <v>0</v>
      </c>
      <c r="L221" s="97">
        <v>0.39300000000000002</v>
      </c>
      <c r="M221" s="97">
        <v>0</v>
      </c>
      <c r="N221" s="97">
        <v>0</v>
      </c>
      <c r="O221" s="97">
        <f t="shared" si="36"/>
        <v>3.2170000000000005</v>
      </c>
    </row>
    <row r="222" spans="1:15" x14ac:dyDescent="0.2">
      <c r="B222" s="90" t="s">
        <v>748</v>
      </c>
      <c r="C222" s="97">
        <v>0</v>
      </c>
      <c r="D222" s="97">
        <v>0</v>
      </c>
      <c r="E222" s="97">
        <v>0</v>
      </c>
      <c r="F222" s="97">
        <v>0</v>
      </c>
      <c r="G222" s="97">
        <v>0</v>
      </c>
      <c r="H222" s="97">
        <v>0</v>
      </c>
      <c r="I222" s="97">
        <v>0</v>
      </c>
      <c r="J222" s="97">
        <v>0</v>
      </c>
      <c r="K222" s="97">
        <v>1.7999999999999999E-2</v>
      </c>
      <c r="L222" s="97">
        <v>0</v>
      </c>
      <c r="M222" s="97">
        <v>0</v>
      </c>
      <c r="N222" s="97">
        <v>0</v>
      </c>
      <c r="O222" s="97">
        <f t="shared" si="36"/>
        <v>1.7999999999999999E-2</v>
      </c>
    </row>
    <row r="223" spans="1:15" x14ac:dyDescent="0.2">
      <c r="B223" s="90" t="s">
        <v>671</v>
      </c>
      <c r="C223" s="97">
        <v>0</v>
      </c>
      <c r="D223" s="97">
        <v>0</v>
      </c>
      <c r="E223" s="97">
        <v>0.31</v>
      </c>
      <c r="F223" s="97">
        <v>0.153</v>
      </c>
      <c r="G223" s="97">
        <v>0.153</v>
      </c>
      <c r="H223" s="97">
        <v>0.30599999999999999</v>
      </c>
      <c r="I223" s="97">
        <v>0.114</v>
      </c>
      <c r="J223" s="97">
        <v>0.94199999999999995</v>
      </c>
      <c r="K223" s="97">
        <v>0.33100000000000002</v>
      </c>
      <c r="L223" s="97">
        <v>0.33100000000000002</v>
      </c>
      <c r="M223" s="97">
        <v>0.33100000000000002</v>
      </c>
      <c r="N223" s="97">
        <v>0</v>
      </c>
      <c r="O223" s="97">
        <f t="shared" si="36"/>
        <v>2.9710000000000001</v>
      </c>
    </row>
    <row r="224" spans="1:15" x14ac:dyDescent="0.2">
      <c r="B224" s="90" t="s">
        <v>197</v>
      </c>
      <c r="C224" s="97">
        <v>0.01</v>
      </c>
      <c r="D224" s="97">
        <v>0</v>
      </c>
      <c r="E224" s="97">
        <v>0.05</v>
      </c>
      <c r="F224" s="97">
        <v>0</v>
      </c>
      <c r="G224" s="97">
        <v>0</v>
      </c>
      <c r="H224" s="97">
        <v>3.7999999999999999E-2</v>
      </c>
      <c r="I224" s="97">
        <v>0.04</v>
      </c>
      <c r="J224" s="97">
        <v>0</v>
      </c>
      <c r="K224" s="97">
        <v>0</v>
      </c>
      <c r="L224" s="97">
        <v>6.0000000000000001E-3</v>
      </c>
      <c r="M224" s="97">
        <v>0</v>
      </c>
      <c r="N224" s="97">
        <v>0</v>
      </c>
      <c r="O224" s="97">
        <f t="shared" si="36"/>
        <v>0.14400000000000002</v>
      </c>
    </row>
    <row r="225" spans="2:15" x14ac:dyDescent="0.2">
      <c r="B225" s="90" t="s">
        <v>780</v>
      </c>
      <c r="C225" s="97">
        <v>0.24</v>
      </c>
      <c r="D225" s="97">
        <v>0.04</v>
      </c>
      <c r="E225" s="97">
        <v>0.14000000000000001</v>
      </c>
      <c r="F225" s="97">
        <v>0</v>
      </c>
      <c r="G225" s="97">
        <v>0.374</v>
      </c>
      <c r="H225" s="97">
        <v>0.92700000000000005</v>
      </c>
      <c r="I225" s="97">
        <v>0</v>
      </c>
      <c r="J225" s="97">
        <v>0</v>
      </c>
      <c r="K225" s="97">
        <v>0</v>
      </c>
      <c r="L225" s="97">
        <v>0</v>
      </c>
      <c r="M225" s="97">
        <v>0.32100000000000001</v>
      </c>
      <c r="N225" s="97">
        <v>0</v>
      </c>
      <c r="O225" s="97">
        <f t="shared" si="36"/>
        <v>2.0420000000000003</v>
      </c>
    </row>
    <row r="226" spans="2:15" x14ac:dyDescent="0.2">
      <c r="B226" s="90" t="s">
        <v>781</v>
      </c>
      <c r="C226" s="97">
        <v>0</v>
      </c>
      <c r="D226" s="97">
        <v>0</v>
      </c>
      <c r="E226" s="97">
        <v>0</v>
      </c>
      <c r="F226" s="97">
        <v>0</v>
      </c>
      <c r="G226" s="97">
        <v>1.2E-2</v>
      </c>
      <c r="H226" s="97">
        <v>0</v>
      </c>
      <c r="I226" s="97">
        <v>8.0000000000000002E-3</v>
      </c>
      <c r="J226" s="97">
        <v>0.107</v>
      </c>
      <c r="K226" s="97">
        <v>0</v>
      </c>
      <c r="L226" s="97">
        <v>6.8000000000000005E-2</v>
      </c>
      <c r="M226" s="97">
        <v>1.0999999999999999E-2</v>
      </c>
      <c r="N226" s="97">
        <v>0</v>
      </c>
      <c r="O226" s="97">
        <f t="shared" si="36"/>
        <v>0.20600000000000002</v>
      </c>
    </row>
    <row r="227" spans="2:15" x14ac:dyDescent="0.2">
      <c r="B227" s="90" t="s">
        <v>204</v>
      </c>
      <c r="C227" s="97">
        <v>0.02</v>
      </c>
      <c r="D227" s="97">
        <v>0</v>
      </c>
      <c r="E227" s="97">
        <v>0</v>
      </c>
      <c r="F227" s="97">
        <v>0</v>
      </c>
      <c r="G227" s="97">
        <v>0</v>
      </c>
      <c r="H227" s="97">
        <v>0.193</v>
      </c>
      <c r="I227" s="97">
        <v>0</v>
      </c>
      <c r="J227" s="97">
        <v>0</v>
      </c>
      <c r="K227" s="97">
        <v>0</v>
      </c>
      <c r="L227" s="97">
        <v>0.04</v>
      </c>
      <c r="M227" s="97">
        <v>0</v>
      </c>
      <c r="N227" s="97">
        <v>0</v>
      </c>
      <c r="O227" s="97">
        <f t="shared" si="36"/>
        <v>0.253</v>
      </c>
    </row>
    <row r="228" spans="2:15" x14ac:dyDescent="0.2">
      <c r="B228" s="90" t="s">
        <v>749</v>
      </c>
      <c r="C228" s="97">
        <v>0.25</v>
      </c>
      <c r="D228" s="97">
        <v>0</v>
      </c>
      <c r="E228" s="97">
        <v>0.4</v>
      </c>
      <c r="F228" s="97">
        <v>0</v>
      </c>
      <c r="G228" s="97">
        <v>0</v>
      </c>
      <c r="H228" s="97">
        <v>0.74199999999999999</v>
      </c>
      <c r="I228" s="97">
        <v>0.247</v>
      </c>
      <c r="J228" s="97">
        <v>0</v>
      </c>
      <c r="K228" s="97">
        <v>0</v>
      </c>
      <c r="L228" s="97">
        <v>0.25600000000000001</v>
      </c>
      <c r="M228" s="97">
        <v>1.675</v>
      </c>
      <c r="N228" s="97">
        <v>0</v>
      </c>
      <c r="O228" s="97">
        <f t="shared" si="36"/>
        <v>3.57</v>
      </c>
    </row>
    <row r="229" spans="2:15" x14ac:dyDescent="0.2">
      <c r="B229" s="90" t="s">
        <v>750</v>
      </c>
      <c r="C229" s="97">
        <v>0</v>
      </c>
      <c r="D229" s="97">
        <v>0</v>
      </c>
      <c r="E229" s="97">
        <v>0</v>
      </c>
      <c r="F229" s="97">
        <v>0</v>
      </c>
      <c r="G229" s="97">
        <v>0</v>
      </c>
      <c r="H229" s="97">
        <v>0</v>
      </c>
      <c r="I229" s="97">
        <v>1.4E-2</v>
      </c>
      <c r="J229" s="97">
        <v>0</v>
      </c>
      <c r="K229" s="97">
        <v>0</v>
      </c>
      <c r="L229" s="97">
        <v>0</v>
      </c>
      <c r="M229" s="97">
        <v>0</v>
      </c>
      <c r="N229" s="97">
        <v>0</v>
      </c>
      <c r="O229" s="97">
        <f t="shared" si="36"/>
        <v>1.4E-2</v>
      </c>
    </row>
    <row r="230" spans="2:15" ht="28.5" x14ac:dyDescent="0.2">
      <c r="B230" s="187" t="s">
        <v>711</v>
      </c>
      <c r="C230" s="97">
        <v>0.01</v>
      </c>
      <c r="D230" s="97">
        <v>0.03</v>
      </c>
      <c r="E230" s="97">
        <v>0</v>
      </c>
      <c r="F230" s="97">
        <v>0</v>
      </c>
      <c r="G230" s="97">
        <v>0.317</v>
      </c>
      <c r="H230" s="97">
        <v>5.0000000000000001E-3</v>
      </c>
      <c r="I230" s="97">
        <v>0</v>
      </c>
      <c r="J230" s="97">
        <v>0</v>
      </c>
      <c r="K230" s="97">
        <v>0</v>
      </c>
      <c r="L230" s="97">
        <v>5.0000000000000001E-3</v>
      </c>
      <c r="M230" s="97">
        <v>0</v>
      </c>
      <c r="N230" s="97">
        <v>0</v>
      </c>
      <c r="O230" s="97">
        <f t="shared" si="36"/>
        <v>0.36699999999999999</v>
      </c>
    </row>
    <row r="231" spans="2:15" x14ac:dyDescent="0.2">
      <c r="B231" s="90" t="s">
        <v>751</v>
      </c>
      <c r="C231" s="97">
        <v>0.06</v>
      </c>
      <c r="D231" s="97">
        <v>0</v>
      </c>
      <c r="E231" s="97">
        <v>0</v>
      </c>
      <c r="F231" s="97">
        <v>0</v>
      </c>
      <c r="G231" s="97">
        <v>0</v>
      </c>
      <c r="H231" s="97">
        <v>0</v>
      </c>
      <c r="I231" s="97">
        <v>0</v>
      </c>
      <c r="J231" s="97">
        <v>0</v>
      </c>
      <c r="K231" s="97">
        <v>0</v>
      </c>
      <c r="L231" s="97">
        <v>0</v>
      </c>
      <c r="M231" s="97">
        <v>0</v>
      </c>
      <c r="N231" s="97">
        <v>0</v>
      </c>
      <c r="O231" s="97">
        <f t="shared" si="36"/>
        <v>0.06</v>
      </c>
    </row>
    <row r="232" spans="2:15" x14ac:dyDescent="0.2">
      <c r="B232" s="90" t="s">
        <v>771</v>
      </c>
      <c r="C232" s="97">
        <v>0.04</v>
      </c>
      <c r="D232" s="97">
        <v>0.02</v>
      </c>
      <c r="E232" s="97">
        <v>0.02</v>
      </c>
      <c r="F232" s="97">
        <v>8.0000000000000002E-3</v>
      </c>
      <c r="G232" s="97">
        <v>0</v>
      </c>
      <c r="H232" s="97">
        <v>0</v>
      </c>
      <c r="I232" s="97">
        <v>8.0000000000000002E-3</v>
      </c>
      <c r="J232" s="97">
        <v>0.01</v>
      </c>
      <c r="K232" s="97">
        <v>8.0000000000000002E-3</v>
      </c>
      <c r="L232" s="97">
        <v>1.4999999999999999E-2</v>
      </c>
      <c r="M232" s="97">
        <v>1.0999999999999999E-2</v>
      </c>
      <c r="N232" s="97">
        <v>8.9999999999999993E-3</v>
      </c>
      <c r="O232" s="97">
        <f t="shared" si="36"/>
        <v>0.14900000000000002</v>
      </c>
    </row>
    <row r="233" spans="2:15" x14ac:dyDescent="0.2">
      <c r="B233" s="90" t="s">
        <v>212</v>
      </c>
      <c r="C233" s="97">
        <v>2.2599999999999998</v>
      </c>
      <c r="D233" s="97">
        <v>0</v>
      </c>
      <c r="E233" s="97">
        <v>0.01</v>
      </c>
      <c r="F233" s="97">
        <v>0</v>
      </c>
      <c r="G233" s="97">
        <v>0</v>
      </c>
      <c r="H233" s="97">
        <v>1.9E-2</v>
      </c>
      <c r="I233" s="97">
        <v>1.4999999999999999E-2</v>
      </c>
      <c r="J233" s="97">
        <v>1.4E-2</v>
      </c>
      <c r="K233" s="97">
        <v>0.13100000000000001</v>
      </c>
      <c r="L233" s="97">
        <v>3.9E-2</v>
      </c>
      <c r="M233" s="97">
        <v>3.7999999999999999E-2</v>
      </c>
      <c r="N233" s="97">
        <v>0</v>
      </c>
      <c r="O233" s="97">
        <f t="shared" si="36"/>
        <v>2.5259999999999998</v>
      </c>
    </row>
    <row r="234" spans="2:15" x14ac:dyDescent="0.2">
      <c r="B234" s="90" t="s">
        <v>215</v>
      </c>
      <c r="C234" s="97">
        <v>0.61</v>
      </c>
      <c r="D234" s="97">
        <v>0</v>
      </c>
      <c r="E234" s="97">
        <v>0.02</v>
      </c>
      <c r="F234" s="97">
        <v>0</v>
      </c>
      <c r="G234" s="97">
        <v>0</v>
      </c>
      <c r="H234" s="97">
        <v>0</v>
      </c>
      <c r="I234" s="97">
        <v>1.2E-2</v>
      </c>
      <c r="J234" s="97">
        <v>0</v>
      </c>
      <c r="K234" s="97">
        <v>0</v>
      </c>
      <c r="L234" s="97">
        <v>0</v>
      </c>
      <c r="M234" s="97">
        <v>1.7000000000000001E-2</v>
      </c>
      <c r="N234" s="97">
        <v>0</v>
      </c>
      <c r="O234" s="97">
        <f t="shared" si="36"/>
        <v>0.65900000000000003</v>
      </c>
    </row>
    <row r="235" spans="2:15" x14ac:dyDescent="0.2">
      <c r="B235" s="90" t="s">
        <v>752</v>
      </c>
      <c r="C235" s="97">
        <v>0</v>
      </c>
      <c r="D235" s="97">
        <v>0</v>
      </c>
      <c r="E235" s="97">
        <v>0</v>
      </c>
      <c r="F235" s="97">
        <v>0</v>
      </c>
      <c r="G235" s="97">
        <v>0</v>
      </c>
      <c r="H235" s="97">
        <v>0</v>
      </c>
      <c r="I235" s="97">
        <v>0</v>
      </c>
      <c r="J235" s="97">
        <v>0</v>
      </c>
      <c r="K235" s="97">
        <v>0</v>
      </c>
      <c r="L235" s="97">
        <v>0</v>
      </c>
      <c r="M235" s="97">
        <v>0.11799999999999999</v>
      </c>
      <c r="N235" s="97">
        <v>0</v>
      </c>
      <c r="O235" s="97">
        <f t="shared" si="36"/>
        <v>0.11799999999999999</v>
      </c>
    </row>
    <row r="236" spans="2:15" x14ac:dyDescent="0.2">
      <c r="B236" s="90" t="s">
        <v>772</v>
      </c>
      <c r="C236" s="97">
        <v>27.34</v>
      </c>
      <c r="D236" s="97">
        <v>13.56</v>
      </c>
      <c r="E236" s="97">
        <v>21.69</v>
      </c>
      <c r="F236" s="97">
        <v>16.184999999999999</v>
      </c>
      <c r="G236" s="97">
        <v>13.866</v>
      </c>
      <c r="H236" s="97">
        <v>15.316000000000001</v>
      </c>
      <c r="I236" s="97">
        <v>19.081</v>
      </c>
      <c r="J236" s="97">
        <v>14.172000000000001</v>
      </c>
      <c r="K236" s="97">
        <v>10.276</v>
      </c>
      <c r="L236" s="97">
        <v>10.154</v>
      </c>
      <c r="M236" s="97">
        <v>16.715</v>
      </c>
      <c r="N236" s="97">
        <v>5.4139999999999997</v>
      </c>
      <c r="O236" s="97">
        <f t="shared" si="36"/>
        <v>183.76900000000001</v>
      </c>
    </row>
    <row r="237" spans="2:15" x14ac:dyDescent="0.2">
      <c r="B237" s="90" t="s">
        <v>773</v>
      </c>
      <c r="C237" s="97">
        <v>0.35</v>
      </c>
      <c r="D237" s="97">
        <v>0.05</v>
      </c>
      <c r="E237" s="97">
        <v>0.09</v>
      </c>
      <c r="F237" s="97">
        <v>0</v>
      </c>
      <c r="G237" s="97">
        <v>8.0000000000000002E-3</v>
      </c>
      <c r="H237" s="97">
        <v>0</v>
      </c>
      <c r="I237" s="97">
        <v>0</v>
      </c>
      <c r="J237" s="97">
        <v>0</v>
      </c>
      <c r="K237" s="97">
        <v>0</v>
      </c>
      <c r="L237" s="97">
        <v>5.0000000000000001E-3</v>
      </c>
      <c r="M237" s="97">
        <v>0</v>
      </c>
      <c r="N237" s="97">
        <v>0</v>
      </c>
      <c r="O237" s="97">
        <f t="shared" si="36"/>
        <v>0.503</v>
      </c>
    </row>
    <row r="238" spans="2:15" x14ac:dyDescent="0.2">
      <c r="B238" s="90" t="s">
        <v>692</v>
      </c>
      <c r="C238" s="97">
        <v>0.45</v>
      </c>
      <c r="D238" s="97">
        <v>0.09</v>
      </c>
      <c r="E238" s="97">
        <v>0.02</v>
      </c>
      <c r="F238" s="97">
        <v>0.23499999999999999</v>
      </c>
      <c r="G238" s="97">
        <v>0</v>
      </c>
      <c r="H238" s="97">
        <v>0.16</v>
      </c>
      <c r="I238" s="97">
        <v>7.4999999999999997E-2</v>
      </c>
      <c r="J238" s="97">
        <v>3.1E-2</v>
      </c>
      <c r="K238" s="97">
        <v>0.19600000000000001</v>
      </c>
      <c r="L238" s="97">
        <v>0</v>
      </c>
      <c r="M238" s="97">
        <v>0</v>
      </c>
      <c r="N238" s="97">
        <v>0</v>
      </c>
      <c r="O238" s="97">
        <f t="shared" si="36"/>
        <v>1.2569999999999999</v>
      </c>
    </row>
    <row r="239" spans="2:15" x14ac:dyDescent="0.2">
      <c r="B239" s="90" t="s">
        <v>753</v>
      </c>
      <c r="C239" s="97">
        <v>0</v>
      </c>
      <c r="D239" s="97">
        <v>0</v>
      </c>
      <c r="E239" s="97">
        <v>0</v>
      </c>
      <c r="F239" s="97">
        <v>0</v>
      </c>
      <c r="G239" s="97">
        <v>0</v>
      </c>
      <c r="H239" s="97">
        <v>0.443</v>
      </c>
      <c r="I239" s="97">
        <v>0</v>
      </c>
      <c r="J239" s="97">
        <v>0</v>
      </c>
      <c r="K239" s="97">
        <v>0</v>
      </c>
      <c r="L239" s="97">
        <v>0</v>
      </c>
      <c r="M239" s="97">
        <v>0</v>
      </c>
      <c r="N239" s="97">
        <v>0</v>
      </c>
      <c r="O239" s="97">
        <f t="shared" si="36"/>
        <v>0.443</v>
      </c>
    </row>
    <row r="240" spans="2:15" x14ac:dyDescent="0.2">
      <c r="B240" s="90" t="s">
        <v>754</v>
      </c>
      <c r="C240" s="97">
        <v>0.05</v>
      </c>
      <c r="D240" s="97">
        <v>0</v>
      </c>
      <c r="E240" s="97">
        <v>0</v>
      </c>
      <c r="F240" s="97">
        <v>0</v>
      </c>
      <c r="G240" s="97">
        <v>0</v>
      </c>
      <c r="H240" s="97">
        <v>0</v>
      </c>
      <c r="I240" s="97">
        <v>0</v>
      </c>
      <c r="J240" s="97">
        <v>0</v>
      </c>
      <c r="K240" s="97">
        <v>0</v>
      </c>
      <c r="L240" s="97">
        <v>0</v>
      </c>
      <c r="M240" s="97">
        <v>0</v>
      </c>
      <c r="N240" s="97">
        <v>0</v>
      </c>
      <c r="O240" s="97">
        <f t="shared" si="36"/>
        <v>0.05</v>
      </c>
    </row>
    <row r="241" spans="1:15" x14ac:dyDescent="0.2">
      <c r="B241" s="90" t="s">
        <v>220</v>
      </c>
      <c r="C241" s="97">
        <v>3.82</v>
      </c>
      <c r="D241" s="97">
        <v>1.74</v>
      </c>
      <c r="E241" s="97">
        <v>0.27</v>
      </c>
      <c r="F241" s="97">
        <v>0.39300000000000002</v>
      </c>
      <c r="G241" s="97">
        <v>0.51800000000000002</v>
      </c>
      <c r="H241" s="97">
        <v>1.4239999999999999</v>
      </c>
      <c r="I241" s="97">
        <v>6.0659999999999998</v>
      </c>
      <c r="J241" s="97">
        <v>0.22900000000000001</v>
      </c>
      <c r="K241" s="97">
        <v>5.0999999999999997E-2</v>
      </c>
      <c r="L241" s="97">
        <v>1.034</v>
      </c>
      <c r="M241" s="97">
        <v>0.24399999999999999</v>
      </c>
      <c r="N241" s="97">
        <v>0</v>
      </c>
      <c r="O241" s="97">
        <f t="shared" si="36"/>
        <v>15.788999999999998</v>
      </c>
    </row>
    <row r="242" spans="1:15" x14ac:dyDescent="0.2">
      <c r="B242" s="90" t="s">
        <v>221</v>
      </c>
      <c r="C242" s="97">
        <v>4.38</v>
      </c>
      <c r="D242" s="97">
        <v>1.37</v>
      </c>
      <c r="E242" s="97">
        <v>5.59</v>
      </c>
      <c r="F242" s="97">
        <v>0.76900000000000002</v>
      </c>
      <c r="G242" s="97">
        <v>2.8220000000000001</v>
      </c>
      <c r="H242" s="97">
        <v>0.53600000000000003</v>
      </c>
      <c r="I242" s="97">
        <v>1.004</v>
      </c>
      <c r="J242" s="97">
        <v>1.226</v>
      </c>
      <c r="K242" s="97">
        <v>0.36099999999999999</v>
      </c>
      <c r="L242" s="97">
        <v>3.1280000000000001</v>
      </c>
      <c r="M242" s="97">
        <v>4.6740000000000004</v>
      </c>
      <c r="N242" s="97">
        <v>0.311</v>
      </c>
      <c r="O242" s="97">
        <f t="shared" si="36"/>
        <v>26.170999999999999</v>
      </c>
    </row>
    <row r="243" spans="1:15" x14ac:dyDescent="0.2">
      <c r="C243" s="97"/>
      <c r="D243" s="97"/>
      <c r="E243" s="97"/>
      <c r="F243" s="97"/>
      <c r="G243" s="97"/>
      <c r="H243" s="97"/>
      <c r="I243" s="97"/>
      <c r="J243" s="97"/>
      <c r="K243" s="97"/>
      <c r="L243" s="97"/>
      <c r="M243" s="97"/>
      <c r="N243" s="97"/>
      <c r="O243" s="97"/>
    </row>
    <row r="244" spans="1:15" ht="15" x14ac:dyDescent="0.25">
      <c r="B244" s="89" t="s">
        <v>222</v>
      </c>
      <c r="C244" s="175">
        <f>C210+C206+C197+C191+C186+C183+C166+C155+C150+C147+C137+C130+C123+C117+C112+C92+C83+C80+C58+C55+C40+C32+C9</f>
        <v>6785.0499999999993</v>
      </c>
      <c r="D244" s="175">
        <f t="shared" ref="D244:O244" si="37">D210+D206+D197+D191+D186+D183+D166+D155+D150+D147+D137+D130+D123+D117+D112+D92+D83+D80+D58+D55+D40+D32+D9</f>
        <v>2562.75</v>
      </c>
      <c r="E244" s="175">
        <f t="shared" si="37"/>
        <v>5371.23</v>
      </c>
      <c r="F244" s="175">
        <f t="shared" si="37"/>
        <v>1261.982</v>
      </c>
      <c r="G244" s="175">
        <f t="shared" si="37"/>
        <v>2783.5970000000002</v>
      </c>
      <c r="H244" s="175">
        <f t="shared" si="37"/>
        <v>3105.8199999999997</v>
      </c>
      <c r="I244" s="175">
        <f t="shared" si="37"/>
        <v>2262.1959999999999</v>
      </c>
      <c r="J244" s="175">
        <f t="shared" si="37"/>
        <v>1252.9619999999995</v>
      </c>
      <c r="K244" s="175">
        <f t="shared" si="37"/>
        <v>972.03400000000011</v>
      </c>
      <c r="L244" s="175">
        <f t="shared" si="37"/>
        <v>2508.4690000000005</v>
      </c>
      <c r="M244" s="175">
        <f t="shared" si="37"/>
        <v>2407.3850000000002</v>
      </c>
      <c r="N244" s="175">
        <f t="shared" si="37"/>
        <v>416.577</v>
      </c>
      <c r="O244" s="175">
        <f t="shared" si="37"/>
        <v>31690.052</v>
      </c>
    </row>
    <row r="245" spans="1:15" ht="12.75" customHeight="1" x14ac:dyDescent="0.2">
      <c r="A245" s="112" t="s">
        <v>223</v>
      </c>
      <c r="J245" s="176"/>
    </row>
    <row r="246" spans="1:15" ht="12.75" customHeight="1" x14ac:dyDescent="0.2">
      <c r="A246" s="92"/>
      <c r="B246" s="92"/>
      <c r="C246" s="92"/>
      <c r="D246" s="92"/>
      <c r="E246" s="92"/>
      <c r="F246" s="92"/>
      <c r="G246" s="92"/>
      <c r="H246" s="92"/>
      <c r="I246" s="92"/>
      <c r="J246" s="92"/>
      <c r="K246" s="92"/>
      <c r="L246" s="92"/>
      <c r="M246" s="92"/>
      <c r="N246" s="92"/>
    </row>
    <row r="247" spans="1:15" ht="12.75" customHeight="1" x14ac:dyDescent="0.2">
      <c r="A247" s="119"/>
      <c r="B247" s="119"/>
      <c r="C247" s="119"/>
      <c r="D247" s="119"/>
      <c r="E247" s="119"/>
      <c r="F247" s="119"/>
      <c r="G247" s="119"/>
      <c r="H247" s="119"/>
      <c r="I247" s="119"/>
      <c r="J247" s="119"/>
      <c r="K247" s="119"/>
      <c r="L247" s="119"/>
      <c r="M247" s="119"/>
      <c r="N247" s="119"/>
    </row>
    <row r="248" spans="1:15" ht="12.75" customHeight="1" x14ac:dyDescent="0.2">
      <c r="A248" s="119"/>
      <c r="B248" s="119"/>
      <c r="C248" s="119"/>
      <c r="D248" s="119"/>
      <c r="E248" s="119"/>
      <c r="F248" s="119"/>
      <c r="G248" s="119"/>
      <c r="H248" s="119"/>
      <c r="I248" s="119"/>
      <c r="J248" s="119"/>
      <c r="K248" s="119"/>
      <c r="L248" s="119"/>
      <c r="M248" s="119"/>
      <c r="N248" s="119"/>
    </row>
    <row r="249" spans="1:15" ht="12.75" customHeight="1" x14ac:dyDescent="0.2">
      <c r="A249" s="92" t="s">
        <v>225</v>
      </c>
    </row>
    <row r="250" spans="1:15" ht="12.75" customHeight="1" x14ac:dyDescent="0.2"/>
    <row r="251" spans="1:15" ht="12" customHeight="1" x14ac:dyDescent="0.2">
      <c r="B251" s="92"/>
    </row>
    <row r="252" spans="1:15" ht="12" customHeight="1" x14ac:dyDescent="0.2">
      <c r="C252" s="91"/>
      <c r="D252" s="91"/>
      <c r="E252" s="91"/>
      <c r="F252" s="91"/>
      <c r="G252" s="91"/>
      <c r="H252" s="91"/>
      <c r="I252" s="91"/>
      <c r="J252" s="91"/>
      <c r="K252" s="91"/>
      <c r="L252" s="91"/>
      <c r="M252" s="91"/>
      <c r="N252" s="91"/>
    </row>
    <row r="253" spans="1:15" ht="12" customHeight="1" x14ac:dyDescent="0.2">
      <c r="A253" s="92" t="s">
        <v>226</v>
      </c>
    </row>
    <row r="254" spans="1:15" ht="12" customHeight="1" x14ac:dyDescent="0.2">
      <c r="A254" s="303"/>
      <c r="B254" s="303"/>
    </row>
    <row r="255" spans="1:15" ht="12" customHeight="1" x14ac:dyDescent="0.2"/>
    <row r="256" spans="1:15" ht="12" customHeight="1" x14ac:dyDescent="0.2">
      <c r="C256" s="91"/>
      <c r="D256" s="91"/>
      <c r="E256" s="91"/>
      <c r="F256" s="91"/>
      <c r="G256" s="91"/>
      <c r="H256" s="91"/>
      <c r="I256" s="91"/>
      <c r="J256" s="91"/>
      <c r="K256" s="91"/>
      <c r="L256" s="91"/>
      <c r="M256" s="91"/>
      <c r="N256" s="91"/>
    </row>
    <row r="257" spans="3:14" ht="12" customHeight="1" x14ac:dyDescent="0.2">
      <c r="C257" s="91"/>
      <c r="D257" s="91"/>
      <c r="E257" s="91"/>
      <c r="F257" s="91"/>
      <c r="G257" s="91"/>
      <c r="H257" s="91"/>
      <c r="I257" s="91"/>
      <c r="J257" s="91"/>
      <c r="K257" s="91"/>
      <c r="L257" s="91"/>
      <c r="M257" s="91"/>
      <c r="N257" s="91"/>
    </row>
    <row r="272" spans="3:14" ht="39" customHeight="1" x14ac:dyDescent="0.2"/>
    <row r="273" ht="39" customHeight="1" x14ac:dyDescent="0.2"/>
    <row r="274" ht="39" customHeight="1" x14ac:dyDescent="0.2"/>
    <row r="275" ht="39" customHeight="1" x14ac:dyDescent="0.2"/>
    <row r="276" ht="39" customHeight="1" x14ac:dyDescent="0.2"/>
    <row r="277" ht="39" customHeight="1" x14ac:dyDescent="0.2"/>
    <row r="278" ht="39" customHeight="1" x14ac:dyDescent="0.2"/>
    <row r="279" ht="39" customHeight="1" x14ac:dyDescent="0.2"/>
    <row r="280" ht="39" customHeight="1" x14ac:dyDescent="0.2"/>
    <row r="281" ht="39" customHeight="1" x14ac:dyDescent="0.2"/>
    <row r="282" ht="39" customHeight="1" x14ac:dyDescent="0.2"/>
    <row r="283" ht="39" customHeight="1" x14ac:dyDescent="0.2"/>
    <row r="284" ht="39" customHeight="1" x14ac:dyDescent="0.2"/>
    <row r="285" ht="39" customHeight="1" x14ac:dyDescent="0.2"/>
    <row r="286" ht="39" customHeight="1" x14ac:dyDescent="0.2"/>
  </sheetData>
  <sortState xmlns:xlrd2="http://schemas.microsoft.com/office/spreadsheetml/2017/richdata2" ref="B167:O181">
    <sortCondition ref="B167"/>
  </sortState>
  <mergeCells count="3">
    <mergeCell ref="A3:C3"/>
    <mergeCell ref="A6:B7"/>
    <mergeCell ref="A254:B254"/>
  </mergeCells>
  <printOptions horizontalCentered="1"/>
  <pageMargins left="0.15748031496062992" right="0.15748031496062992" top="0.74803149606299213" bottom="0.74803149606299213" header="0.31496062992125984" footer="0.31496062992125984"/>
  <pageSetup paperSize="9" scale="50" orientation="portrait" r:id="rId1"/>
  <headerFooter alignWithMargins="0">
    <oddHeader>Page &amp;P&amp;R&amp;F</oddHeader>
  </headerFooter>
  <rowBreaks count="2" manualBreakCount="2">
    <brk id="98" max="14" man="1"/>
    <brk id="18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4"/>
  <sheetViews>
    <sheetView zoomScaleNormal="100" zoomScaleSheetLayoutView="100" workbookViewId="0">
      <pane xSplit="2" ySplit="7" topLeftCell="C199" activePane="bottomRight" state="frozen"/>
      <selection pane="topRight" activeCell="C1" sqref="C1"/>
      <selection pane="bottomLeft" activeCell="A8" sqref="A8"/>
      <selection pane="bottomRight" activeCell="M137" sqref="M137"/>
    </sheetView>
  </sheetViews>
  <sheetFormatPr defaultColWidth="9.140625" defaultRowHeight="14.25" x14ac:dyDescent="0.2"/>
  <cols>
    <col min="1" max="1" width="2.140625" style="90" customWidth="1"/>
    <col min="2" max="2" width="49.85546875" style="90" customWidth="1"/>
    <col min="3" max="4" width="10.42578125" style="90" bestFit="1" customWidth="1"/>
    <col min="5" max="5" width="9" style="90" bestFit="1" customWidth="1"/>
    <col min="6" max="6" width="9" style="90" customWidth="1"/>
    <col min="7" max="7" width="8.42578125" style="90" customWidth="1"/>
    <col min="8" max="8" width="7.42578125" style="90" bestFit="1" customWidth="1"/>
    <col min="9" max="9" width="10.42578125" style="90" bestFit="1" customWidth="1"/>
    <col min="10" max="10" width="8.7109375" style="90" bestFit="1" customWidth="1"/>
    <col min="11" max="12" width="9" style="90" bestFit="1" customWidth="1"/>
    <col min="13" max="13" width="8.7109375" style="90" bestFit="1" customWidth="1"/>
    <col min="14" max="14" width="9" style="90" customWidth="1"/>
    <col min="15" max="15" width="10.42578125" style="90" bestFit="1" customWidth="1"/>
    <col min="16" max="16" width="14.140625" style="90" hidden="1" customWidth="1"/>
    <col min="17" max="17" width="18.85546875" style="90" bestFit="1" customWidth="1"/>
    <col min="18" max="16384" width="9.140625" style="90"/>
  </cols>
  <sheetData>
    <row r="1" spans="1:17" ht="15" x14ac:dyDescent="0.25">
      <c r="A1" s="89" t="s">
        <v>0</v>
      </c>
      <c r="B1" s="89"/>
      <c r="C1" s="89"/>
      <c r="D1" s="89"/>
      <c r="E1" s="89"/>
      <c r="F1" s="89"/>
      <c r="G1" s="89"/>
      <c r="H1" s="89"/>
      <c r="I1" s="89"/>
      <c r="J1" s="89"/>
      <c r="K1" s="89"/>
      <c r="L1" s="89"/>
      <c r="M1" s="184"/>
      <c r="N1" s="184"/>
      <c r="O1" s="185"/>
    </row>
    <row r="2" spans="1:17" ht="15" x14ac:dyDescent="0.25">
      <c r="A2" s="89" t="s">
        <v>1</v>
      </c>
      <c r="B2" s="89"/>
      <c r="C2" s="89"/>
      <c r="D2" s="89"/>
      <c r="E2" s="89"/>
      <c r="F2" s="89"/>
      <c r="G2" s="89"/>
      <c r="H2" s="89"/>
      <c r="I2" s="89"/>
      <c r="J2" s="89"/>
      <c r="K2" s="89"/>
      <c r="L2" s="89"/>
      <c r="M2" s="184"/>
      <c r="N2" s="184"/>
      <c r="O2" s="185"/>
    </row>
    <row r="3" spans="1:17" ht="15" x14ac:dyDescent="0.25">
      <c r="A3" s="300" t="s">
        <v>694</v>
      </c>
      <c r="B3" s="300"/>
      <c r="C3" s="300"/>
      <c r="D3" s="113"/>
      <c r="E3" s="113"/>
      <c r="F3" s="113"/>
      <c r="G3" s="113"/>
      <c r="H3" s="113"/>
      <c r="I3" s="113"/>
      <c r="J3" s="113"/>
      <c r="K3" s="113"/>
      <c r="L3" s="113"/>
      <c r="M3" s="186"/>
      <c r="N3" s="186"/>
      <c r="O3" s="185"/>
    </row>
    <row r="4" spans="1:17" ht="15" x14ac:dyDescent="0.25">
      <c r="A4" s="90" t="s">
        <v>3</v>
      </c>
      <c r="M4" s="185"/>
      <c r="N4" s="185"/>
      <c r="O4" s="185"/>
    </row>
    <row r="5" spans="1:17" x14ac:dyDescent="0.2">
      <c r="A5" s="92" t="s">
        <v>4</v>
      </c>
    </row>
    <row r="6" spans="1:17" ht="12.75" customHeight="1" x14ac:dyDescent="0.25">
      <c r="A6" s="304" t="s">
        <v>5</v>
      </c>
      <c r="B6" s="305"/>
      <c r="C6" s="166" t="s">
        <v>6</v>
      </c>
      <c r="D6" s="166" t="s">
        <v>6</v>
      </c>
      <c r="E6" s="166" t="s">
        <v>6</v>
      </c>
      <c r="F6" s="166" t="s">
        <v>6</v>
      </c>
      <c r="G6" s="166" t="s">
        <v>6</v>
      </c>
      <c r="H6" s="166" t="s">
        <v>6</v>
      </c>
      <c r="I6" s="166" t="s">
        <v>6</v>
      </c>
      <c r="J6" s="166" t="s">
        <v>6</v>
      </c>
      <c r="K6" s="166" t="s">
        <v>6</v>
      </c>
      <c r="L6" s="166" t="s">
        <v>6</v>
      </c>
      <c r="M6" s="166" t="s">
        <v>6</v>
      </c>
      <c r="N6" s="166" t="s">
        <v>6</v>
      </c>
      <c r="O6" s="166" t="s">
        <v>6</v>
      </c>
      <c r="Q6" s="308"/>
    </row>
    <row r="7" spans="1:17" ht="12.75" customHeight="1" x14ac:dyDescent="0.25">
      <c r="A7" s="306"/>
      <c r="B7" s="307"/>
      <c r="C7" s="177" t="s">
        <v>7</v>
      </c>
      <c r="D7" s="177" t="s">
        <v>8</v>
      </c>
      <c r="E7" s="177" t="s">
        <v>9</v>
      </c>
      <c r="F7" s="177" t="s">
        <v>10</v>
      </c>
      <c r="G7" s="177" t="s">
        <v>11</v>
      </c>
      <c r="H7" s="177" t="s">
        <v>12</v>
      </c>
      <c r="I7" s="177" t="s">
        <v>13</v>
      </c>
      <c r="J7" s="177" t="s">
        <v>14</v>
      </c>
      <c r="K7" s="177" t="s">
        <v>237</v>
      </c>
      <c r="L7" s="177" t="s">
        <v>16</v>
      </c>
      <c r="M7" s="177" t="s">
        <v>17</v>
      </c>
      <c r="N7" s="177" t="s">
        <v>18</v>
      </c>
      <c r="O7" s="177" t="s">
        <v>238</v>
      </c>
      <c r="Q7" s="308"/>
    </row>
    <row r="8" spans="1:17" ht="12.75" customHeight="1" x14ac:dyDescent="0.25">
      <c r="A8" s="93"/>
      <c r="B8" s="93"/>
      <c r="C8" s="93"/>
      <c r="D8" s="93"/>
      <c r="E8" s="93"/>
      <c r="F8" s="93"/>
      <c r="G8" s="93"/>
      <c r="H8" s="93"/>
      <c r="I8" s="93"/>
      <c r="J8" s="93"/>
      <c r="K8" s="93"/>
      <c r="L8" s="93"/>
      <c r="M8" s="93"/>
      <c r="N8" s="93"/>
      <c r="O8" s="93"/>
    </row>
    <row r="9" spans="1:17" s="95" customFormat="1" ht="15" x14ac:dyDescent="0.25">
      <c r="A9" s="94" t="s">
        <v>20</v>
      </c>
      <c r="C9" s="96">
        <f t="shared" ref="C9:P9" si="0">SUM(C10:C36)</f>
        <v>661.97</v>
      </c>
      <c r="D9" s="96">
        <f t="shared" si="0"/>
        <v>1379.6899999999998</v>
      </c>
      <c r="E9" s="96">
        <f t="shared" si="0"/>
        <v>225.12000000000003</v>
      </c>
      <c r="F9" s="96">
        <f t="shared" si="0"/>
        <v>18.670000000000005</v>
      </c>
      <c r="G9" s="96">
        <f t="shared" si="0"/>
        <v>0</v>
      </c>
      <c r="H9" s="96">
        <f t="shared" si="0"/>
        <v>19.46</v>
      </c>
      <c r="I9" s="96">
        <f t="shared" si="0"/>
        <v>506.30699999999996</v>
      </c>
      <c r="J9" s="96">
        <f t="shared" si="0"/>
        <v>98.39</v>
      </c>
      <c r="K9" s="96">
        <f t="shared" si="0"/>
        <v>137.22000000000003</v>
      </c>
      <c r="L9" s="96">
        <f t="shared" si="0"/>
        <v>145.52399999999997</v>
      </c>
      <c r="M9" s="96">
        <f t="shared" si="0"/>
        <v>80.100000000000009</v>
      </c>
      <c r="N9" s="96">
        <f t="shared" si="0"/>
        <v>106.55</v>
      </c>
      <c r="O9" s="96">
        <f>SUM(O10:O36)</f>
        <v>3379.0009999999993</v>
      </c>
      <c r="P9" s="96">
        <f t="shared" si="0"/>
        <v>1031026.53</v>
      </c>
      <c r="Q9" s="96"/>
    </row>
    <row r="10" spans="1:17" x14ac:dyDescent="0.2">
      <c r="B10" s="90" t="s">
        <v>21</v>
      </c>
      <c r="C10" s="97">
        <v>2.16</v>
      </c>
      <c r="D10" s="97">
        <v>0.63</v>
      </c>
      <c r="E10" s="97">
        <v>0.04</v>
      </c>
      <c r="F10" s="97">
        <v>7.0000000000000007E-2</v>
      </c>
      <c r="G10" s="97">
        <v>0</v>
      </c>
      <c r="H10" s="97">
        <v>0.49</v>
      </c>
      <c r="I10" s="97">
        <v>1.2869999999999999</v>
      </c>
      <c r="J10" s="97">
        <v>0.05</v>
      </c>
      <c r="K10" s="97">
        <v>0.25</v>
      </c>
      <c r="L10" s="97">
        <v>0.44</v>
      </c>
      <c r="M10" s="97">
        <v>0.06</v>
      </c>
      <c r="N10" s="97">
        <v>1.18</v>
      </c>
      <c r="O10" s="97">
        <f>SUM(C10:N10)</f>
        <v>6.6569999999999991</v>
      </c>
    </row>
    <row r="11" spans="1:17" x14ac:dyDescent="0.2">
      <c r="B11" s="90" t="s">
        <v>22</v>
      </c>
      <c r="C11" s="97">
        <v>12.95</v>
      </c>
      <c r="D11" s="97">
        <v>9.24</v>
      </c>
      <c r="E11" s="97">
        <v>8.42</v>
      </c>
      <c r="F11" s="97">
        <v>0.17</v>
      </c>
      <c r="G11" s="97">
        <v>0</v>
      </c>
      <c r="H11" s="97">
        <v>0.67</v>
      </c>
      <c r="I11" s="97">
        <v>12.976000000000001</v>
      </c>
      <c r="J11" s="97">
        <v>19.36</v>
      </c>
      <c r="K11" s="97">
        <v>7.07</v>
      </c>
      <c r="L11" s="97">
        <v>2.34</v>
      </c>
      <c r="M11" s="97">
        <v>6.24</v>
      </c>
      <c r="N11" s="97">
        <v>4.25</v>
      </c>
      <c r="O11" s="97">
        <f t="shared" ref="O11:O36" si="1">SUM(C11:N11)</f>
        <v>83.685999999999993</v>
      </c>
    </row>
    <row r="12" spans="1:17" hidden="1" x14ac:dyDescent="0.2">
      <c r="B12" s="90" t="s">
        <v>23</v>
      </c>
      <c r="C12" s="97">
        <v>0</v>
      </c>
      <c r="D12" s="97">
        <v>0</v>
      </c>
      <c r="E12" s="97">
        <v>0</v>
      </c>
      <c r="F12" s="97">
        <v>0</v>
      </c>
      <c r="G12" s="97">
        <v>0</v>
      </c>
      <c r="H12" s="97">
        <v>0</v>
      </c>
      <c r="I12" s="97">
        <v>0</v>
      </c>
      <c r="J12" s="97">
        <v>0</v>
      </c>
      <c r="K12" s="97">
        <v>0</v>
      </c>
      <c r="L12" s="97">
        <v>0</v>
      </c>
      <c r="M12" s="97">
        <v>0</v>
      </c>
      <c r="N12" s="97">
        <v>0</v>
      </c>
      <c r="O12" s="97">
        <f t="shared" si="1"/>
        <v>0</v>
      </c>
    </row>
    <row r="13" spans="1:17" x14ac:dyDescent="0.2">
      <c r="B13" s="90" t="s">
        <v>24</v>
      </c>
      <c r="C13" s="97">
        <v>3.63</v>
      </c>
      <c r="D13" s="97">
        <v>1.87</v>
      </c>
      <c r="E13" s="97">
        <v>18.95</v>
      </c>
      <c r="F13" s="97">
        <v>0.19</v>
      </c>
      <c r="G13" s="97">
        <v>0</v>
      </c>
      <c r="H13" s="97">
        <v>0.22</v>
      </c>
      <c r="I13" s="97">
        <v>1.5449999999999999</v>
      </c>
      <c r="J13" s="97">
        <v>0.33</v>
      </c>
      <c r="K13" s="97">
        <v>0.78</v>
      </c>
      <c r="L13" s="97">
        <v>0.39</v>
      </c>
      <c r="M13" s="97">
        <v>0.35</v>
      </c>
      <c r="N13" s="97">
        <v>0.74</v>
      </c>
      <c r="O13" s="97">
        <f t="shared" si="1"/>
        <v>28.995000000000001</v>
      </c>
    </row>
    <row r="14" spans="1:17" x14ac:dyDescent="0.2">
      <c r="B14" s="90" t="s">
        <v>25</v>
      </c>
      <c r="C14" s="97">
        <v>11.75</v>
      </c>
      <c r="D14" s="97">
        <v>12.95</v>
      </c>
      <c r="E14" s="97">
        <v>6.28</v>
      </c>
      <c r="F14" s="97">
        <v>0.92</v>
      </c>
      <c r="G14" s="97">
        <v>0</v>
      </c>
      <c r="H14" s="97">
        <v>2.17</v>
      </c>
      <c r="I14" s="97">
        <v>18.111000000000001</v>
      </c>
      <c r="J14" s="97">
        <v>4.9000000000000004</v>
      </c>
      <c r="K14" s="97">
        <v>10.26</v>
      </c>
      <c r="L14" s="97">
        <v>8.52</v>
      </c>
      <c r="M14" s="97">
        <v>2.92</v>
      </c>
      <c r="N14" s="97">
        <v>15.23</v>
      </c>
      <c r="O14" s="97">
        <f t="shared" si="1"/>
        <v>94.010999999999996</v>
      </c>
    </row>
    <row r="15" spans="1:17" x14ac:dyDescent="0.2">
      <c r="B15" s="90" t="s">
        <v>26</v>
      </c>
      <c r="C15" s="97">
        <v>29.75</v>
      </c>
      <c r="D15" s="97">
        <v>8.98</v>
      </c>
      <c r="E15" s="97">
        <v>2.89</v>
      </c>
      <c r="F15" s="97">
        <v>0.01</v>
      </c>
      <c r="G15" s="97">
        <v>0</v>
      </c>
      <c r="H15" s="97">
        <v>0</v>
      </c>
      <c r="I15" s="97">
        <v>10.151999999999999</v>
      </c>
      <c r="J15" s="97">
        <v>0.13</v>
      </c>
      <c r="K15" s="97">
        <f>1.24+2.53</f>
        <v>3.7699999999999996</v>
      </c>
      <c r="L15" s="97">
        <v>35.11</v>
      </c>
      <c r="M15" s="97">
        <v>1.26</v>
      </c>
      <c r="N15" s="97">
        <v>1.03</v>
      </c>
      <c r="O15" s="97">
        <f t="shared" si="1"/>
        <v>93.082000000000008</v>
      </c>
      <c r="P15" s="14">
        <f>6720+1024306.53</f>
        <v>1031026.53</v>
      </c>
    </row>
    <row r="16" spans="1:17" x14ac:dyDescent="0.2">
      <c r="B16" s="90" t="s">
        <v>27</v>
      </c>
      <c r="C16" s="97">
        <v>3.07</v>
      </c>
      <c r="D16" s="97">
        <v>1.53</v>
      </c>
      <c r="E16" s="97">
        <v>1.1399999999999999</v>
      </c>
      <c r="F16" s="97">
        <v>0</v>
      </c>
      <c r="G16" s="97">
        <v>0</v>
      </c>
      <c r="H16" s="97">
        <v>0</v>
      </c>
      <c r="I16" s="97">
        <v>1.254</v>
      </c>
      <c r="J16" s="97">
        <v>0</v>
      </c>
      <c r="K16" s="97">
        <v>0.02</v>
      </c>
      <c r="L16" s="97">
        <v>0.01</v>
      </c>
      <c r="M16" s="97">
        <v>0</v>
      </c>
      <c r="N16" s="97">
        <v>0</v>
      </c>
      <c r="O16" s="97">
        <f t="shared" si="1"/>
        <v>7.0239999999999991</v>
      </c>
    </row>
    <row r="17" spans="2:15" x14ac:dyDescent="0.2">
      <c r="B17" s="90" t="s">
        <v>28</v>
      </c>
      <c r="C17" s="97">
        <v>13.41</v>
      </c>
      <c r="D17" s="97">
        <v>39.17</v>
      </c>
      <c r="E17" s="97">
        <v>21.71</v>
      </c>
      <c r="F17" s="97">
        <v>0.27</v>
      </c>
      <c r="G17" s="97">
        <v>0</v>
      </c>
      <c r="H17" s="97">
        <v>1.0900000000000001</v>
      </c>
      <c r="I17" s="97">
        <v>40.47</v>
      </c>
      <c r="J17" s="97">
        <v>3.63</v>
      </c>
      <c r="K17" s="97">
        <v>24.44</v>
      </c>
      <c r="L17" s="97">
        <v>20.65</v>
      </c>
      <c r="M17" s="97">
        <v>3.35</v>
      </c>
      <c r="N17" s="97">
        <v>28.76</v>
      </c>
      <c r="O17" s="97">
        <f t="shared" si="1"/>
        <v>196.95</v>
      </c>
    </row>
    <row r="18" spans="2:15" x14ac:dyDescent="0.2">
      <c r="B18" s="90" t="s">
        <v>29</v>
      </c>
      <c r="C18" s="97">
        <v>0.37</v>
      </c>
      <c r="D18" s="97">
        <v>0</v>
      </c>
      <c r="E18" s="97">
        <v>0</v>
      </c>
      <c r="F18" s="97">
        <v>0</v>
      </c>
      <c r="G18" s="97">
        <v>0</v>
      </c>
      <c r="H18" s="97">
        <v>0</v>
      </c>
      <c r="I18" s="97">
        <v>0.252</v>
      </c>
      <c r="J18" s="97">
        <v>0</v>
      </c>
      <c r="K18" s="97">
        <v>0</v>
      </c>
      <c r="L18" s="97">
        <v>0</v>
      </c>
      <c r="M18" s="97">
        <v>0</v>
      </c>
      <c r="N18" s="97">
        <v>0</v>
      </c>
      <c r="O18" s="97">
        <f t="shared" si="1"/>
        <v>0.622</v>
      </c>
    </row>
    <row r="19" spans="2:15" hidden="1" x14ac:dyDescent="0.2">
      <c r="B19" s="90" t="s">
        <v>30</v>
      </c>
      <c r="C19" s="97">
        <v>0</v>
      </c>
      <c r="D19" s="97">
        <v>0</v>
      </c>
      <c r="E19" s="97">
        <v>0</v>
      </c>
      <c r="F19" s="97">
        <v>0</v>
      </c>
      <c r="G19" s="97">
        <v>0</v>
      </c>
      <c r="H19" s="97">
        <v>0</v>
      </c>
      <c r="I19" s="97">
        <v>0</v>
      </c>
      <c r="J19" s="97">
        <v>0</v>
      </c>
      <c r="K19" s="97">
        <v>0</v>
      </c>
      <c r="L19" s="97">
        <v>0</v>
      </c>
      <c r="M19" s="97">
        <v>0</v>
      </c>
      <c r="N19" s="97">
        <v>0</v>
      </c>
      <c r="O19" s="97">
        <f t="shared" si="1"/>
        <v>0</v>
      </c>
    </row>
    <row r="20" spans="2:15" x14ac:dyDescent="0.2">
      <c r="B20" s="90" t="s">
        <v>31</v>
      </c>
      <c r="C20" s="97">
        <v>0.1</v>
      </c>
      <c r="D20" s="97">
        <v>7.0000000000000007E-2</v>
      </c>
      <c r="E20" s="97">
        <v>0.11</v>
      </c>
      <c r="F20" s="97">
        <v>0</v>
      </c>
      <c r="G20" s="97">
        <v>0</v>
      </c>
      <c r="H20" s="97">
        <v>0</v>
      </c>
      <c r="I20" s="97">
        <v>0</v>
      </c>
      <c r="J20" s="97">
        <v>0</v>
      </c>
      <c r="K20" s="97">
        <v>0.09</v>
      </c>
      <c r="L20" s="97">
        <v>0</v>
      </c>
      <c r="M20" s="97">
        <v>0</v>
      </c>
      <c r="N20" s="97">
        <v>0</v>
      </c>
      <c r="O20" s="97">
        <f t="shared" si="1"/>
        <v>0.37</v>
      </c>
    </row>
    <row r="21" spans="2:15" hidden="1" x14ac:dyDescent="0.2">
      <c r="B21" s="90" t="s">
        <v>32</v>
      </c>
      <c r="C21" s="97">
        <v>0</v>
      </c>
      <c r="D21" s="97">
        <v>0</v>
      </c>
      <c r="E21" s="97">
        <v>0</v>
      </c>
      <c r="F21" s="97">
        <v>0</v>
      </c>
      <c r="G21" s="97">
        <v>0</v>
      </c>
      <c r="H21" s="97">
        <v>0</v>
      </c>
      <c r="I21" s="97">
        <v>0</v>
      </c>
      <c r="J21" s="97">
        <v>0</v>
      </c>
      <c r="K21" s="97">
        <v>0</v>
      </c>
      <c r="L21" s="97">
        <v>0</v>
      </c>
      <c r="M21" s="97">
        <v>0</v>
      </c>
      <c r="N21" s="97">
        <v>0</v>
      </c>
      <c r="O21" s="97">
        <f t="shared" si="1"/>
        <v>0</v>
      </c>
    </row>
    <row r="22" spans="2:15" x14ac:dyDescent="0.2">
      <c r="B22" s="90" t="s">
        <v>33</v>
      </c>
      <c r="C22" s="97">
        <v>0</v>
      </c>
      <c r="D22" s="97">
        <v>0</v>
      </c>
      <c r="E22" s="97">
        <v>0</v>
      </c>
      <c r="F22" s="97">
        <v>0</v>
      </c>
      <c r="G22" s="97">
        <v>0</v>
      </c>
      <c r="H22" s="97">
        <v>0</v>
      </c>
      <c r="I22" s="97">
        <v>0.106</v>
      </c>
      <c r="J22" s="97">
        <v>0</v>
      </c>
      <c r="K22" s="97">
        <v>0</v>
      </c>
      <c r="L22" s="97">
        <v>0</v>
      </c>
      <c r="M22" s="97">
        <v>0</v>
      </c>
      <c r="N22" s="97">
        <v>0</v>
      </c>
      <c r="O22" s="97">
        <f t="shared" si="1"/>
        <v>0.106</v>
      </c>
    </row>
    <row r="23" spans="2:15" x14ac:dyDescent="0.2">
      <c r="B23" s="90" t="s">
        <v>34</v>
      </c>
      <c r="C23" s="97">
        <v>0</v>
      </c>
      <c r="D23" s="97">
        <v>0</v>
      </c>
      <c r="E23" s="97">
        <v>0</v>
      </c>
      <c r="F23" s="97">
        <v>0</v>
      </c>
      <c r="G23" s="97">
        <v>0</v>
      </c>
      <c r="H23" s="97">
        <v>0</v>
      </c>
      <c r="I23" s="97">
        <v>0</v>
      </c>
      <c r="J23" s="97">
        <v>0</v>
      </c>
      <c r="K23" s="97">
        <v>0</v>
      </c>
      <c r="L23" s="97">
        <v>0</v>
      </c>
      <c r="M23" s="97">
        <v>0</v>
      </c>
      <c r="N23" s="97">
        <v>0</v>
      </c>
      <c r="O23" s="97">
        <f t="shared" si="1"/>
        <v>0</v>
      </c>
    </row>
    <row r="24" spans="2:15" x14ac:dyDescent="0.2">
      <c r="B24" s="90" t="s">
        <v>35</v>
      </c>
      <c r="C24" s="97">
        <v>0.24</v>
      </c>
      <c r="D24" s="97">
        <v>0.14000000000000001</v>
      </c>
      <c r="E24" s="97">
        <v>0.11</v>
      </c>
      <c r="F24" s="97">
        <v>0</v>
      </c>
      <c r="G24" s="97">
        <v>0</v>
      </c>
      <c r="H24" s="97">
        <v>0</v>
      </c>
      <c r="I24" s="97">
        <v>0.26400000000000001</v>
      </c>
      <c r="J24" s="97">
        <v>0</v>
      </c>
      <c r="K24" s="97">
        <v>0</v>
      </c>
      <c r="L24" s="97">
        <v>0</v>
      </c>
      <c r="M24" s="97">
        <v>0</v>
      </c>
      <c r="N24" s="97">
        <v>0</v>
      </c>
      <c r="O24" s="97">
        <f t="shared" si="1"/>
        <v>0.754</v>
      </c>
    </row>
    <row r="25" spans="2:15" s="101" customFormat="1" hidden="1" x14ac:dyDescent="0.2">
      <c r="B25" s="101" t="s">
        <v>36</v>
      </c>
      <c r="C25" s="97">
        <v>0</v>
      </c>
      <c r="D25" s="97">
        <v>0</v>
      </c>
      <c r="E25" s="97">
        <v>0</v>
      </c>
      <c r="F25" s="97">
        <v>0</v>
      </c>
      <c r="G25" s="97">
        <v>0</v>
      </c>
      <c r="H25" s="97">
        <v>0</v>
      </c>
      <c r="I25" s="97">
        <v>0</v>
      </c>
      <c r="J25" s="97">
        <v>0</v>
      </c>
      <c r="K25" s="97">
        <v>0</v>
      </c>
      <c r="L25" s="97">
        <v>0</v>
      </c>
      <c r="M25" s="97">
        <v>0</v>
      </c>
      <c r="N25" s="97">
        <v>0</v>
      </c>
      <c r="O25" s="97">
        <f t="shared" si="1"/>
        <v>0</v>
      </c>
    </row>
    <row r="26" spans="2:15" x14ac:dyDescent="0.2">
      <c r="B26" s="90" t="s">
        <v>37</v>
      </c>
      <c r="C26" s="97">
        <v>430.14</v>
      </c>
      <c r="D26" s="97">
        <v>1083.29</v>
      </c>
      <c r="E26" s="97">
        <v>133.6</v>
      </c>
      <c r="F26" s="97">
        <v>11.88</v>
      </c>
      <c r="G26" s="97">
        <v>0</v>
      </c>
      <c r="H26" s="97">
        <v>10.61</v>
      </c>
      <c r="I26" s="97">
        <v>369.90899999999999</v>
      </c>
      <c r="J26" s="97">
        <v>62.72</v>
      </c>
      <c r="K26" s="97">
        <v>76.930000000000007</v>
      </c>
      <c r="L26" s="97">
        <v>72.334000000000003</v>
      </c>
      <c r="M26" s="97">
        <v>61.78</v>
      </c>
      <c r="N26" s="97">
        <v>46.92</v>
      </c>
      <c r="O26" s="97">
        <f t="shared" si="1"/>
        <v>2360.1129999999994</v>
      </c>
    </row>
    <row r="27" spans="2:15" x14ac:dyDescent="0.2">
      <c r="B27" s="90" t="s">
        <v>38</v>
      </c>
      <c r="C27" s="97">
        <v>2.4300000000000002</v>
      </c>
      <c r="D27" s="97">
        <v>3.24</v>
      </c>
      <c r="E27" s="97">
        <v>2.21</v>
      </c>
      <c r="F27" s="97">
        <v>0</v>
      </c>
      <c r="G27" s="97">
        <v>0</v>
      </c>
      <c r="H27" s="97">
        <v>0</v>
      </c>
      <c r="I27" s="97">
        <v>4.2270000000000003</v>
      </c>
      <c r="J27" s="97">
        <v>0</v>
      </c>
      <c r="K27" s="97">
        <v>1.46</v>
      </c>
      <c r="L27" s="97">
        <v>0</v>
      </c>
      <c r="M27" s="97">
        <v>0</v>
      </c>
      <c r="N27" s="97">
        <v>0</v>
      </c>
      <c r="O27" s="97">
        <f t="shared" si="1"/>
        <v>13.567</v>
      </c>
    </row>
    <row r="28" spans="2:15" x14ac:dyDescent="0.2">
      <c r="B28" s="90" t="s">
        <v>39</v>
      </c>
      <c r="C28" s="97">
        <v>7.36</v>
      </c>
      <c r="D28" s="97">
        <v>6.6</v>
      </c>
      <c r="E28" s="97">
        <v>1.88</v>
      </c>
      <c r="F28" s="97">
        <v>0</v>
      </c>
      <c r="G28" s="97">
        <v>0</v>
      </c>
      <c r="H28" s="97">
        <v>0</v>
      </c>
      <c r="I28" s="97">
        <v>1.26</v>
      </c>
      <c r="J28" s="97">
        <v>0</v>
      </c>
      <c r="K28" s="97">
        <v>0.01</v>
      </c>
      <c r="L28" s="97">
        <v>0</v>
      </c>
      <c r="M28" s="97">
        <v>0</v>
      </c>
      <c r="N28" s="97">
        <v>0</v>
      </c>
      <c r="O28" s="97">
        <f t="shared" si="1"/>
        <v>17.110000000000003</v>
      </c>
    </row>
    <row r="29" spans="2:15" x14ac:dyDescent="0.2">
      <c r="B29" s="90" t="s">
        <v>40</v>
      </c>
      <c r="C29" s="97">
        <v>0</v>
      </c>
      <c r="D29" s="97">
        <v>0</v>
      </c>
      <c r="E29" s="97">
        <v>0</v>
      </c>
      <c r="F29" s="97">
        <v>0</v>
      </c>
      <c r="G29" s="97">
        <v>0</v>
      </c>
      <c r="H29" s="97">
        <v>0</v>
      </c>
      <c r="I29" s="97">
        <v>0</v>
      </c>
      <c r="J29" s="97">
        <v>0</v>
      </c>
      <c r="K29" s="97">
        <v>0</v>
      </c>
      <c r="L29" s="97">
        <v>0</v>
      </c>
      <c r="M29" s="97">
        <v>0</v>
      </c>
      <c r="N29" s="97">
        <v>0</v>
      </c>
      <c r="O29" s="97">
        <f t="shared" si="1"/>
        <v>0</v>
      </c>
    </row>
    <row r="30" spans="2:15" x14ac:dyDescent="0.2">
      <c r="B30" s="90" t="s">
        <v>41</v>
      </c>
      <c r="C30" s="97">
        <v>144.09</v>
      </c>
      <c r="D30" s="97">
        <v>211.67</v>
      </c>
      <c r="E30" s="97">
        <v>27.43</v>
      </c>
      <c r="F30" s="97">
        <v>5.15</v>
      </c>
      <c r="G30" s="97">
        <v>0</v>
      </c>
      <c r="H30" s="97">
        <v>4.21</v>
      </c>
      <c r="I30" s="97">
        <v>44.264000000000003</v>
      </c>
      <c r="J30" s="97">
        <v>7.27</v>
      </c>
      <c r="K30" s="97">
        <v>12.08</v>
      </c>
      <c r="L30" s="97">
        <v>5.72</v>
      </c>
      <c r="M30" s="97">
        <v>4.1100000000000003</v>
      </c>
      <c r="N30" s="97">
        <v>8.43</v>
      </c>
      <c r="O30" s="97">
        <f t="shared" si="1"/>
        <v>474.42399999999998</v>
      </c>
    </row>
    <row r="31" spans="2:15" x14ac:dyDescent="0.2">
      <c r="B31" s="90" t="s">
        <v>42</v>
      </c>
      <c r="C31" s="97">
        <v>0.36</v>
      </c>
      <c r="D31" s="97">
        <v>0</v>
      </c>
      <c r="E31" s="97">
        <v>0.11</v>
      </c>
      <c r="F31" s="97">
        <v>0</v>
      </c>
      <c r="G31" s="97">
        <v>0</v>
      </c>
      <c r="H31" s="97">
        <v>0</v>
      </c>
      <c r="I31" s="97">
        <v>3.4000000000000002E-2</v>
      </c>
      <c r="J31" s="97">
        <v>0</v>
      </c>
      <c r="K31" s="97">
        <v>0.05</v>
      </c>
      <c r="L31" s="97">
        <v>0</v>
      </c>
      <c r="M31" s="97">
        <v>0</v>
      </c>
      <c r="N31" s="97">
        <v>0</v>
      </c>
      <c r="O31" s="97">
        <f t="shared" si="1"/>
        <v>0.55400000000000005</v>
      </c>
    </row>
    <row r="32" spans="2:15" hidden="1" x14ac:dyDescent="0.2">
      <c r="B32" s="90" t="s">
        <v>474</v>
      </c>
      <c r="C32" s="97">
        <v>0</v>
      </c>
      <c r="D32" s="97">
        <v>0</v>
      </c>
      <c r="E32" s="97">
        <v>0</v>
      </c>
      <c r="F32" s="97">
        <v>0</v>
      </c>
      <c r="G32" s="97">
        <v>0</v>
      </c>
      <c r="H32" s="97">
        <v>0</v>
      </c>
      <c r="I32" s="97">
        <v>0</v>
      </c>
      <c r="J32" s="97">
        <v>0</v>
      </c>
      <c r="K32" s="97">
        <v>0</v>
      </c>
      <c r="L32" s="97">
        <v>0</v>
      </c>
      <c r="M32" s="97">
        <v>0</v>
      </c>
      <c r="N32" s="97">
        <v>0</v>
      </c>
      <c r="O32" s="97">
        <f t="shared" si="1"/>
        <v>0</v>
      </c>
    </row>
    <row r="33" spans="1:17" hidden="1" x14ac:dyDescent="0.2">
      <c r="B33" s="90" t="s">
        <v>665</v>
      </c>
      <c r="C33" s="97">
        <v>0</v>
      </c>
      <c r="D33" s="97">
        <v>0</v>
      </c>
      <c r="E33" s="97">
        <v>0</v>
      </c>
      <c r="F33" s="97">
        <v>0</v>
      </c>
      <c r="G33" s="97">
        <v>0</v>
      </c>
      <c r="H33" s="97">
        <v>0</v>
      </c>
      <c r="I33" s="97">
        <v>0</v>
      </c>
      <c r="J33" s="97">
        <v>0</v>
      </c>
      <c r="K33" s="97">
        <v>0</v>
      </c>
      <c r="L33" s="97">
        <v>0</v>
      </c>
      <c r="M33" s="97">
        <v>0</v>
      </c>
      <c r="N33" s="97">
        <v>0</v>
      </c>
      <c r="O33" s="97">
        <f t="shared" si="1"/>
        <v>0</v>
      </c>
    </row>
    <row r="34" spans="1:17" x14ac:dyDescent="0.2">
      <c r="B34" s="90" t="s">
        <v>43</v>
      </c>
      <c r="C34" s="97">
        <v>0.13</v>
      </c>
      <c r="D34" s="97">
        <v>0.21</v>
      </c>
      <c r="E34" s="97">
        <v>0.24</v>
      </c>
      <c r="F34" s="97">
        <v>0.01</v>
      </c>
      <c r="G34" s="97">
        <v>0</v>
      </c>
      <c r="H34" s="97">
        <v>0</v>
      </c>
      <c r="I34" s="97">
        <v>0.158</v>
      </c>
      <c r="J34" s="97">
        <v>0</v>
      </c>
      <c r="K34" s="97">
        <v>0.01</v>
      </c>
      <c r="L34" s="97">
        <v>0.01</v>
      </c>
      <c r="M34" s="97">
        <v>0.02</v>
      </c>
      <c r="N34" s="97">
        <v>0.01</v>
      </c>
      <c r="O34" s="97">
        <f t="shared" si="1"/>
        <v>0.79800000000000004</v>
      </c>
    </row>
    <row r="35" spans="1:17" x14ac:dyDescent="0.2">
      <c r="B35" s="90" t="s">
        <v>44</v>
      </c>
      <c r="C35" s="97">
        <v>0.03</v>
      </c>
      <c r="D35" s="97">
        <v>0</v>
      </c>
      <c r="E35" s="97">
        <v>0</v>
      </c>
      <c r="F35" s="97">
        <v>0</v>
      </c>
      <c r="G35" s="97">
        <v>0</v>
      </c>
      <c r="H35" s="97">
        <v>0</v>
      </c>
      <c r="I35" s="97">
        <v>2.7E-2</v>
      </c>
      <c r="J35" s="97">
        <v>0</v>
      </c>
      <c r="K35" s="97">
        <v>0</v>
      </c>
      <c r="L35" s="97">
        <v>0</v>
      </c>
      <c r="M35" s="97">
        <v>0</v>
      </c>
      <c r="N35" s="97">
        <v>0</v>
      </c>
      <c r="O35" s="97">
        <f t="shared" si="1"/>
        <v>5.6999999999999995E-2</v>
      </c>
    </row>
    <row r="36" spans="1:17" x14ac:dyDescent="0.2">
      <c r="B36" s="90" t="s">
        <v>45</v>
      </c>
      <c r="C36" s="97">
        <v>0</v>
      </c>
      <c r="D36" s="97">
        <v>0.1</v>
      </c>
      <c r="E36" s="97">
        <v>0</v>
      </c>
      <c r="F36" s="97">
        <v>0</v>
      </c>
      <c r="G36" s="97">
        <v>0</v>
      </c>
      <c r="H36" s="97">
        <v>0</v>
      </c>
      <c r="I36" s="97">
        <v>1.0999999999999999E-2</v>
      </c>
      <c r="J36" s="97">
        <v>0</v>
      </c>
      <c r="K36" s="97">
        <v>0</v>
      </c>
      <c r="L36" s="97">
        <v>0</v>
      </c>
      <c r="M36" s="97">
        <v>0.01</v>
      </c>
      <c r="N36" s="97">
        <v>0</v>
      </c>
      <c r="O36" s="97">
        <f t="shared" si="1"/>
        <v>0.121</v>
      </c>
    </row>
    <row r="37" spans="1:17" ht="11.25" customHeight="1" x14ac:dyDescent="0.2">
      <c r="B37" s="90" t="s">
        <v>6</v>
      </c>
      <c r="C37" s="97"/>
      <c r="D37" s="97"/>
      <c r="E37" s="97"/>
      <c r="F37" s="97"/>
      <c r="G37" s="97"/>
      <c r="H37" s="97"/>
      <c r="I37" s="97"/>
      <c r="J37" s="97"/>
      <c r="K37" s="97"/>
      <c r="L37" s="97"/>
      <c r="M37" s="97"/>
      <c r="N37" s="97"/>
      <c r="O37" s="97"/>
    </row>
    <row r="38" spans="1:17" s="95" customFormat="1" ht="15" x14ac:dyDescent="0.25">
      <c r="A38" s="94" t="s">
        <v>46</v>
      </c>
      <c r="C38" s="96">
        <f t="shared" ref="C38:P38" si="2">SUM(C39:C45)</f>
        <v>5.46</v>
      </c>
      <c r="D38" s="96">
        <f t="shared" si="2"/>
        <v>3.1459999999999999</v>
      </c>
      <c r="E38" s="96">
        <f t="shared" si="2"/>
        <v>0.43000000000000005</v>
      </c>
      <c r="F38" s="96">
        <f t="shared" si="2"/>
        <v>0.02</v>
      </c>
      <c r="G38" s="96">
        <f t="shared" si="2"/>
        <v>0</v>
      </c>
      <c r="H38" s="96">
        <f t="shared" si="2"/>
        <v>0</v>
      </c>
      <c r="I38" s="96">
        <f t="shared" si="2"/>
        <v>2.0169999999999999</v>
      </c>
      <c r="J38" s="96">
        <f t="shared" si="2"/>
        <v>0.03</v>
      </c>
      <c r="K38" s="96">
        <f t="shared" si="2"/>
        <v>0.31</v>
      </c>
      <c r="L38" s="96">
        <f t="shared" si="2"/>
        <v>0</v>
      </c>
      <c r="M38" s="96">
        <f t="shared" si="2"/>
        <v>0.03</v>
      </c>
      <c r="N38" s="96">
        <f t="shared" si="2"/>
        <v>0</v>
      </c>
      <c r="O38" s="96">
        <f t="shared" si="2"/>
        <v>11.442999999999998</v>
      </c>
      <c r="P38" s="96">
        <f t="shared" si="2"/>
        <v>0</v>
      </c>
      <c r="Q38" s="96"/>
    </row>
    <row r="39" spans="1:17" x14ac:dyDescent="0.2">
      <c r="B39" s="90" t="s">
        <v>47</v>
      </c>
      <c r="C39" s="97">
        <v>1.49</v>
      </c>
      <c r="D39" s="97">
        <v>0.34899999999999998</v>
      </c>
      <c r="E39" s="97">
        <v>0</v>
      </c>
      <c r="F39" s="97">
        <v>0.02</v>
      </c>
      <c r="G39" s="97">
        <v>0</v>
      </c>
      <c r="H39" s="97">
        <v>0</v>
      </c>
      <c r="I39" s="97">
        <v>0.48299999999999998</v>
      </c>
      <c r="J39" s="97">
        <v>0.03</v>
      </c>
      <c r="K39" s="97">
        <v>0.01</v>
      </c>
      <c r="L39" s="97">
        <v>0</v>
      </c>
      <c r="M39" s="97">
        <v>0</v>
      </c>
      <c r="N39" s="97">
        <v>0</v>
      </c>
      <c r="O39" s="97">
        <f>SUM(C39:N39)</f>
        <v>2.3819999999999997</v>
      </c>
    </row>
    <row r="40" spans="1:17" x14ac:dyDescent="0.2">
      <c r="B40" s="90" t="s">
        <v>48</v>
      </c>
      <c r="C40" s="97">
        <v>0.01</v>
      </c>
      <c r="D40" s="97">
        <v>3.2000000000000001E-2</v>
      </c>
      <c r="E40" s="97">
        <v>0</v>
      </c>
      <c r="F40" s="97">
        <v>0</v>
      </c>
      <c r="G40" s="97">
        <v>0</v>
      </c>
      <c r="H40" s="97">
        <v>0</v>
      </c>
      <c r="I40" s="97">
        <v>0</v>
      </c>
      <c r="J40" s="97">
        <v>0</v>
      </c>
      <c r="K40" s="97">
        <v>0</v>
      </c>
      <c r="L40" s="97">
        <v>0</v>
      </c>
      <c r="M40" s="97">
        <v>0</v>
      </c>
      <c r="N40" s="97">
        <v>0</v>
      </c>
      <c r="O40" s="97">
        <f t="shared" ref="O40:O45" si="3">SUM(C40:N40)</f>
        <v>4.2000000000000003E-2</v>
      </c>
    </row>
    <row r="41" spans="1:17" x14ac:dyDescent="0.2">
      <c r="B41" s="90" t="s">
        <v>49</v>
      </c>
      <c r="C41" s="97">
        <v>0.05</v>
      </c>
      <c r="D41" s="97">
        <v>1.8360000000000001</v>
      </c>
      <c r="E41" s="97">
        <v>0.05</v>
      </c>
      <c r="F41" s="97">
        <v>0</v>
      </c>
      <c r="G41" s="97">
        <v>0</v>
      </c>
      <c r="H41" s="97">
        <v>0</v>
      </c>
      <c r="I41" s="97">
        <v>1.4</v>
      </c>
      <c r="J41" s="97">
        <v>0</v>
      </c>
      <c r="K41" s="97">
        <v>0.17</v>
      </c>
      <c r="L41" s="97">
        <v>0</v>
      </c>
      <c r="M41" s="97">
        <v>0</v>
      </c>
      <c r="N41" s="97">
        <v>0</v>
      </c>
      <c r="O41" s="97">
        <f t="shared" si="3"/>
        <v>3.5060000000000002</v>
      </c>
    </row>
    <row r="42" spans="1:17" hidden="1" x14ac:dyDescent="0.2">
      <c r="B42" s="90" t="s">
        <v>50</v>
      </c>
      <c r="C42" s="97">
        <v>0</v>
      </c>
      <c r="D42" s="97">
        <v>0</v>
      </c>
      <c r="E42" s="97">
        <v>0</v>
      </c>
      <c r="F42" s="97">
        <v>0</v>
      </c>
      <c r="G42" s="97">
        <v>0</v>
      </c>
      <c r="H42" s="97">
        <v>0</v>
      </c>
      <c r="I42" s="97">
        <v>0</v>
      </c>
      <c r="J42" s="97">
        <v>0</v>
      </c>
      <c r="K42" s="97">
        <v>0</v>
      </c>
      <c r="L42" s="97">
        <v>0</v>
      </c>
      <c r="M42" s="97">
        <v>0</v>
      </c>
      <c r="N42" s="97">
        <v>0</v>
      </c>
      <c r="O42" s="97">
        <f t="shared" si="3"/>
        <v>0</v>
      </c>
    </row>
    <row r="43" spans="1:17" s="103" customFormat="1" x14ac:dyDescent="0.2">
      <c r="A43" s="90"/>
      <c r="B43" s="90" t="s">
        <v>51</v>
      </c>
      <c r="C43" s="97">
        <v>0.01</v>
      </c>
      <c r="D43" s="97">
        <v>0.30299999999999999</v>
      </c>
      <c r="E43" s="97">
        <v>0.03</v>
      </c>
      <c r="F43" s="97">
        <v>0</v>
      </c>
      <c r="G43" s="97">
        <v>0</v>
      </c>
      <c r="H43" s="97">
        <v>0</v>
      </c>
      <c r="I43" s="97">
        <v>4.2000000000000003E-2</v>
      </c>
      <c r="J43" s="97">
        <v>0</v>
      </c>
      <c r="K43" s="97">
        <v>0.03</v>
      </c>
      <c r="L43" s="97">
        <v>0</v>
      </c>
      <c r="M43" s="97">
        <v>0</v>
      </c>
      <c r="N43" s="97">
        <v>0</v>
      </c>
      <c r="O43" s="97">
        <f t="shared" si="3"/>
        <v>0.41499999999999992</v>
      </c>
    </row>
    <row r="44" spans="1:17" x14ac:dyDescent="0.2">
      <c r="B44" s="90" t="s">
        <v>52</v>
      </c>
      <c r="C44" s="97">
        <v>3.44</v>
      </c>
      <c r="D44" s="97">
        <v>0.40899999999999997</v>
      </c>
      <c r="E44" s="97">
        <v>0.2</v>
      </c>
      <c r="F44" s="97">
        <v>0</v>
      </c>
      <c r="G44" s="97">
        <v>0</v>
      </c>
      <c r="H44" s="97">
        <v>0</v>
      </c>
      <c r="I44" s="97">
        <v>8.4000000000000005E-2</v>
      </c>
      <c r="J44" s="97">
        <v>0</v>
      </c>
      <c r="K44" s="97">
        <v>0.04</v>
      </c>
      <c r="L44" s="97">
        <v>0</v>
      </c>
      <c r="M44" s="97">
        <v>0.03</v>
      </c>
      <c r="N44" s="97">
        <v>0</v>
      </c>
      <c r="O44" s="97">
        <f t="shared" si="3"/>
        <v>4.2029999999999994</v>
      </c>
    </row>
    <row r="45" spans="1:17" x14ac:dyDescent="0.2">
      <c r="B45" s="90" t="s">
        <v>53</v>
      </c>
      <c r="C45" s="97">
        <v>0.46</v>
      </c>
      <c r="D45" s="97">
        <v>0.217</v>
      </c>
      <c r="E45" s="97">
        <v>0.15</v>
      </c>
      <c r="F45" s="97">
        <v>0</v>
      </c>
      <c r="G45" s="97">
        <v>0</v>
      </c>
      <c r="H45" s="97">
        <v>0</v>
      </c>
      <c r="I45" s="97">
        <v>8.0000000000000002E-3</v>
      </c>
      <c r="J45" s="97">
        <v>0</v>
      </c>
      <c r="K45" s="97">
        <v>0.06</v>
      </c>
      <c r="L45" s="97">
        <v>0</v>
      </c>
      <c r="M45" s="97">
        <v>0</v>
      </c>
      <c r="N45" s="97">
        <v>0</v>
      </c>
      <c r="O45" s="97">
        <f t="shared" si="3"/>
        <v>0.89500000000000002</v>
      </c>
    </row>
    <row r="47" spans="1:17" s="95" customFormat="1" ht="15" x14ac:dyDescent="0.25">
      <c r="A47" s="94" t="s">
        <v>54</v>
      </c>
      <c r="C47" s="96">
        <f t="shared" ref="C47:P47" si="4">SUM(C48:C63)</f>
        <v>117.81</v>
      </c>
      <c r="D47" s="96">
        <f t="shared" si="4"/>
        <v>67</v>
      </c>
      <c r="E47" s="96">
        <f t="shared" si="4"/>
        <v>24.720000000000006</v>
      </c>
      <c r="F47" s="96">
        <f t="shared" si="4"/>
        <v>1.3199999999999998</v>
      </c>
      <c r="G47" s="96">
        <f t="shared" si="4"/>
        <v>0</v>
      </c>
      <c r="H47" s="96">
        <f t="shared" si="4"/>
        <v>4.0199999999999996</v>
      </c>
      <c r="I47" s="96">
        <f t="shared" si="4"/>
        <v>141.46100000000001</v>
      </c>
      <c r="J47" s="96">
        <f t="shared" si="4"/>
        <v>13.969999999999999</v>
      </c>
      <c r="K47" s="96">
        <f t="shared" si="4"/>
        <v>37</v>
      </c>
      <c r="L47" s="96">
        <f t="shared" si="4"/>
        <v>25.689999999999998</v>
      </c>
      <c r="M47" s="96">
        <f t="shared" si="4"/>
        <v>9.57</v>
      </c>
      <c r="N47" s="96">
        <f t="shared" si="4"/>
        <v>30.130000000000003</v>
      </c>
      <c r="O47" s="96">
        <f t="shared" si="4"/>
        <v>472.69099999999997</v>
      </c>
      <c r="P47" s="96">
        <f t="shared" si="4"/>
        <v>0</v>
      </c>
      <c r="Q47" s="96"/>
    </row>
    <row r="48" spans="1:17" x14ac:dyDescent="0.2">
      <c r="B48" s="90" t="s">
        <v>55</v>
      </c>
      <c r="C48" s="97">
        <v>24.71</v>
      </c>
      <c r="D48" s="97">
        <v>4.13</v>
      </c>
      <c r="E48" s="97">
        <v>3.89</v>
      </c>
      <c r="F48" s="97">
        <v>0.44</v>
      </c>
      <c r="G48" s="97">
        <v>0</v>
      </c>
      <c r="H48" s="97">
        <v>0.91</v>
      </c>
      <c r="I48" s="97">
        <v>7.9690000000000003</v>
      </c>
      <c r="J48" s="97">
        <v>2.19</v>
      </c>
      <c r="K48" s="97">
        <v>5.17</v>
      </c>
      <c r="L48" s="97">
        <v>2.83</v>
      </c>
      <c r="M48" s="97">
        <v>1.19</v>
      </c>
      <c r="N48" s="97">
        <v>6.07</v>
      </c>
      <c r="O48" s="97">
        <f>SUM(C48:N48)</f>
        <v>59.498999999999988</v>
      </c>
    </row>
    <row r="49" spans="2:15" x14ac:dyDescent="0.2">
      <c r="B49" s="90" t="s">
        <v>56</v>
      </c>
      <c r="C49" s="97">
        <v>0.17</v>
      </c>
      <c r="D49" s="97">
        <v>0.04</v>
      </c>
      <c r="E49" s="97">
        <v>0.1</v>
      </c>
      <c r="F49" s="97">
        <v>0</v>
      </c>
      <c r="G49" s="97">
        <v>0</v>
      </c>
      <c r="H49" s="97">
        <v>0.01</v>
      </c>
      <c r="I49" s="97">
        <v>0.109</v>
      </c>
      <c r="J49" s="97">
        <v>0.02</v>
      </c>
      <c r="K49" s="97">
        <v>0.02</v>
      </c>
      <c r="L49" s="97">
        <v>0.03</v>
      </c>
      <c r="M49" s="97">
        <v>0</v>
      </c>
      <c r="N49" s="97">
        <v>0.05</v>
      </c>
      <c r="O49" s="97">
        <f t="shared" ref="O49:O62" si="5">SUM(C49:N49)</f>
        <v>0.54900000000000015</v>
      </c>
    </row>
    <row r="50" spans="2:15" x14ac:dyDescent="0.2">
      <c r="B50" s="90" t="s">
        <v>477</v>
      </c>
      <c r="C50" s="97">
        <v>0</v>
      </c>
      <c r="D50" s="97">
        <v>0.01</v>
      </c>
      <c r="E50" s="97">
        <v>0</v>
      </c>
      <c r="F50" s="97">
        <v>0</v>
      </c>
      <c r="G50" s="97">
        <v>0</v>
      </c>
      <c r="H50" s="97">
        <v>0</v>
      </c>
      <c r="I50" s="97">
        <v>0</v>
      </c>
      <c r="J50" s="97">
        <v>0</v>
      </c>
      <c r="K50" s="97">
        <v>0</v>
      </c>
      <c r="L50" s="97">
        <v>0</v>
      </c>
      <c r="M50" s="97">
        <v>0</v>
      </c>
      <c r="N50" s="97">
        <v>0</v>
      </c>
      <c r="O50" s="97">
        <f t="shared" si="5"/>
        <v>0.01</v>
      </c>
    </row>
    <row r="51" spans="2:15" x14ac:dyDescent="0.2">
      <c r="B51" s="90" t="s">
        <v>57</v>
      </c>
      <c r="C51" s="97">
        <v>32.69</v>
      </c>
      <c r="D51" s="97">
        <v>26.91</v>
      </c>
      <c r="E51" s="97">
        <v>7.82</v>
      </c>
      <c r="F51" s="97">
        <v>0</v>
      </c>
      <c r="G51" s="97">
        <v>0</v>
      </c>
      <c r="H51" s="97">
        <v>0.77</v>
      </c>
      <c r="I51" s="97">
        <v>65.938000000000002</v>
      </c>
      <c r="J51" s="97">
        <v>2.15</v>
      </c>
      <c r="K51" s="97">
        <v>10.68</v>
      </c>
      <c r="L51" s="97">
        <v>6.88</v>
      </c>
      <c r="M51" s="97">
        <v>0.21</v>
      </c>
      <c r="N51" s="97">
        <v>4.7300000000000004</v>
      </c>
      <c r="O51" s="97">
        <f t="shared" si="5"/>
        <v>158.77799999999999</v>
      </c>
    </row>
    <row r="52" spans="2:15" x14ac:dyDescent="0.2">
      <c r="B52" s="90" t="s">
        <v>58</v>
      </c>
      <c r="C52" s="97">
        <v>31.65</v>
      </c>
      <c r="D52" s="97">
        <v>5.86</v>
      </c>
      <c r="E52" s="97">
        <v>2.1</v>
      </c>
      <c r="F52" s="97">
        <v>0.7</v>
      </c>
      <c r="G52" s="97">
        <v>0</v>
      </c>
      <c r="H52" s="97">
        <v>1.01</v>
      </c>
      <c r="I52" s="97">
        <v>9.5809999999999995</v>
      </c>
      <c r="J52" s="97">
        <v>3.41</v>
      </c>
      <c r="K52" s="97">
        <v>4.2300000000000004</v>
      </c>
      <c r="L52" s="97">
        <v>3.26</v>
      </c>
      <c r="M52" s="97">
        <v>1.4</v>
      </c>
      <c r="N52" s="97">
        <v>3.16</v>
      </c>
      <c r="O52" s="97">
        <f t="shared" si="5"/>
        <v>66.36099999999999</v>
      </c>
    </row>
    <row r="53" spans="2:15" x14ac:dyDescent="0.2">
      <c r="B53" s="90" t="s">
        <v>59</v>
      </c>
      <c r="C53" s="97">
        <v>1.63</v>
      </c>
      <c r="D53" s="97">
        <v>2.35</v>
      </c>
      <c r="E53" s="97">
        <v>0.82</v>
      </c>
      <c r="F53" s="97">
        <v>0.01</v>
      </c>
      <c r="G53" s="97">
        <v>0</v>
      </c>
      <c r="H53" s="97">
        <v>0.04</v>
      </c>
      <c r="I53" s="97">
        <v>6.8220000000000001</v>
      </c>
      <c r="J53" s="97">
        <v>0.44</v>
      </c>
      <c r="K53" s="97">
        <v>2.38</v>
      </c>
      <c r="L53" s="97">
        <v>0.04</v>
      </c>
      <c r="M53" s="97">
        <v>3</v>
      </c>
      <c r="N53" s="97">
        <v>7.0000000000000007E-2</v>
      </c>
      <c r="O53" s="97">
        <f t="shared" si="5"/>
        <v>17.602</v>
      </c>
    </row>
    <row r="54" spans="2:15" x14ac:dyDescent="0.2">
      <c r="B54" s="90" t="s">
        <v>60</v>
      </c>
      <c r="C54" s="97">
        <v>0.01</v>
      </c>
      <c r="D54" s="97">
        <v>0.08</v>
      </c>
      <c r="E54" s="97">
        <v>0</v>
      </c>
      <c r="F54" s="97">
        <v>0</v>
      </c>
      <c r="G54" s="97">
        <v>0</v>
      </c>
      <c r="H54" s="97">
        <v>0</v>
      </c>
      <c r="I54" s="97">
        <v>2.7E-2</v>
      </c>
      <c r="J54" s="97">
        <v>0</v>
      </c>
      <c r="K54" s="97">
        <v>0.02</v>
      </c>
      <c r="L54" s="97">
        <v>0.01</v>
      </c>
      <c r="M54" s="97">
        <v>0</v>
      </c>
      <c r="N54" s="97">
        <v>0.01</v>
      </c>
      <c r="O54" s="97">
        <f t="shared" si="5"/>
        <v>0.157</v>
      </c>
    </row>
    <row r="55" spans="2:15" x14ac:dyDescent="0.2">
      <c r="B55" s="90" t="s">
        <v>61</v>
      </c>
      <c r="C55" s="97">
        <v>0.01</v>
      </c>
      <c r="D55" s="97">
        <v>0.03</v>
      </c>
      <c r="E55" s="97">
        <v>0.01</v>
      </c>
      <c r="F55" s="97">
        <v>0</v>
      </c>
      <c r="G55" s="97">
        <v>0</v>
      </c>
      <c r="H55" s="97">
        <v>0</v>
      </c>
      <c r="I55" s="97">
        <v>2.1000000000000001E-2</v>
      </c>
      <c r="J55" s="97">
        <v>0</v>
      </c>
      <c r="K55" s="97">
        <v>0</v>
      </c>
      <c r="L55" s="97">
        <v>0</v>
      </c>
      <c r="M55" s="97">
        <v>0</v>
      </c>
      <c r="N55" s="97">
        <v>0</v>
      </c>
      <c r="O55" s="97">
        <f t="shared" si="5"/>
        <v>7.1000000000000008E-2</v>
      </c>
    </row>
    <row r="56" spans="2:15" hidden="1" x14ac:dyDescent="0.2">
      <c r="B56" s="90" t="s">
        <v>62</v>
      </c>
      <c r="C56" s="97">
        <v>0</v>
      </c>
      <c r="D56" s="97">
        <v>0</v>
      </c>
      <c r="E56" s="97">
        <v>0</v>
      </c>
      <c r="F56" s="97">
        <v>0</v>
      </c>
      <c r="G56" s="97">
        <v>0</v>
      </c>
      <c r="H56" s="97">
        <v>0</v>
      </c>
      <c r="I56" s="97">
        <v>0</v>
      </c>
      <c r="J56" s="97">
        <v>0</v>
      </c>
      <c r="K56" s="97">
        <v>0</v>
      </c>
      <c r="L56" s="97">
        <v>0</v>
      </c>
      <c r="M56" s="97">
        <v>0</v>
      </c>
      <c r="N56" s="97">
        <v>0</v>
      </c>
      <c r="O56" s="97">
        <f t="shared" si="5"/>
        <v>0</v>
      </c>
    </row>
    <row r="57" spans="2:15" x14ac:dyDescent="0.2">
      <c r="B57" s="90" t="s">
        <v>63</v>
      </c>
      <c r="C57" s="97">
        <v>5.92</v>
      </c>
      <c r="D57" s="97">
        <v>6.56</v>
      </c>
      <c r="E57" s="97">
        <v>2.12</v>
      </c>
      <c r="F57" s="97">
        <v>0.01</v>
      </c>
      <c r="G57" s="97">
        <v>0</v>
      </c>
      <c r="H57" s="97">
        <v>0.19</v>
      </c>
      <c r="I57" s="97">
        <v>7.218</v>
      </c>
      <c r="J57" s="97">
        <v>0.28999999999999998</v>
      </c>
      <c r="K57" s="97">
        <v>2.83</v>
      </c>
      <c r="L57" s="97">
        <v>0.31</v>
      </c>
      <c r="M57" s="97">
        <v>7.0000000000000007E-2</v>
      </c>
      <c r="N57" s="97">
        <v>0.39</v>
      </c>
      <c r="O57" s="97">
        <f t="shared" si="5"/>
        <v>25.907999999999998</v>
      </c>
    </row>
    <row r="58" spans="2:15" x14ac:dyDescent="0.2">
      <c r="B58" s="90" t="s">
        <v>64</v>
      </c>
      <c r="C58" s="97">
        <v>0.64</v>
      </c>
      <c r="D58" s="97">
        <v>0.57999999999999996</v>
      </c>
      <c r="E58" s="97">
        <v>0.19</v>
      </c>
      <c r="F58" s="97">
        <v>0</v>
      </c>
      <c r="G58" s="97">
        <v>0</v>
      </c>
      <c r="H58" s="97">
        <v>0.7</v>
      </c>
      <c r="I58" s="97">
        <v>0.60799999999999998</v>
      </c>
      <c r="J58" s="97">
        <v>0.95</v>
      </c>
      <c r="K58" s="97">
        <v>0.93</v>
      </c>
      <c r="L58" s="97">
        <v>0.24</v>
      </c>
      <c r="M58" s="97">
        <v>0.15</v>
      </c>
      <c r="N58" s="97">
        <v>0.08</v>
      </c>
      <c r="O58" s="97">
        <f t="shared" si="5"/>
        <v>5.0680000000000005</v>
      </c>
    </row>
    <row r="59" spans="2:15" s="92" customFormat="1" x14ac:dyDescent="0.2">
      <c r="B59" s="105" t="s">
        <v>65</v>
      </c>
      <c r="C59" s="97">
        <v>0</v>
      </c>
      <c r="D59" s="97">
        <v>0</v>
      </c>
      <c r="E59" s="97">
        <v>0.01</v>
      </c>
      <c r="F59" s="97">
        <v>0</v>
      </c>
      <c r="G59" s="97">
        <v>0</v>
      </c>
      <c r="H59" s="97">
        <v>0</v>
      </c>
      <c r="I59" s="97">
        <v>0</v>
      </c>
      <c r="J59" s="97">
        <v>0</v>
      </c>
      <c r="K59" s="97">
        <v>0</v>
      </c>
      <c r="L59" s="97">
        <v>0</v>
      </c>
      <c r="M59" s="97">
        <v>0</v>
      </c>
      <c r="N59" s="97">
        <v>0</v>
      </c>
      <c r="O59" s="97">
        <f t="shared" si="5"/>
        <v>0.01</v>
      </c>
    </row>
    <row r="60" spans="2:15" x14ac:dyDescent="0.2">
      <c r="B60" s="90" t="s">
        <v>66</v>
      </c>
      <c r="C60" s="97">
        <v>0.02</v>
      </c>
      <c r="D60" s="97">
        <v>0.17</v>
      </c>
      <c r="E60" s="97">
        <v>0.01</v>
      </c>
      <c r="F60" s="97">
        <v>0</v>
      </c>
      <c r="G60" s="97">
        <v>0</v>
      </c>
      <c r="H60" s="97">
        <v>0</v>
      </c>
      <c r="I60" s="97">
        <v>2.6840000000000002</v>
      </c>
      <c r="J60" s="97">
        <v>0.41</v>
      </c>
      <c r="K60" s="97">
        <v>0.02</v>
      </c>
      <c r="L60" s="97">
        <v>1.56</v>
      </c>
      <c r="M60" s="97">
        <v>0.66</v>
      </c>
      <c r="N60" s="97">
        <v>0.39</v>
      </c>
      <c r="O60" s="97">
        <f t="shared" si="5"/>
        <v>5.9240000000000004</v>
      </c>
    </row>
    <row r="61" spans="2:15" x14ac:dyDescent="0.2">
      <c r="B61" s="90" t="s">
        <v>67</v>
      </c>
      <c r="C61" s="97">
        <v>20.36</v>
      </c>
      <c r="D61" s="97">
        <v>20.28</v>
      </c>
      <c r="E61" s="97">
        <v>7.65</v>
      </c>
      <c r="F61" s="97">
        <v>0.16</v>
      </c>
      <c r="G61" s="97">
        <v>0</v>
      </c>
      <c r="H61" s="97">
        <v>0.39</v>
      </c>
      <c r="I61" s="97">
        <v>40.484000000000002</v>
      </c>
      <c r="J61" s="97">
        <v>4.1100000000000003</v>
      </c>
      <c r="K61" s="97">
        <v>10.72</v>
      </c>
      <c r="L61" s="97">
        <v>10.53</v>
      </c>
      <c r="M61" s="97">
        <v>2.5299999999999998</v>
      </c>
      <c r="N61" s="97">
        <v>15.18</v>
      </c>
      <c r="O61" s="97">
        <f t="shared" si="5"/>
        <v>132.39400000000001</v>
      </c>
    </row>
    <row r="62" spans="2:15" hidden="1" x14ac:dyDescent="0.2">
      <c r="B62" s="90" t="s">
        <v>68</v>
      </c>
      <c r="C62" s="97">
        <v>0</v>
      </c>
      <c r="D62" s="97">
        <v>0</v>
      </c>
      <c r="E62" s="97">
        <v>0</v>
      </c>
      <c r="F62" s="97">
        <v>0</v>
      </c>
      <c r="G62" s="97">
        <v>0</v>
      </c>
      <c r="H62" s="97">
        <v>0</v>
      </c>
      <c r="I62" s="97">
        <v>0</v>
      </c>
      <c r="J62" s="97">
        <v>0</v>
      </c>
      <c r="K62" s="97">
        <v>0</v>
      </c>
      <c r="L62" s="97">
        <v>0</v>
      </c>
      <c r="M62" s="97">
        <v>0</v>
      </c>
      <c r="N62" s="97">
        <v>0</v>
      </c>
      <c r="O62" s="97">
        <f t="shared" si="5"/>
        <v>0</v>
      </c>
    </row>
    <row r="63" spans="2:15" x14ac:dyDescent="0.2">
      <c r="B63" s="90" t="s">
        <v>695</v>
      </c>
      <c r="C63" s="97">
        <v>0</v>
      </c>
      <c r="D63" s="97">
        <v>0</v>
      </c>
      <c r="E63" s="97">
        <v>0</v>
      </c>
      <c r="F63" s="97">
        <v>0</v>
      </c>
      <c r="G63" s="97">
        <v>0</v>
      </c>
      <c r="H63" s="97">
        <v>0</v>
      </c>
      <c r="I63" s="97">
        <v>0</v>
      </c>
      <c r="J63" s="97">
        <v>0</v>
      </c>
      <c r="K63" s="97">
        <v>0</v>
      </c>
      <c r="L63" s="97">
        <v>0</v>
      </c>
      <c r="M63" s="97">
        <v>0.36</v>
      </c>
      <c r="N63" s="97">
        <v>0</v>
      </c>
      <c r="O63" s="97">
        <f>SUM(C63:N63)</f>
        <v>0.36</v>
      </c>
    </row>
    <row r="65" spans="1:17" s="95" customFormat="1" ht="15" x14ac:dyDescent="0.25">
      <c r="A65" s="94" t="s">
        <v>69</v>
      </c>
      <c r="C65" s="96">
        <f t="shared" ref="C65:P65" si="6">SUM(C66:C66)</f>
        <v>0.38</v>
      </c>
      <c r="D65" s="96">
        <f t="shared" si="6"/>
        <v>0.59</v>
      </c>
      <c r="E65" s="96">
        <f t="shared" si="6"/>
        <v>0.2</v>
      </c>
      <c r="F65" s="96">
        <f t="shared" si="6"/>
        <v>0</v>
      </c>
      <c r="G65" s="96">
        <f t="shared" si="6"/>
        <v>0</v>
      </c>
      <c r="H65" s="96">
        <f t="shared" si="6"/>
        <v>0</v>
      </c>
      <c r="I65" s="96">
        <f t="shared" si="6"/>
        <v>1.9379999999999999</v>
      </c>
      <c r="J65" s="96">
        <f t="shared" si="6"/>
        <v>0</v>
      </c>
      <c r="K65" s="96">
        <f t="shared" si="6"/>
        <v>0.13</v>
      </c>
      <c r="L65" s="96">
        <f t="shared" si="6"/>
        <v>0.01</v>
      </c>
      <c r="M65" s="96">
        <f t="shared" si="6"/>
        <v>0</v>
      </c>
      <c r="N65" s="96">
        <f t="shared" si="6"/>
        <v>1</v>
      </c>
      <c r="O65" s="96">
        <f t="shared" si="6"/>
        <v>4.2479999999999993</v>
      </c>
      <c r="P65" s="96">
        <f t="shared" si="6"/>
        <v>0</v>
      </c>
      <c r="Q65" s="96"/>
    </row>
    <row r="66" spans="1:17" x14ac:dyDescent="0.2">
      <c r="B66" s="90" t="s">
        <v>70</v>
      </c>
      <c r="C66" s="97">
        <v>0.38</v>
      </c>
      <c r="D66" s="97">
        <v>0.59</v>
      </c>
      <c r="E66" s="97">
        <v>0.2</v>
      </c>
      <c r="F66" s="97">
        <v>0</v>
      </c>
      <c r="G66" s="97">
        <v>0</v>
      </c>
      <c r="H66" s="97">
        <v>0</v>
      </c>
      <c r="I66" s="97">
        <v>1.9379999999999999</v>
      </c>
      <c r="J66" s="97">
        <v>0</v>
      </c>
      <c r="K66" s="97">
        <v>0.13</v>
      </c>
      <c r="L66" s="97">
        <v>0.01</v>
      </c>
      <c r="M66" s="97">
        <v>0</v>
      </c>
      <c r="N66" s="97">
        <v>1</v>
      </c>
      <c r="O66" s="97">
        <f>SUM(C66:N66)</f>
        <v>4.2479999999999993</v>
      </c>
    </row>
    <row r="67" spans="1:17" ht="12.75" customHeight="1" x14ac:dyDescent="0.2">
      <c r="C67" s="97"/>
      <c r="D67" s="97"/>
      <c r="E67" s="97"/>
      <c r="F67" s="97"/>
      <c r="G67" s="97"/>
      <c r="H67" s="97"/>
      <c r="I67" s="97"/>
      <c r="J67" s="97"/>
      <c r="K67" s="97"/>
      <c r="L67" s="97"/>
      <c r="M67" s="97"/>
      <c r="N67" s="97"/>
      <c r="O67" s="97"/>
    </row>
    <row r="68" spans="1:17" s="95" customFormat="1" ht="15" x14ac:dyDescent="0.25">
      <c r="A68" s="94" t="s">
        <v>71</v>
      </c>
      <c r="C68" s="96">
        <f t="shared" ref="C68:P68" si="7">SUM(C69:C71)</f>
        <v>25.82</v>
      </c>
      <c r="D68" s="96">
        <f t="shared" si="7"/>
        <v>49.146000000000001</v>
      </c>
      <c r="E68" s="96">
        <f t="shared" si="7"/>
        <v>8.8099999999999987</v>
      </c>
      <c r="F68" s="96">
        <f t="shared" si="7"/>
        <v>1.05</v>
      </c>
      <c r="G68" s="96">
        <f t="shared" si="7"/>
        <v>0</v>
      </c>
      <c r="H68" s="96">
        <f t="shared" si="7"/>
        <v>0.81</v>
      </c>
      <c r="I68" s="96">
        <f t="shared" si="7"/>
        <v>11.689</v>
      </c>
      <c r="J68" s="96">
        <f t="shared" si="7"/>
        <v>4.57</v>
      </c>
      <c r="K68" s="96">
        <f t="shared" si="7"/>
        <v>5.59</v>
      </c>
      <c r="L68" s="96">
        <f t="shared" si="7"/>
        <v>2.87</v>
      </c>
      <c r="M68" s="96">
        <f t="shared" si="7"/>
        <v>1.1399999999999999</v>
      </c>
      <c r="N68" s="96">
        <f t="shared" si="7"/>
        <v>6.64</v>
      </c>
      <c r="O68" s="96">
        <f>SUM(O69:O71)</f>
        <v>118.13500000000002</v>
      </c>
      <c r="P68" s="96">
        <f t="shared" si="7"/>
        <v>0</v>
      </c>
      <c r="Q68" s="96"/>
    </row>
    <row r="69" spans="1:17" x14ac:dyDescent="0.2">
      <c r="B69" s="90" t="s">
        <v>72</v>
      </c>
      <c r="C69" s="97">
        <v>25.81</v>
      </c>
      <c r="D69" s="97">
        <v>49.13</v>
      </c>
      <c r="E69" s="97">
        <v>8.7799999999999994</v>
      </c>
      <c r="F69" s="97">
        <v>1.05</v>
      </c>
      <c r="G69" s="97">
        <v>0</v>
      </c>
      <c r="H69" s="97">
        <v>0.81</v>
      </c>
      <c r="I69" s="97">
        <v>11.673</v>
      </c>
      <c r="J69" s="97">
        <v>4.57</v>
      </c>
      <c r="K69" s="97">
        <v>5.59</v>
      </c>
      <c r="L69" s="97">
        <v>2.87</v>
      </c>
      <c r="M69" s="97">
        <v>1.1399999999999999</v>
      </c>
      <c r="N69" s="97">
        <v>6.64</v>
      </c>
      <c r="O69" s="97">
        <f>SUM(C69:N69)</f>
        <v>118.06300000000002</v>
      </c>
    </row>
    <row r="70" spans="1:17" x14ac:dyDescent="0.2">
      <c r="B70" s="90" t="s">
        <v>73</v>
      </c>
      <c r="C70" s="97">
        <v>0.01</v>
      </c>
      <c r="D70" s="97">
        <v>1.6E-2</v>
      </c>
      <c r="E70" s="97">
        <v>0.03</v>
      </c>
      <c r="F70" s="97">
        <v>0</v>
      </c>
      <c r="G70" s="97">
        <v>0</v>
      </c>
      <c r="H70" s="97">
        <v>0</v>
      </c>
      <c r="I70" s="97">
        <v>1.6E-2</v>
      </c>
      <c r="J70" s="97">
        <v>0</v>
      </c>
      <c r="K70" s="97">
        <v>0</v>
      </c>
      <c r="L70" s="97">
        <v>0</v>
      </c>
      <c r="M70" s="97">
        <v>0</v>
      </c>
      <c r="N70" s="97">
        <v>0</v>
      </c>
      <c r="O70" s="97">
        <f t="shared" ref="O70:O71" si="8">SUM(C70:N70)</f>
        <v>7.2000000000000008E-2</v>
      </c>
    </row>
    <row r="71" spans="1:17" hidden="1" x14ac:dyDescent="0.2">
      <c r="B71" s="90" t="s">
        <v>74</v>
      </c>
      <c r="C71" s="97">
        <v>0</v>
      </c>
      <c r="D71" s="97">
        <v>0</v>
      </c>
      <c r="E71" s="97">
        <v>0</v>
      </c>
      <c r="F71" s="97">
        <v>0</v>
      </c>
      <c r="G71" s="97">
        <v>0</v>
      </c>
      <c r="H71" s="97">
        <v>0</v>
      </c>
      <c r="I71" s="97">
        <v>0</v>
      </c>
      <c r="J71" s="97">
        <v>0</v>
      </c>
      <c r="K71" s="97">
        <v>0</v>
      </c>
      <c r="L71" s="97">
        <v>0</v>
      </c>
      <c r="M71" s="97">
        <v>0</v>
      </c>
      <c r="N71" s="97">
        <v>0</v>
      </c>
      <c r="O71" s="97">
        <f t="shared" si="8"/>
        <v>0</v>
      </c>
    </row>
    <row r="72" spans="1:17" ht="12.75" customHeight="1" x14ac:dyDescent="0.2">
      <c r="C72" s="97"/>
      <c r="D72" s="97"/>
      <c r="E72" s="97"/>
      <c r="F72" s="97"/>
      <c r="G72" s="97"/>
      <c r="H72" s="97"/>
      <c r="I72" s="97"/>
      <c r="J72" s="97"/>
      <c r="K72" s="97"/>
      <c r="L72" s="97"/>
      <c r="M72" s="97"/>
      <c r="N72" s="97"/>
      <c r="O72" s="97"/>
    </row>
    <row r="73" spans="1:17" s="95" customFormat="1" ht="15" x14ac:dyDescent="0.25">
      <c r="A73" s="94" t="s">
        <v>75</v>
      </c>
      <c r="C73" s="96">
        <f t="shared" ref="C73:P73" si="9">SUM(C74:C75)</f>
        <v>7.34</v>
      </c>
      <c r="D73" s="96">
        <f t="shared" si="9"/>
        <v>0</v>
      </c>
      <c r="E73" s="96">
        <f t="shared" si="9"/>
        <v>0</v>
      </c>
      <c r="F73" s="96">
        <f t="shared" si="9"/>
        <v>0</v>
      </c>
      <c r="G73" s="96">
        <f t="shared" si="9"/>
        <v>0</v>
      </c>
      <c r="H73" s="96">
        <f t="shared" si="9"/>
        <v>0</v>
      </c>
      <c r="I73" s="96">
        <f t="shared" si="9"/>
        <v>0</v>
      </c>
      <c r="J73" s="96">
        <f t="shared" si="9"/>
        <v>0</v>
      </c>
      <c r="K73" s="96">
        <f t="shared" si="9"/>
        <v>0</v>
      </c>
      <c r="L73" s="96">
        <f t="shared" si="9"/>
        <v>0</v>
      </c>
      <c r="M73" s="96">
        <f t="shared" si="9"/>
        <v>0</v>
      </c>
      <c r="N73" s="96">
        <f t="shared" si="9"/>
        <v>0</v>
      </c>
      <c r="O73" s="96">
        <f t="shared" si="9"/>
        <v>7.34</v>
      </c>
      <c r="P73" s="96">
        <f t="shared" si="9"/>
        <v>0</v>
      </c>
      <c r="Q73" s="96"/>
    </row>
    <row r="74" spans="1:17" hidden="1" x14ac:dyDescent="0.2">
      <c r="B74" s="90" t="s">
        <v>76</v>
      </c>
      <c r="C74" s="97">
        <v>0</v>
      </c>
      <c r="D74" s="97">
        <v>0</v>
      </c>
      <c r="E74" s="97">
        <v>0</v>
      </c>
      <c r="F74" s="97">
        <v>0</v>
      </c>
      <c r="G74" s="97">
        <v>0</v>
      </c>
      <c r="H74" s="97">
        <v>0</v>
      </c>
      <c r="I74" s="97">
        <v>0</v>
      </c>
      <c r="J74" s="97">
        <v>0</v>
      </c>
      <c r="K74" s="97">
        <v>0</v>
      </c>
      <c r="L74" s="97">
        <v>0</v>
      </c>
      <c r="M74" s="97">
        <v>0</v>
      </c>
      <c r="N74" s="97">
        <v>0</v>
      </c>
      <c r="O74" s="97">
        <f>SUM(C74:M74)</f>
        <v>0</v>
      </c>
    </row>
    <row r="75" spans="1:17" x14ac:dyDescent="0.2">
      <c r="B75" s="90" t="s">
        <v>77</v>
      </c>
      <c r="C75" s="97">
        <v>7.34</v>
      </c>
      <c r="D75" s="97">
        <v>0</v>
      </c>
      <c r="E75" s="97">
        <v>0</v>
      </c>
      <c r="F75" s="97">
        <v>0</v>
      </c>
      <c r="G75" s="97">
        <v>0</v>
      </c>
      <c r="H75" s="97">
        <v>0</v>
      </c>
      <c r="I75" s="97">
        <v>0</v>
      </c>
      <c r="J75" s="97">
        <v>0</v>
      </c>
      <c r="K75" s="97">
        <v>0</v>
      </c>
      <c r="L75" s="97">
        <v>0</v>
      </c>
      <c r="M75" s="97">
        <v>0</v>
      </c>
      <c r="N75" s="97">
        <v>0</v>
      </c>
      <c r="O75" s="97">
        <f>SUM(C75:N75)</f>
        <v>7.34</v>
      </c>
    </row>
    <row r="76" spans="1:17" x14ac:dyDescent="0.2">
      <c r="C76" s="97"/>
      <c r="D76" s="97"/>
      <c r="E76" s="97"/>
      <c r="F76" s="97"/>
      <c r="G76" s="97"/>
      <c r="H76" s="97"/>
      <c r="I76" s="97"/>
      <c r="J76" s="97"/>
      <c r="K76" s="97"/>
      <c r="L76" s="97"/>
      <c r="M76" s="97"/>
      <c r="N76" s="97"/>
      <c r="O76" s="97"/>
    </row>
    <row r="77" spans="1:17" s="95" customFormat="1" ht="15" x14ac:dyDescent="0.25">
      <c r="A77" s="94" t="s">
        <v>78</v>
      </c>
      <c r="C77" s="96">
        <f t="shared" ref="C77:P77" si="10">SUM(C78:C86)</f>
        <v>345.79</v>
      </c>
      <c r="D77" s="96">
        <f t="shared" si="10"/>
        <v>91.471999999999994</v>
      </c>
      <c r="E77" s="96">
        <f t="shared" si="10"/>
        <v>56.240000000000009</v>
      </c>
      <c r="F77" s="96">
        <f t="shared" si="10"/>
        <v>6.57</v>
      </c>
      <c r="G77" s="96">
        <f t="shared" si="10"/>
        <v>0</v>
      </c>
      <c r="H77" s="96">
        <f t="shared" si="10"/>
        <v>5.8999999999999995</v>
      </c>
      <c r="I77" s="96">
        <f t="shared" si="10"/>
        <v>249.089</v>
      </c>
      <c r="J77" s="96">
        <f t="shared" si="10"/>
        <v>33.410000000000004</v>
      </c>
      <c r="K77" s="96">
        <f t="shared" si="10"/>
        <v>65.469999999999985</v>
      </c>
      <c r="L77" s="96">
        <f t="shared" si="10"/>
        <v>36.390000000000008</v>
      </c>
      <c r="M77" s="96">
        <f t="shared" si="10"/>
        <v>15.36</v>
      </c>
      <c r="N77" s="96">
        <f t="shared" si="10"/>
        <v>49.370000000000005</v>
      </c>
      <c r="O77" s="96">
        <f t="shared" si="10"/>
        <v>955.06100000000015</v>
      </c>
      <c r="P77" s="96">
        <f t="shared" si="10"/>
        <v>0</v>
      </c>
      <c r="Q77" s="96"/>
    </row>
    <row r="78" spans="1:17" x14ac:dyDescent="0.2">
      <c r="B78" s="90" t="s">
        <v>79</v>
      </c>
      <c r="C78" s="97">
        <v>90.12</v>
      </c>
      <c r="D78" s="97">
        <v>54.610999999999997</v>
      </c>
      <c r="E78" s="97">
        <v>39.15</v>
      </c>
      <c r="F78" s="97">
        <v>5.9</v>
      </c>
      <c r="G78" s="97">
        <v>0</v>
      </c>
      <c r="H78" s="97">
        <v>5.32</v>
      </c>
      <c r="I78" s="97">
        <v>217.374</v>
      </c>
      <c r="J78" s="97">
        <v>28.17</v>
      </c>
      <c r="K78" s="97">
        <v>55.58</v>
      </c>
      <c r="L78" s="97">
        <v>29.87</v>
      </c>
      <c r="M78" s="97">
        <v>11.84</v>
      </c>
      <c r="N78" s="97">
        <v>44.11</v>
      </c>
      <c r="O78" s="97">
        <f>SUM(C78:N78)</f>
        <v>582.04500000000007</v>
      </c>
    </row>
    <row r="79" spans="1:17" x14ac:dyDescent="0.2">
      <c r="B79" s="90" t="s">
        <v>80</v>
      </c>
      <c r="C79" s="97">
        <v>0</v>
      </c>
      <c r="D79" s="97">
        <v>0</v>
      </c>
      <c r="E79" s="97">
        <v>0.38</v>
      </c>
      <c r="F79" s="97">
        <v>0</v>
      </c>
      <c r="G79" s="97">
        <v>0</v>
      </c>
      <c r="H79" s="97">
        <v>0</v>
      </c>
      <c r="I79" s="97">
        <v>0</v>
      </c>
      <c r="J79" s="97">
        <v>0</v>
      </c>
      <c r="K79" s="97">
        <v>0</v>
      </c>
      <c r="L79" s="97">
        <v>0</v>
      </c>
      <c r="M79" s="97">
        <v>0</v>
      </c>
      <c r="N79" s="97">
        <v>0</v>
      </c>
      <c r="O79" s="97">
        <f t="shared" ref="O79:O86" si="11">SUM(C79:N79)</f>
        <v>0.38</v>
      </c>
    </row>
    <row r="80" spans="1:17" x14ac:dyDescent="0.2">
      <c r="B80" s="90" t="s">
        <v>81</v>
      </c>
      <c r="C80" s="97">
        <v>0.1</v>
      </c>
      <c r="D80" s="97">
        <v>0.38400000000000001</v>
      </c>
      <c r="E80" s="97">
        <v>0.02</v>
      </c>
      <c r="F80" s="97">
        <v>0</v>
      </c>
      <c r="G80" s="97">
        <v>0</v>
      </c>
      <c r="H80" s="97">
        <v>0.01</v>
      </c>
      <c r="I80" s="97">
        <v>1.048</v>
      </c>
      <c r="J80" s="97">
        <v>0.02</v>
      </c>
      <c r="K80" s="97">
        <v>0.01</v>
      </c>
      <c r="L80" s="97">
        <v>0.01</v>
      </c>
      <c r="M80" s="97">
        <v>0</v>
      </c>
      <c r="N80" s="97">
        <v>0.1</v>
      </c>
      <c r="O80" s="97">
        <f t="shared" si="11"/>
        <v>1.7020000000000002</v>
      </c>
    </row>
    <row r="81" spans="1:17" x14ac:dyDescent="0.2">
      <c r="B81" s="90" t="s">
        <v>82</v>
      </c>
      <c r="C81" s="97">
        <v>16.02</v>
      </c>
      <c r="D81" s="97">
        <v>16.928999999999998</v>
      </c>
      <c r="E81" s="97">
        <v>9.92</v>
      </c>
      <c r="F81" s="97">
        <v>0.28999999999999998</v>
      </c>
      <c r="G81" s="97">
        <v>0</v>
      </c>
      <c r="H81" s="97">
        <v>0.25</v>
      </c>
      <c r="I81" s="97">
        <v>13.54</v>
      </c>
      <c r="J81" s="97">
        <v>1.33</v>
      </c>
      <c r="K81" s="97">
        <v>2.4</v>
      </c>
      <c r="L81" s="97">
        <v>1.34</v>
      </c>
      <c r="M81" s="97">
        <v>1.04</v>
      </c>
      <c r="N81" s="97">
        <v>1.92</v>
      </c>
      <c r="O81" s="97">
        <f t="shared" si="11"/>
        <v>64.978999999999999</v>
      </c>
    </row>
    <row r="82" spans="1:17" x14ac:dyDescent="0.2">
      <c r="B82" s="90" t="s">
        <v>83</v>
      </c>
      <c r="C82" s="97">
        <v>226.68</v>
      </c>
      <c r="D82" s="97">
        <v>5.6000000000000001E-2</v>
      </c>
      <c r="E82" s="97">
        <v>0.36</v>
      </c>
      <c r="F82" s="97">
        <v>0</v>
      </c>
      <c r="G82" s="97">
        <v>0</v>
      </c>
      <c r="H82" s="97">
        <v>0.01</v>
      </c>
      <c r="I82" s="97">
        <v>0.68400000000000005</v>
      </c>
      <c r="J82" s="97">
        <v>0.01</v>
      </c>
      <c r="K82" s="97">
        <v>2.9</v>
      </c>
      <c r="L82" s="97">
        <v>0.01</v>
      </c>
      <c r="M82" s="97">
        <v>0</v>
      </c>
      <c r="N82" s="97">
        <v>0.02</v>
      </c>
      <c r="O82" s="97">
        <f t="shared" si="11"/>
        <v>230.73000000000002</v>
      </c>
    </row>
    <row r="83" spans="1:17" x14ac:dyDescent="0.2">
      <c r="B83" s="90" t="s">
        <v>84</v>
      </c>
      <c r="C83" s="97">
        <v>11.39</v>
      </c>
      <c r="D83" s="97">
        <v>18.852</v>
      </c>
      <c r="E83" s="97">
        <v>6.3</v>
      </c>
      <c r="F83" s="97">
        <v>0.37</v>
      </c>
      <c r="G83" s="97">
        <v>0</v>
      </c>
      <c r="H83" s="97">
        <v>0.31</v>
      </c>
      <c r="I83" s="97">
        <v>16.012</v>
      </c>
      <c r="J83" s="97">
        <v>3.87</v>
      </c>
      <c r="K83" s="97">
        <v>4.5</v>
      </c>
      <c r="L83" s="97">
        <v>5.07</v>
      </c>
      <c r="M83" s="97">
        <v>2.4700000000000002</v>
      </c>
      <c r="N83" s="97">
        <v>2.34</v>
      </c>
      <c r="O83" s="97">
        <f t="shared" si="11"/>
        <v>71.484000000000009</v>
      </c>
    </row>
    <row r="84" spans="1:17" x14ac:dyDescent="0.2">
      <c r="B84" s="90" t="s">
        <v>85</v>
      </c>
      <c r="C84" s="97">
        <v>1.42</v>
      </c>
      <c r="D84" s="97">
        <v>0.58799999999999997</v>
      </c>
      <c r="E84" s="97">
        <v>0.09</v>
      </c>
      <c r="F84" s="97">
        <v>0.01</v>
      </c>
      <c r="G84" s="97">
        <v>0</v>
      </c>
      <c r="H84" s="97">
        <v>0</v>
      </c>
      <c r="I84" s="97">
        <v>0.36</v>
      </c>
      <c r="J84" s="97">
        <v>0.01</v>
      </c>
      <c r="K84" s="97">
        <v>0.05</v>
      </c>
      <c r="L84" s="97">
        <v>7.0000000000000007E-2</v>
      </c>
      <c r="M84" s="97">
        <v>0.01</v>
      </c>
      <c r="N84" s="97">
        <v>0.05</v>
      </c>
      <c r="O84" s="97">
        <f t="shared" si="11"/>
        <v>2.6579999999999986</v>
      </c>
    </row>
    <row r="85" spans="1:17" x14ac:dyDescent="0.2">
      <c r="B85" s="90" t="s">
        <v>86</v>
      </c>
      <c r="C85" s="97">
        <v>0</v>
      </c>
      <c r="D85" s="97">
        <v>0</v>
      </c>
      <c r="E85" s="97">
        <v>0</v>
      </c>
      <c r="F85" s="97">
        <v>0</v>
      </c>
      <c r="G85" s="97">
        <v>0</v>
      </c>
      <c r="H85" s="97">
        <v>0</v>
      </c>
      <c r="I85" s="97">
        <v>6.0999999999999999E-2</v>
      </c>
      <c r="J85" s="97">
        <v>0</v>
      </c>
      <c r="K85" s="97">
        <v>0.02</v>
      </c>
      <c r="L85" s="97">
        <v>0.02</v>
      </c>
      <c r="M85" s="97">
        <v>0</v>
      </c>
      <c r="N85" s="97">
        <v>0</v>
      </c>
      <c r="O85" s="97">
        <f t="shared" si="11"/>
        <v>0.10100000000000001</v>
      </c>
    </row>
    <row r="86" spans="1:17" x14ac:dyDescent="0.2">
      <c r="B86" s="90" t="s">
        <v>87</v>
      </c>
      <c r="C86" s="97">
        <v>0.06</v>
      </c>
      <c r="D86" s="97">
        <v>5.1999999999999998E-2</v>
      </c>
      <c r="E86" s="97">
        <v>0.02</v>
      </c>
      <c r="F86" s="97">
        <v>0</v>
      </c>
      <c r="G86" s="97">
        <v>0</v>
      </c>
      <c r="H86" s="97">
        <v>0</v>
      </c>
      <c r="I86" s="97">
        <v>0.01</v>
      </c>
      <c r="J86" s="97">
        <v>0</v>
      </c>
      <c r="K86" s="97">
        <v>0.01</v>
      </c>
      <c r="L86" s="97">
        <v>0</v>
      </c>
      <c r="M86" s="97">
        <v>0</v>
      </c>
      <c r="N86" s="97">
        <v>0.83</v>
      </c>
      <c r="O86" s="97">
        <f t="shared" si="11"/>
        <v>0.98199999999999998</v>
      </c>
    </row>
    <row r="87" spans="1:17" ht="12.75" customHeight="1" x14ac:dyDescent="0.2">
      <c r="C87" s="97"/>
      <c r="D87" s="97"/>
      <c r="E87" s="97"/>
      <c r="F87" s="97"/>
      <c r="G87" s="97"/>
      <c r="H87" s="97"/>
      <c r="I87" s="97"/>
      <c r="J87" s="97"/>
      <c r="K87" s="97"/>
      <c r="L87" s="97"/>
      <c r="M87" s="97"/>
      <c r="N87" s="97"/>
      <c r="O87" s="97"/>
    </row>
    <row r="88" spans="1:17" s="95" customFormat="1" ht="15" x14ac:dyDescent="0.25">
      <c r="A88" s="94" t="s">
        <v>88</v>
      </c>
      <c r="C88" s="96">
        <f t="shared" ref="C88:N88" si="12">SUM(C89:C107)</f>
        <v>15.119999999999997</v>
      </c>
      <c r="D88" s="96">
        <f t="shared" si="12"/>
        <v>119.13000000000001</v>
      </c>
      <c r="E88" s="96">
        <f t="shared" si="12"/>
        <v>27.16</v>
      </c>
      <c r="F88" s="96">
        <f t="shared" si="12"/>
        <v>1.25</v>
      </c>
      <c r="G88" s="96">
        <f t="shared" si="12"/>
        <v>0</v>
      </c>
      <c r="H88" s="96">
        <f t="shared" si="12"/>
        <v>1.72</v>
      </c>
      <c r="I88" s="96">
        <f t="shared" si="12"/>
        <v>22.369000000000007</v>
      </c>
      <c r="J88" s="96">
        <f t="shared" si="12"/>
        <v>0.99</v>
      </c>
      <c r="K88" s="96">
        <f t="shared" si="12"/>
        <v>3.379999999999999</v>
      </c>
      <c r="L88" s="96">
        <f t="shared" si="12"/>
        <v>1.1599999999999999</v>
      </c>
      <c r="M88" s="96">
        <f t="shared" si="12"/>
        <v>0.75</v>
      </c>
      <c r="N88" s="96">
        <f t="shared" si="12"/>
        <v>1.4100000000000001</v>
      </c>
      <c r="O88" s="96">
        <f>SUM(O89:O106)</f>
        <v>194.42899999999997</v>
      </c>
      <c r="P88" s="96">
        <f t="shared" ref="P88" si="13">SUM(P89:P106)</f>
        <v>0</v>
      </c>
      <c r="Q88" s="96"/>
    </row>
    <row r="89" spans="1:17" x14ac:dyDescent="0.2">
      <c r="B89" s="105" t="s">
        <v>89</v>
      </c>
      <c r="C89" s="97">
        <v>0.01</v>
      </c>
      <c r="D89" s="97">
        <v>0.151</v>
      </c>
      <c r="E89" s="97">
        <v>0</v>
      </c>
      <c r="F89" s="97">
        <v>0.98</v>
      </c>
      <c r="G89" s="97">
        <v>0</v>
      </c>
      <c r="H89" s="97">
        <v>0</v>
      </c>
      <c r="I89" s="97">
        <v>1.4E-2</v>
      </c>
      <c r="J89" s="97">
        <v>0</v>
      </c>
      <c r="K89" s="97">
        <v>0.03</v>
      </c>
      <c r="L89" s="97">
        <v>0</v>
      </c>
      <c r="M89" s="97">
        <v>0</v>
      </c>
      <c r="N89" s="97">
        <v>0</v>
      </c>
      <c r="O89" s="97">
        <f>SUM(C89:N89)</f>
        <v>1.1850000000000001</v>
      </c>
    </row>
    <row r="90" spans="1:17" x14ac:dyDescent="0.2">
      <c r="B90" s="105" t="s">
        <v>90</v>
      </c>
      <c r="C90" s="97">
        <v>0.33</v>
      </c>
      <c r="D90" s="97">
        <v>0</v>
      </c>
      <c r="E90" s="97">
        <v>0</v>
      </c>
      <c r="F90" s="97">
        <v>0</v>
      </c>
      <c r="G90" s="97">
        <v>0</v>
      </c>
      <c r="H90" s="97">
        <v>0</v>
      </c>
      <c r="I90" s="97">
        <v>0</v>
      </c>
      <c r="J90" s="97">
        <v>0</v>
      </c>
      <c r="K90" s="97">
        <v>0</v>
      </c>
      <c r="L90" s="97">
        <v>0</v>
      </c>
      <c r="M90" s="97">
        <v>0</v>
      </c>
      <c r="N90" s="97">
        <v>0</v>
      </c>
      <c r="O90" s="97">
        <f t="shared" ref="O90:O107" si="14">SUM(C90:N90)</f>
        <v>0.33</v>
      </c>
    </row>
    <row r="91" spans="1:17" x14ac:dyDescent="0.2">
      <c r="B91" s="105" t="s">
        <v>666</v>
      </c>
      <c r="C91" s="97">
        <v>0.11</v>
      </c>
      <c r="D91" s="97">
        <v>0</v>
      </c>
      <c r="E91" s="97">
        <v>0</v>
      </c>
      <c r="F91" s="97">
        <v>0</v>
      </c>
      <c r="G91" s="97">
        <v>0</v>
      </c>
      <c r="H91" s="97">
        <v>0</v>
      </c>
      <c r="I91" s="97">
        <v>0</v>
      </c>
      <c r="J91" s="97">
        <v>0</v>
      </c>
      <c r="K91" s="97">
        <v>0</v>
      </c>
      <c r="L91" s="97">
        <v>0</v>
      </c>
      <c r="M91" s="97">
        <v>0</v>
      </c>
      <c r="N91" s="97">
        <v>0</v>
      </c>
      <c r="O91" s="97">
        <f t="shared" si="14"/>
        <v>0.11</v>
      </c>
    </row>
    <row r="92" spans="1:17" x14ac:dyDescent="0.2">
      <c r="B92" s="105" t="s">
        <v>91</v>
      </c>
      <c r="C92" s="97">
        <v>12.38</v>
      </c>
      <c r="D92" s="97">
        <v>117.25700000000001</v>
      </c>
      <c r="E92" s="97">
        <v>26.98</v>
      </c>
      <c r="F92" s="97">
        <v>0.24</v>
      </c>
      <c r="G92" s="97">
        <v>0</v>
      </c>
      <c r="H92" s="97">
        <v>0.22</v>
      </c>
      <c r="I92" s="97">
        <v>21.263000000000002</v>
      </c>
      <c r="J92" s="97">
        <v>0.61</v>
      </c>
      <c r="K92" s="97">
        <v>2.02</v>
      </c>
      <c r="L92" s="97">
        <v>0.82</v>
      </c>
      <c r="M92" s="97">
        <v>0.52</v>
      </c>
      <c r="N92" s="97">
        <v>1.1000000000000001</v>
      </c>
      <c r="O92" s="97">
        <f t="shared" si="14"/>
        <v>183.41000000000003</v>
      </c>
    </row>
    <row r="93" spans="1:17" x14ac:dyDescent="0.2">
      <c r="B93" s="105" t="s">
        <v>696</v>
      </c>
      <c r="C93" s="97">
        <v>0.02</v>
      </c>
      <c r="D93" s="97">
        <v>0</v>
      </c>
      <c r="E93" s="97">
        <v>0</v>
      </c>
      <c r="F93" s="97">
        <v>0.01</v>
      </c>
      <c r="G93" s="97">
        <v>0</v>
      </c>
      <c r="H93" s="97">
        <v>0</v>
      </c>
      <c r="I93" s="97">
        <v>0</v>
      </c>
      <c r="J93" s="97">
        <v>0</v>
      </c>
      <c r="K93" s="97">
        <v>0.01</v>
      </c>
      <c r="L93" s="97">
        <v>0.14000000000000001</v>
      </c>
      <c r="M93" s="97">
        <v>0</v>
      </c>
      <c r="N93" s="97">
        <v>0.05</v>
      </c>
      <c r="O93" s="97">
        <f t="shared" si="14"/>
        <v>0.23000000000000004</v>
      </c>
    </row>
    <row r="94" spans="1:17" x14ac:dyDescent="0.2">
      <c r="B94" s="105" t="s">
        <v>697</v>
      </c>
      <c r="C94" s="97">
        <v>0</v>
      </c>
      <c r="D94" s="97">
        <v>0.01</v>
      </c>
      <c r="E94" s="97">
        <v>0.02</v>
      </c>
      <c r="F94" s="97">
        <v>0.02</v>
      </c>
      <c r="G94" s="97">
        <v>0</v>
      </c>
      <c r="H94" s="97">
        <v>0</v>
      </c>
      <c r="I94" s="97">
        <v>2.5000000000000001E-2</v>
      </c>
      <c r="J94" s="97">
        <v>0.32</v>
      </c>
      <c r="K94" s="97">
        <v>0.61</v>
      </c>
      <c r="L94" s="97">
        <v>0.13</v>
      </c>
      <c r="M94" s="97">
        <v>0</v>
      </c>
      <c r="N94" s="97">
        <v>0.22</v>
      </c>
      <c r="O94" s="97">
        <f t="shared" si="14"/>
        <v>1.3549999999999998</v>
      </c>
    </row>
    <row r="95" spans="1:17" x14ac:dyDescent="0.2">
      <c r="B95" s="105" t="s">
        <v>679</v>
      </c>
      <c r="C95" s="97">
        <v>1.49</v>
      </c>
      <c r="D95" s="97">
        <v>0</v>
      </c>
      <c r="E95" s="97">
        <v>0.06</v>
      </c>
      <c r="F95" s="97">
        <v>0</v>
      </c>
      <c r="G95" s="97">
        <v>0</v>
      </c>
      <c r="H95" s="97">
        <v>0</v>
      </c>
      <c r="I95" s="97">
        <v>0</v>
      </c>
      <c r="J95" s="97">
        <v>0</v>
      </c>
      <c r="K95" s="97">
        <v>0</v>
      </c>
      <c r="L95" s="97">
        <v>0</v>
      </c>
      <c r="M95" s="97">
        <v>0</v>
      </c>
      <c r="N95" s="97">
        <v>0</v>
      </c>
      <c r="O95" s="97">
        <f t="shared" si="14"/>
        <v>1.55</v>
      </c>
    </row>
    <row r="96" spans="1:17" x14ac:dyDescent="0.2">
      <c r="B96" s="105" t="s">
        <v>680</v>
      </c>
      <c r="C96" s="97">
        <v>0.01</v>
      </c>
      <c r="D96" s="97">
        <v>1.603</v>
      </c>
      <c r="E96" s="97">
        <v>7.0000000000000007E-2</v>
      </c>
      <c r="F96" s="97">
        <v>0</v>
      </c>
      <c r="G96" s="97">
        <v>0</v>
      </c>
      <c r="H96" s="97">
        <v>1.5</v>
      </c>
      <c r="I96" s="97">
        <v>0.33500000000000002</v>
      </c>
      <c r="J96" s="97">
        <v>0.01</v>
      </c>
      <c r="K96" s="97">
        <v>0</v>
      </c>
      <c r="L96" s="97">
        <v>0</v>
      </c>
      <c r="M96" s="97">
        <v>0</v>
      </c>
      <c r="N96" s="97">
        <v>0.01</v>
      </c>
      <c r="O96" s="97">
        <f t="shared" si="14"/>
        <v>3.5379999999999994</v>
      </c>
    </row>
    <row r="97" spans="1:17" x14ac:dyDescent="0.2">
      <c r="B97" s="105" t="s">
        <v>698</v>
      </c>
      <c r="C97" s="97">
        <v>0.01</v>
      </c>
      <c r="D97" s="97">
        <v>4.7E-2</v>
      </c>
      <c r="E97" s="97">
        <v>0</v>
      </c>
      <c r="F97" s="97">
        <v>0</v>
      </c>
      <c r="G97" s="97">
        <v>0</v>
      </c>
      <c r="H97" s="97">
        <v>0</v>
      </c>
      <c r="I97" s="97">
        <v>0.01</v>
      </c>
      <c r="J97" s="97">
        <v>0.02</v>
      </c>
      <c r="K97" s="97">
        <v>0</v>
      </c>
      <c r="L97" s="97">
        <v>0</v>
      </c>
      <c r="M97" s="97">
        <v>0</v>
      </c>
      <c r="N97" s="97">
        <v>0</v>
      </c>
      <c r="O97" s="97">
        <f t="shared" si="14"/>
        <v>8.7000000000000008E-2</v>
      </c>
    </row>
    <row r="98" spans="1:17" x14ac:dyDescent="0.2">
      <c r="B98" s="105" t="s">
        <v>699</v>
      </c>
      <c r="C98" s="97">
        <v>0</v>
      </c>
      <c r="D98" s="97">
        <v>0</v>
      </c>
      <c r="E98" s="97">
        <v>0</v>
      </c>
      <c r="F98" s="97">
        <v>0</v>
      </c>
      <c r="G98" s="97">
        <v>0</v>
      </c>
      <c r="H98" s="97">
        <v>0</v>
      </c>
      <c r="I98" s="97">
        <v>0</v>
      </c>
      <c r="J98" s="97">
        <v>0.01</v>
      </c>
      <c r="K98" s="97">
        <v>0</v>
      </c>
      <c r="L98" s="97">
        <v>0</v>
      </c>
      <c r="M98" s="97">
        <v>0</v>
      </c>
      <c r="N98" s="97">
        <v>0</v>
      </c>
      <c r="O98" s="97">
        <f t="shared" si="14"/>
        <v>0.01</v>
      </c>
    </row>
    <row r="99" spans="1:17" x14ac:dyDescent="0.2">
      <c r="B99" s="105" t="s">
        <v>682</v>
      </c>
      <c r="C99" s="97">
        <v>0.52</v>
      </c>
      <c r="D99" s="97">
        <v>0</v>
      </c>
      <c r="E99" s="97">
        <v>0</v>
      </c>
      <c r="F99" s="97">
        <v>0</v>
      </c>
      <c r="G99" s="97">
        <v>0</v>
      </c>
      <c r="H99" s="97">
        <v>0</v>
      </c>
      <c r="I99" s="97">
        <v>2.9000000000000001E-2</v>
      </c>
      <c r="J99" s="97">
        <v>0.02</v>
      </c>
      <c r="K99" s="97">
        <v>0.01</v>
      </c>
      <c r="L99" s="97">
        <v>0.06</v>
      </c>
      <c r="M99" s="97">
        <v>0</v>
      </c>
      <c r="N99" s="97">
        <v>0.02</v>
      </c>
      <c r="O99" s="97">
        <f t="shared" si="14"/>
        <v>0.65900000000000003</v>
      </c>
    </row>
    <row r="100" spans="1:17" x14ac:dyDescent="0.2">
      <c r="B100" s="105" t="s">
        <v>700</v>
      </c>
      <c r="C100" s="97">
        <v>0.16</v>
      </c>
      <c r="D100" s="97">
        <v>0</v>
      </c>
      <c r="E100" s="97">
        <v>0.01</v>
      </c>
      <c r="F100" s="97">
        <v>0</v>
      </c>
      <c r="G100" s="97">
        <v>0</v>
      </c>
      <c r="H100" s="97">
        <v>0</v>
      </c>
      <c r="I100" s="97">
        <v>0</v>
      </c>
      <c r="J100" s="97">
        <v>0</v>
      </c>
      <c r="K100" s="97">
        <v>0</v>
      </c>
      <c r="L100" s="97">
        <v>0</v>
      </c>
      <c r="M100" s="97">
        <v>0</v>
      </c>
      <c r="N100" s="97">
        <v>0</v>
      </c>
      <c r="O100" s="97">
        <f t="shared" si="14"/>
        <v>0.17</v>
      </c>
    </row>
    <row r="101" spans="1:17" x14ac:dyDescent="0.2">
      <c r="B101" s="105" t="s">
        <v>701</v>
      </c>
      <c r="C101" s="97">
        <v>0.04</v>
      </c>
      <c r="D101" s="97">
        <v>0</v>
      </c>
      <c r="E101" s="97">
        <v>0</v>
      </c>
      <c r="F101" s="97">
        <v>0</v>
      </c>
      <c r="G101" s="97">
        <v>0</v>
      </c>
      <c r="H101" s="97">
        <v>0</v>
      </c>
      <c r="I101" s="97">
        <v>0.12</v>
      </c>
      <c r="J101" s="97">
        <v>0</v>
      </c>
      <c r="K101" s="97">
        <v>0</v>
      </c>
      <c r="L101" s="97">
        <v>0</v>
      </c>
      <c r="M101" s="97">
        <v>0</v>
      </c>
      <c r="N101" s="97">
        <v>0</v>
      </c>
      <c r="O101" s="97">
        <f t="shared" si="14"/>
        <v>0.16</v>
      </c>
    </row>
    <row r="102" spans="1:17" x14ac:dyDescent="0.2">
      <c r="B102" s="105" t="s">
        <v>683</v>
      </c>
      <c r="C102" s="97">
        <v>0</v>
      </c>
      <c r="D102" s="97">
        <v>0</v>
      </c>
      <c r="E102" s="97">
        <v>0</v>
      </c>
      <c r="F102" s="97">
        <v>0</v>
      </c>
      <c r="G102" s="97">
        <v>0</v>
      </c>
      <c r="H102" s="97">
        <v>0</v>
      </c>
      <c r="I102" s="97">
        <v>0</v>
      </c>
      <c r="J102" s="97">
        <v>0</v>
      </c>
      <c r="K102" s="97">
        <v>0</v>
      </c>
      <c r="L102" s="97">
        <v>0</v>
      </c>
      <c r="M102" s="97">
        <v>0.23</v>
      </c>
      <c r="N102" s="97">
        <v>0</v>
      </c>
      <c r="O102" s="97">
        <f t="shared" si="14"/>
        <v>0.23</v>
      </c>
    </row>
    <row r="103" spans="1:17" x14ac:dyDescent="0.2">
      <c r="B103" s="105" t="s">
        <v>684</v>
      </c>
      <c r="C103" s="97">
        <v>0.02</v>
      </c>
      <c r="D103" s="97">
        <v>4.2000000000000003E-2</v>
      </c>
      <c r="E103" s="97">
        <v>0.02</v>
      </c>
      <c r="F103" s="97">
        <v>0</v>
      </c>
      <c r="G103" s="97">
        <v>0</v>
      </c>
      <c r="H103" s="97">
        <v>0</v>
      </c>
      <c r="I103" s="97">
        <v>5.2999999999999999E-2</v>
      </c>
      <c r="J103" s="97">
        <v>0</v>
      </c>
      <c r="K103" s="97">
        <v>0.7</v>
      </c>
      <c r="L103" s="97">
        <v>0</v>
      </c>
      <c r="M103" s="97">
        <v>0</v>
      </c>
      <c r="N103" s="97">
        <v>0</v>
      </c>
      <c r="O103" s="97">
        <f t="shared" si="14"/>
        <v>0.83499999999999996</v>
      </c>
    </row>
    <row r="104" spans="1:17" x14ac:dyDescent="0.2">
      <c r="B104" s="105" t="s">
        <v>685</v>
      </c>
      <c r="C104" s="97">
        <v>0</v>
      </c>
      <c r="D104" s="97">
        <v>0</v>
      </c>
      <c r="E104" s="97">
        <v>0</v>
      </c>
      <c r="F104" s="97">
        <v>0</v>
      </c>
      <c r="G104" s="97">
        <v>0</v>
      </c>
      <c r="H104" s="97">
        <v>0</v>
      </c>
      <c r="I104" s="97">
        <v>0</v>
      </c>
      <c r="J104" s="97">
        <v>0</v>
      </c>
      <c r="K104" s="97">
        <v>0</v>
      </c>
      <c r="L104" s="97">
        <v>0</v>
      </c>
      <c r="M104" s="97">
        <v>0</v>
      </c>
      <c r="N104" s="97">
        <v>0</v>
      </c>
      <c r="O104" s="97">
        <f t="shared" si="14"/>
        <v>0</v>
      </c>
    </row>
    <row r="105" spans="1:17" x14ac:dyDescent="0.2">
      <c r="B105" s="105" t="s">
        <v>686</v>
      </c>
      <c r="C105" s="97">
        <v>0.02</v>
      </c>
      <c r="D105" s="97">
        <v>0.01</v>
      </c>
      <c r="E105" s="97">
        <v>0</v>
      </c>
      <c r="F105" s="97">
        <v>0</v>
      </c>
      <c r="G105" s="97">
        <v>0</v>
      </c>
      <c r="H105" s="97">
        <v>0</v>
      </c>
      <c r="I105" s="97">
        <v>0.51</v>
      </c>
      <c r="J105" s="97">
        <v>0</v>
      </c>
      <c r="K105" s="97">
        <v>0</v>
      </c>
      <c r="L105" s="97">
        <v>0.01</v>
      </c>
      <c r="M105" s="97">
        <v>0</v>
      </c>
      <c r="N105" s="97">
        <v>0.01</v>
      </c>
      <c r="O105" s="97">
        <f t="shared" si="14"/>
        <v>0.56000000000000005</v>
      </c>
    </row>
    <row r="106" spans="1:17" x14ac:dyDescent="0.2">
      <c r="B106" s="105" t="s">
        <v>702</v>
      </c>
      <c r="C106" s="97">
        <v>0</v>
      </c>
      <c r="D106" s="97">
        <v>0.01</v>
      </c>
      <c r="E106" s="97">
        <v>0</v>
      </c>
      <c r="F106" s="97">
        <v>0</v>
      </c>
      <c r="G106" s="97">
        <v>0</v>
      </c>
      <c r="H106" s="97">
        <v>0</v>
      </c>
      <c r="I106" s="97">
        <v>0</v>
      </c>
      <c r="J106" s="97">
        <v>0</v>
      </c>
      <c r="K106" s="97">
        <v>0</v>
      </c>
      <c r="L106" s="97">
        <v>0</v>
      </c>
      <c r="M106" s="97">
        <v>0</v>
      </c>
      <c r="N106" s="97">
        <v>0</v>
      </c>
      <c r="O106" s="97">
        <f t="shared" si="14"/>
        <v>0.01</v>
      </c>
    </row>
    <row r="107" spans="1:17" x14ac:dyDescent="0.2">
      <c r="B107" s="105" t="s">
        <v>703</v>
      </c>
      <c r="C107" s="97">
        <v>0</v>
      </c>
      <c r="D107" s="97">
        <v>0</v>
      </c>
      <c r="E107" s="97">
        <v>0</v>
      </c>
      <c r="F107" s="97">
        <v>0</v>
      </c>
      <c r="G107" s="97">
        <v>0</v>
      </c>
      <c r="H107" s="97">
        <v>0</v>
      </c>
      <c r="I107" s="97">
        <v>0.01</v>
      </c>
      <c r="J107" s="97">
        <v>0</v>
      </c>
      <c r="K107" s="97">
        <v>0</v>
      </c>
      <c r="L107" s="97">
        <v>0</v>
      </c>
      <c r="M107" s="97">
        <v>0</v>
      </c>
      <c r="N107" s="97">
        <v>0</v>
      </c>
      <c r="O107" s="97">
        <f t="shared" si="14"/>
        <v>0.01</v>
      </c>
    </row>
    <row r="108" spans="1:17" ht="12.75" customHeight="1" x14ac:dyDescent="0.2">
      <c r="C108" s="97"/>
      <c r="D108" s="97"/>
      <c r="E108" s="97"/>
      <c r="F108" s="97"/>
      <c r="G108" s="97"/>
      <c r="H108" s="97"/>
      <c r="I108" s="97"/>
      <c r="J108" s="97"/>
      <c r="K108" s="97"/>
      <c r="L108" s="97"/>
      <c r="M108" s="97"/>
      <c r="N108" s="97"/>
      <c r="O108" s="97"/>
    </row>
    <row r="109" spans="1:17" s="95" customFormat="1" ht="15" x14ac:dyDescent="0.25">
      <c r="A109" s="94" t="s">
        <v>92</v>
      </c>
      <c r="C109" s="96">
        <f t="shared" ref="C109:P109" si="15">SUM(C110:C112)</f>
        <v>219.06</v>
      </c>
      <c r="D109" s="96">
        <f t="shared" si="15"/>
        <v>360.74999999999994</v>
      </c>
      <c r="E109" s="96">
        <f t="shared" si="15"/>
        <v>97.74</v>
      </c>
      <c r="F109" s="96">
        <f t="shared" si="15"/>
        <v>1.85</v>
      </c>
      <c r="G109" s="96">
        <f t="shared" si="15"/>
        <v>0</v>
      </c>
      <c r="H109" s="96">
        <f t="shared" si="15"/>
        <v>1.63</v>
      </c>
      <c r="I109" s="96">
        <f t="shared" si="15"/>
        <v>155.19300000000001</v>
      </c>
      <c r="J109" s="96">
        <f t="shared" si="15"/>
        <v>2.2400000000000002</v>
      </c>
      <c r="K109" s="96">
        <f t="shared" si="15"/>
        <v>20.37</v>
      </c>
      <c r="L109" s="96">
        <f t="shared" si="15"/>
        <v>4.6900000000000004</v>
      </c>
      <c r="M109" s="96">
        <f t="shared" si="15"/>
        <v>1.47</v>
      </c>
      <c r="N109" s="96">
        <f t="shared" si="15"/>
        <v>7.8</v>
      </c>
      <c r="O109" s="96">
        <f t="shared" si="15"/>
        <v>872.79300000000001</v>
      </c>
      <c r="P109" s="96">
        <f t="shared" si="15"/>
        <v>0</v>
      </c>
      <c r="Q109" s="96"/>
    </row>
    <row r="110" spans="1:17" x14ac:dyDescent="0.2">
      <c r="B110" s="90" t="s">
        <v>93</v>
      </c>
      <c r="C110" s="97">
        <v>216.03</v>
      </c>
      <c r="D110" s="97">
        <v>358.77</v>
      </c>
      <c r="E110" s="97">
        <v>96.89</v>
      </c>
      <c r="F110" s="97">
        <v>1.84</v>
      </c>
      <c r="G110" s="97">
        <v>0</v>
      </c>
      <c r="H110" s="97">
        <v>1.63</v>
      </c>
      <c r="I110" s="97">
        <v>153.364</v>
      </c>
      <c r="J110" s="97">
        <v>2.2400000000000002</v>
      </c>
      <c r="K110" s="97">
        <v>20.37</v>
      </c>
      <c r="L110" s="97">
        <v>4.6900000000000004</v>
      </c>
      <c r="M110" s="97">
        <v>1.47</v>
      </c>
      <c r="N110" s="97">
        <v>7.8</v>
      </c>
      <c r="O110" s="97">
        <f>SUM(C110:N110)</f>
        <v>865.09400000000005</v>
      </c>
    </row>
    <row r="111" spans="1:17" x14ac:dyDescent="0.2">
      <c r="B111" s="90" t="s">
        <v>94</v>
      </c>
      <c r="C111" s="97">
        <v>3</v>
      </c>
      <c r="D111" s="97">
        <v>1.96</v>
      </c>
      <c r="E111" s="97">
        <v>0.85</v>
      </c>
      <c r="F111" s="97">
        <v>0.01</v>
      </c>
      <c r="G111" s="97">
        <v>0</v>
      </c>
      <c r="H111" s="97">
        <v>0</v>
      </c>
      <c r="I111" s="97">
        <v>1.829</v>
      </c>
      <c r="J111" s="97">
        <v>0</v>
      </c>
      <c r="K111" s="97">
        <v>0</v>
      </c>
      <c r="L111" s="97">
        <v>0</v>
      </c>
      <c r="M111" s="97">
        <v>0</v>
      </c>
      <c r="N111" s="97">
        <v>0</v>
      </c>
      <c r="O111" s="97">
        <f t="shared" ref="O111:O112" si="16">SUM(C111:N111)</f>
        <v>7.6489999999999991</v>
      </c>
    </row>
    <row r="112" spans="1:17" x14ac:dyDescent="0.2">
      <c r="B112" s="90" t="s">
        <v>95</v>
      </c>
      <c r="C112" s="97">
        <v>0.03</v>
      </c>
      <c r="D112" s="97">
        <v>0.02</v>
      </c>
      <c r="E112" s="97">
        <v>0</v>
      </c>
      <c r="F112" s="97">
        <v>0</v>
      </c>
      <c r="G112" s="97">
        <v>0</v>
      </c>
      <c r="H112" s="97">
        <v>0</v>
      </c>
      <c r="I112" s="97">
        <v>0</v>
      </c>
      <c r="J112" s="97">
        <v>0</v>
      </c>
      <c r="K112" s="97">
        <v>0</v>
      </c>
      <c r="L112" s="97">
        <v>0</v>
      </c>
      <c r="M112" s="97">
        <v>0</v>
      </c>
      <c r="N112" s="97">
        <v>0</v>
      </c>
      <c r="O112" s="97">
        <f t="shared" si="16"/>
        <v>0.05</v>
      </c>
    </row>
    <row r="113" spans="1:17" ht="12.75" customHeight="1" x14ac:dyDescent="0.2">
      <c r="C113" s="97"/>
      <c r="D113" s="97"/>
      <c r="E113" s="97"/>
      <c r="F113" s="97"/>
      <c r="G113" s="97"/>
      <c r="H113" s="97"/>
      <c r="I113" s="97"/>
      <c r="J113" s="97"/>
      <c r="K113" s="97"/>
      <c r="L113" s="97"/>
      <c r="M113" s="97"/>
      <c r="N113" s="97"/>
      <c r="O113" s="97"/>
    </row>
    <row r="114" spans="1:17" s="95" customFormat="1" ht="15" x14ac:dyDescent="0.25">
      <c r="A114" s="94" t="s">
        <v>96</v>
      </c>
      <c r="C114" s="96">
        <f t="shared" ref="C114:P114" si="17">SUM(C115:C119)</f>
        <v>37.099999999999994</v>
      </c>
      <c r="D114" s="96">
        <f t="shared" si="17"/>
        <v>60.31</v>
      </c>
      <c r="E114" s="96">
        <f t="shared" si="17"/>
        <v>9.09</v>
      </c>
      <c r="F114" s="96">
        <f t="shared" si="17"/>
        <v>0.39</v>
      </c>
      <c r="G114" s="96">
        <f t="shared" si="17"/>
        <v>0</v>
      </c>
      <c r="H114" s="96">
        <f t="shared" si="17"/>
        <v>7.4399999999999995</v>
      </c>
      <c r="I114" s="96">
        <f t="shared" si="17"/>
        <v>99.281999999999996</v>
      </c>
      <c r="J114" s="96">
        <f t="shared" si="17"/>
        <v>5.97</v>
      </c>
      <c r="K114" s="96">
        <f t="shared" si="17"/>
        <v>23.3</v>
      </c>
      <c r="L114" s="96">
        <f t="shared" si="17"/>
        <v>11.91</v>
      </c>
      <c r="M114" s="96">
        <f t="shared" si="17"/>
        <v>7.58</v>
      </c>
      <c r="N114" s="96">
        <f t="shared" si="17"/>
        <v>6.9899999999999993</v>
      </c>
      <c r="O114" s="96">
        <f t="shared" si="17"/>
        <v>269.36200000000002</v>
      </c>
      <c r="P114" s="96">
        <f t="shared" si="17"/>
        <v>0</v>
      </c>
      <c r="Q114" s="96"/>
    </row>
    <row r="115" spans="1:17" x14ac:dyDescent="0.2">
      <c r="B115" s="90" t="s">
        <v>97</v>
      </c>
      <c r="C115" s="97">
        <v>33.549999999999997</v>
      </c>
      <c r="D115" s="97">
        <v>57.36</v>
      </c>
      <c r="E115" s="97">
        <v>4.82</v>
      </c>
      <c r="F115" s="97">
        <v>0.38</v>
      </c>
      <c r="G115" s="97">
        <v>0</v>
      </c>
      <c r="H115" s="97">
        <v>7.42</v>
      </c>
      <c r="I115" s="97">
        <v>16.599</v>
      </c>
      <c r="J115" s="97">
        <v>5.93</v>
      </c>
      <c r="K115" s="97">
        <v>9.51</v>
      </c>
      <c r="L115" s="97">
        <v>11.8</v>
      </c>
      <c r="M115" s="97">
        <v>7.5</v>
      </c>
      <c r="N115" s="97">
        <v>6.85</v>
      </c>
      <c r="O115" s="97">
        <f>SUM(C115:N115)</f>
        <v>161.71899999999999</v>
      </c>
    </row>
    <row r="116" spans="1:17" x14ac:dyDescent="0.2">
      <c r="B116" s="90" t="s">
        <v>98</v>
      </c>
      <c r="C116" s="97">
        <v>1.87</v>
      </c>
      <c r="D116" s="97">
        <v>1.38</v>
      </c>
      <c r="E116" s="97">
        <v>3.68</v>
      </c>
      <c r="F116" s="97">
        <v>0</v>
      </c>
      <c r="G116" s="97">
        <v>0</v>
      </c>
      <c r="H116" s="97">
        <v>0</v>
      </c>
      <c r="I116" s="97">
        <v>80.238</v>
      </c>
      <c r="J116" s="97">
        <v>0</v>
      </c>
      <c r="K116" s="97">
        <v>13.49</v>
      </c>
      <c r="L116" s="97">
        <v>0</v>
      </c>
      <c r="M116" s="97">
        <v>0</v>
      </c>
      <c r="N116" s="97">
        <v>0</v>
      </c>
      <c r="O116" s="97">
        <f t="shared" ref="O116:O119" si="18">SUM(C116:N116)</f>
        <v>100.658</v>
      </c>
    </row>
    <row r="117" spans="1:17" x14ac:dyDescent="0.2">
      <c r="B117" s="90" t="s">
        <v>99</v>
      </c>
      <c r="C117" s="97">
        <v>1.67</v>
      </c>
      <c r="D117" s="97">
        <v>1.57</v>
      </c>
      <c r="E117" s="97">
        <v>0.59</v>
      </c>
      <c r="F117" s="97">
        <v>0.01</v>
      </c>
      <c r="G117" s="97">
        <v>0</v>
      </c>
      <c r="H117" s="97">
        <v>0.02</v>
      </c>
      <c r="I117" s="97">
        <v>2.4449999999999998</v>
      </c>
      <c r="J117" s="97">
        <v>0.04</v>
      </c>
      <c r="K117" s="97">
        <v>0.3</v>
      </c>
      <c r="L117" s="97">
        <v>0.11</v>
      </c>
      <c r="M117" s="97">
        <v>0.08</v>
      </c>
      <c r="N117" s="97">
        <v>0.14000000000000001</v>
      </c>
      <c r="O117" s="97">
        <f t="shared" si="18"/>
        <v>6.9749999999999996</v>
      </c>
    </row>
    <row r="118" spans="1:17" hidden="1" x14ac:dyDescent="0.2">
      <c r="B118" s="90" t="s">
        <v>100</v>
      </c>
      <c r="C118" s="97">
        <v>0</v>
      </c>
      <c r="D118" s="97">
        <v>0</v>
      </c>
      <c r="E118" s="97">
        <v>0</v>
      </c>
      <c r="F118" s="97">
        <v>0</v>
      </c>
      <c r="G118" s="97">
        <v>0</v>
      </c>
      <c r="H118" s="97">
        <v>0</v>
      </c>
      <c r="I118" s="97">
        <v>0</v>
      </c>
      <c r="J118" s="97">
        <v>0</v>
      </c>
      <c r="K118" s="97">
        <v>0</v>
      </c>
      <c r="L118" s="97">
        <v>0</v>
      </c>
      <c r="M118" s="97">
        <v>0</v>
      </c>
      <c r="N118" s="97">
        <v>0</v>
      </c>
      <c r="O118" s="97">
        <f t="shared" si="18"/>
        <v>0</v>
      </c>
    </row>
    <row r="119" spans="1:17" x14ac:dyDescent="0.2">
      <c r="B119" s="90" t="s">
        <v>101</v>
      </c>
      <c r="C119" s="97">
        <v>0.01</v>
      </c>
      <c r="D119" s="97">
        <v>0</v>
      </c>
      <c r="E119" s="97">
        <v>0</v>
      </c>
      <c r="F119" s="97">
        <v>0</v>
      </c>
      <c r="G119" s="97">
        <v>0</v>
      </c>
      <c r="H119" s="97">
        <v>0</v>
      </c>
      <c r="I119" s="97">
        <v>0</v>
      </c>
      <c r="J119" s="97">
        <v>0</v>
      </c>
      <c r="K119" s="97">
        <v>0</v>
      </c>
      <c r="L119" s="97">
        <v>0</v>
      </c>
      <c r="M119" s="97">
        <v>0</v>
      </c>
      <c r="N119" s="97">
        <v>0</v>
      </c>
      <c r="O119" s="97">
        <f t="shared" si="18"/>
        <v>0.01</v>
      </c>
    </row>
    <row r="120" spans="1:17" ht="12.75" customHeight="1" x14ac:dyDescent="0.2">
      <c r="C120" s="97"/>
      <c r="D120" s="97"/>
      <c r="E120" s="97"/>
      <c r="F120" s="97"/>
      <c r="G120" s="97"/>
      <c r="H120" s="97"/>
      <c r="I120" s="97"/>
      <c r="J120" s="97"/>
      <c r="K120" s="97"/>
      <c r="L120" s="97"/>
      <c r="M120" s="97"/>
      <c r="N120" s="97"/>
      <c r="O120" s="97"/>
    </row>
    <row r="121" spans="1:17" s="95" customFormat="1" ht="15" x14ac:dyDescent="0.25">
      <c r="A121" s="94" t="s">
        <v>102</v>
      </c>
      <c r="C121" s="96">
        <f t="shared" ref="C121:P121" si="19">SUM(C122:C125)</f>
        <v>3.87</v>
      </c>
      <c r="D121" s="96">
        <f t="shared" si="19"/>
        <v>8.0670000000000002</v>
      </c>
      <c r="E121" s="96">
        <f t="shared" si="19"/>
        <v>5.23</v>
      </c>
      <c r="F121" s="96">
        <f t="shared" si="19"/>
        <v>1.1900000000000002</v>
      </c>
      <c r="G121" s="96">
        <f t="shared" si="19"/>
        <v>0</v>
      </c>
      <c r="H121" s="96">
        <f t="shared" si="19"/>
        <v>1.8800000000000001</v>
      </c>
      <c r="I121" s="96">
        <f t="shared" si="19"/>
        <v>9.3040000000000003</v>
      </c>
      <c r="J121" s="96">
        <f t="shared" si="19"/>
        <v>1.1199999999999999</v>
      </c>
      <c r="K121" s="96">
        <f t="shared" si="19"/>
        <v>6.6000000000000005</v>
      </c>
      <c r="L121" s="96">
        <f t="shared" si="19"/>
        <v>1.7500000000000002</v>
      </c>
      <c r="M121" s="96">
        <f t="shared" si="19"/>
        <v>0</v>
      </c>
      <c r="N121" s="96">
        <f t="shared" si="19"/>
        <v>2.63</v>
      </c>
      <c r="O121" s="96">
        <f t="shared" si="19"/>
        <v>41.640999999999998</v>
      </c>
      <c r="P121" s="96">
        <f t="shared" si="19"/>
        <v>0</v>
      </c>
      <c r="Q121" s="96"/>
    </row>
    <row r="122" spans="1:17" x14ac:dyDescent="0.2">
      <c r="B122" s="90" t="s">
        <v>103</v>
      </c>
      <c r="C122" s="97">
        <v>1.84</v>
      </c>
      <c r="D122" s="97">
        <v>3.7989999999999999</v>
      </c>
      <c r="E122" s="97">
        <v>0.4</v>
      </c>
      <c r="F122" s="97">
        <v>0</v>
      </c>
      <c r="G122" s="97">
        <v>0</v>
      </c>
      <c r="H122" s="97">
        <v>0.1</v>
      </c>
      <c r="I122" s="97">
        <v>1.377</v>
      </c>
      <c r="J122" s="97">
        <v>0.34</v>
      </c>
      <c r="K122" s="97">
        <v>4.9400000000000004</v>
      </c>
      <c r="L122" s="97">
        <v>1.32</v>
      </c>
      <c r="M122" s="97">
        <v>0</v>
      </c>
      <c r="N122" s="97">
        <v>2.0299999999999998</v>
      </c>
      <c r="O122" s="97">
        <f>SUM(C122:N122)</f>
        <v>16.146000000000001</v>
      </c>
    </row>
    <row r="123" spans="1:17" x14ac:dyDescent="0.2">
      <c r="B123" s="90" t="s">
        <v>104</v>
      </c>
      <c r="C123" s="97">
        <v>7.0000000000000007E-2</v>
      </c>
      <c r="D123" s="97">
        <v>0.72799999999999998</v>
      </c>
      <c r="E123" s="97">
        <v>0.01</v>
      </c>
      <c r="F123" s="97">
        <v>0</v>
      </c>
      <c r="G123" s="97">
        <v>0</v>
      </c>
      <c r="H123" s="97">
        <v>0</v>
      </c>
      <c r="I123" s="97">
        <v>2.944</v>
      </c>
      <c r="J123" s="97">
        <v>0</v>
      </c>
      <c r="K123" s="97">
        <v>0.08</v>
      </c>
      <c r="L123" s="97">
        <v>0</v>
      </c>
      <c r="M123" s="97">
        <v>0</v>
      </c>
      <c r="N123" s="97">
        <v>0</v>
      </c>
      <c r="O123" s="97">
        <f>SUM(C123:N123)</f>
        <v>3.8319999999999999</v>
      </c>
    </row>
    <row r="124" spans="1:17" x14ac:dyDescent="0.2">
      <c r="B124" s="90" t="s">
        <v>105</v>
      </c>
      <c r="C124" s="97">
        <v>0.45</v>
      </c>
      <c r="D124" s="97">
        <v>1.716</v>
      </c>
      <c r="E124" s="97">
        <v>4.4400000000000004</v>
      </c>
      <c r="F124" s="97">
        <v>1.1000000000000001</v>
      </c>
      <c r="G124" s="97">
        <v>0</v>
      </c>
      <c r="H124" s="97">
        <v>1.59</v>
      </c>
      <c r="I124" s="97">
        <v>3.3650000000000002</v>
      </c>
      <c r="J124" s="97">
        <v>0.35</v>
      </c>
      <c r="K124" s="97">
        <v>0.55000000000000004</v>
      </c>
      <c r="L124" s="97">
        <v>0.11</v>
      </c>
      <c r="M124" s="97">
        <v>0</v>
      </c>
      <c r="N124" s="97">
        <v>0.26</v>
      </c>
      <c r="O124" s="97">
        <f t="shared" ref="O124:O125" si="20">SUM(C124:N124)</f>
        <v>13.930999999999999</v>
      </c>
    </row>
    <row r="125" spans="1:17" x14ac:dyDescent="0.2">
      <c r="B125" s="90" t="s">
        <v>106</v>
      </c>
      <c r="C125" s="97">
        <v>1.51</v>
      </c>
      <c r="D125" s="97">
        <v>1.8240000000000001</v>
      </c>
      <c r="E125" s="97">
        <v>0.38</v>
      </c>
      <c r="F125" s="97">
        <v>0.09</v>
      </c>
      <c r="G125" s="97">
        <v>0</v>
      </c>
      <c r="H125" s="97">
        <v>0.19</v>
      </c>
      <c r="I125" s="97">
        <v>1.6180000000000001</v>
      </c>
      <c r="J125" s="97">
        <v>0.43</v>
      </c>
      <c r="K125" s="97">
        <v>1.03</v>
      </c>
      <c r="L125" s="97">
        <v>0.32</v>
      </c>
      <c r="M125" s="97">
        <v>0</v>
      </c>
      <c r="N125" s="97">
        <v>0.34</v>
      </c>
      <c r="O125" s="97">
        <f t="shared" si="20"/>
        <v>7.7320000000000002</v>
      </c>
    </row>
    <row r="126" spans="1:17" ht="12.75" customHeight="1" x14ac:dyDescent="0.2">
      <c r="C126" s="97"/>
      <c r="D126" s="97"/>
      <c r="E126" s="97"/>
      <c r="F126" s="97"/>
      <c r="G126" s="97"/>
      <c r="H126" s="97"/>
      <c r="I126" s="97"/>
      <c r="J126" s="97"/>
      <c r="K126" s="97"/>
      <c r="L126" s="97"/>
      <c r="M126" s="97"/>
      <c r="N126" s="97"/>
      <c r="O126" s="97"/>
    </row>
    <row r="127" spans="1:17" s="173" customFormat="1" ht="15" x14ac:dyDescent="0.25">
      <c r="A127" s="94" t="s">
        <v>107</v>
      </c>
      <c r="C127" s="19">
        <f t="shared" ref="C127:P127" si="21">SUM(C128:C132)</f>
        <v>2096.69</v>
      </c>
      <c r="D127" s="19">
        <f t="shared" si="21"/>
        <v>1815.5820000000001</v>
      </c>
      <c r="E127" s="19">
        <f t="shared" si="21"/>
        <v>597.54999999999995</v>
      </c>
      <c r="F127" s="19">
        <f t="shared" si="21"/>
        <v>48.309999999999995</v>
      </c>
      <c r="G127" s="19">
        <f>SUM(G128:G132)</f>
        <v>0</v>
      </c>
      <c r="H127" s="19">
        <f t="shared" si="21"/>
        <v>76.460000000000008</v>
      </c>
      <c r="I127" s="19">
        <f t="shared" si="21"/>
        <v>1382.65</v>
      </c>
      <c r="J127" s="19">
        <f t="shared" si="21"/>
        <v>238.38</v>
      </c>
      <c r="K127" s="19">
        <f t="shared" si="21"/>
        <v>535.11</v>
      </c>
      <c r="L127" s="19">
        <f t="shared" si="21"/>
        <v>426.56</v>
      </c>
      <c r="M127" s="19">
        <f t="shared" si="21"/>
        <v>106.81</v>
      </c>
      <c r="N127" s="19">
        <f t="shared" si="21"/>
        <v>601.13</v>
      </c>
      <c r="O127" s="19">
        <f t="shared" si="21"/>
        <v>7925.2319999999991</v>
      </c>
      <c r="P127" s="19">
        <f t="shared" si="21"/>
        <v>0</v>
      </c>
      <c r="Q127" s="19"/>
    </row>
    <row r="128" spans="1:17" x14ac:dyDescent="0.2">
      <c r="B128" s="90" t="s">
        <v>108</v>
      </c>
      <c r="C128" s="97">
        <v>4</v>
      </c>
      <c r="D128" s="97">
        <v>5.76</v>
      </c>
      <c r="E128" s="97">
        <v>2.86</v>
      </c>
      <c r="F128" s="97">
        <v>0.28999999999999998</v>
      </c>
      <c r="G128" s="97">
        <v>0</v>
      </c>
      <c r="H128" s="97">
        <v>0.21</v>
      </c>
      <c r="I128" s="97">
        <v>3.032</v>
      </c>
      <c r="J128" s="97">
        <v>0.78</v>
      </c>
      <c r="K128" s="97">
        <v>1.03</v>
      </c>
      <c r="L128" s="97">
        <v>0.85</v>
      </c>
      <c r="M128" s="97">
        <v>0.28000000000000003</v>
      </c>
      <c r="N128" s="97">
        <v>1.95</v>
      </c>
      <c r="O128" s="97">
        <f>SUM(C128:N128)</f>
        <v>21.042000000000005</v>
      </c>
    </row>
    <row r="129" spans="1:17" x14ac:dyDescent="0.2">
      <c r="B129" s="90" t="s">
        <v>109</v>
      </c>
      <c r="C129" s="97">
        <v>1.54</v>
      </c>
      <c r="D129" s="97">
        <v>1.401</v>
      </c>
      <c r="E129" s="97">
        <v>0.18</v>
      </c>
      <c r="F129" s="97">
        <v>0</v>
      </c>
      <c r="G129" s="97">
        <v>0</v>
      </c>
      <c r="H129" s="97">
        <v>7.0000000000000007E-2</v>
      </c>
      <c r="I129" s="97">
        <v>0.55000000000000004</v>
      </c>
      <c r="J129" s="97">
        <v>0.06</v>
      </c>
      <c r="K129" s="97">
        <v>0.23</v>
      </c>
      <c r="L129" s="97">
        <v>0.06</v>
      </c>
      <c r="M129" s="97">
        <v>0.01</v>
      </c>
      <c r="N129" s="97">
        <v>0.08</v>
      </c>
      <c r="O129" s="97">
        <f t="shared" ref="O129:O132" si="22">SUM(C129:N129)</f>
        <v>4.1809999999999992</v>
      </c>
    </row>
    <row r="130" spans="1:17" x14ac:dyDescent="0.2">
      <c r="B130" s="90" t="s">
        <v>110</v>
      </c>
      <c r="C130" s="97">
        <v>1183.7</v>
      </c>
      <c r="D130" s="97">
        <v>1063.0350000000001</v>
      </c>
      <c r="E130" s="97">
        <v>308.52</v>
      </c>
      <c r="F130" s="97">
        <v>16.95</v>
      </c>
      <c r="G130" s="97">
        <v>0</v>
      </c>
      <c r="H130" s="97">
        <v>33.64</v>
      </c>
      <c r="I130" s="97">
        <v>927.322</v>
      </c>
      <c r="J130" s="97">
        <v>101.43</v>
      </c>
      <c r="K130" s="97">
        <v>236.1</v>
      </c>
      <c r="L130" s="97">
        <v>136.35</v>
      </c>
      <c r="M130" s="97">
        <v>23.65</v>
      </c>
      <c r="N130" s="97">
        <v>140.07</v>
      </c>
      <c r="O130" s="97">
        <f t="shared" si="22"/>
        <v>4170.7669999999998</v>
      </c>
    </row>
    <row r="131" spans="1:17" x14ac:dyDescent="0.2">
      <c r="B131" s="90" t="s">
        <v>111</v>
      </c>
      <c r="C131" s="97">
        <v>887.1</v>
      </c>
      <c r="D131" s="97">
        <v>703.90599999999995</v>
      </c>
      <c r="E131" s="97">
        <v>275.72000000000003</v>
      </c>
      <c r="F131" s="97">
        <v>30.28</v>
      </c>
      <c r="G131" s="97">
        <v>0</v>
      </c>
      <c r="H131" s="97">
        <v>41.76</v>
      </c>
      <c r="I131" s="97">
        <v>445.87099999999998</v>
      </c>
      <c r="J131" s="97">
        <v>135.66</v>
      </c>
      <c r="K131" s="97">
        <v>296.52</v>
      </c>
      <c r="L131" s="97">
        <v>289.29000000000002</v>
      </c>
      <c r="M131" s="97">
        <v>81.45</v>
      </c>
      <c r="N131" s="97">
        <v>459</v>
      </c>
      <c r="O131" s="97">
        <f t="shared" si="22"/>
        <v>3646.5569999999993</v>
      </c>
    </row>
    <row r="132" spans="1:17" x14ac:dyDescent="0.2">
      <c r="B132" s="90" t="s">
        <v>112</v>
      </c>
      <c r="C132" s="97">
        <v>20.350000000000001</v>
      </c>
      <c r="D132" s="97">
        <v>41.48</v>
      </c>
      <c r="E132" s="97">
        <v>10.27</v>
      </c>
      <c r="F132" s="97">
        <v>0.79</v>
      </c>
      <c r="G132" s="97">
        <v>0</v>
      </c>
      <c r="H132" s="97">
        <v>0.78</v>
      </c>
      <c r="I132" s="97">
        <v>5.875</v>
      </c>
      <c r="J132" s="97">
        <v>0.45</v>
      </c>
      <c r="K132" s="97">
        <v>1.23</v>
      </c>
      <c r="L132" s="97">
        <v>0.01</v>
      </c>
      <c r="M132" s="97">
        <v>1.42</v>
      </c>
      <c r="N132" s="97">
        <v>0.03</v>
      </c>
      <c r="O132" s="97">
        <f t="shared" si="22"/>
        <v>82.685000000000016</v>
      </c>
    </row>
    <row r="133" spans="1:17" x14ac:dyDescent="0.2">
      <c r="C133" s="97"/>
      <c r="D133" s="97"/>
      <c r="E133" s="97"/>
      <c r="F133" s="97"/>
      <c r="G133" s="97"/>
      <c r="H133" s="97"/>
      <c r="I133" s="97"/>
      <c r="J133" s="97"/>
      <c r="K133" s="97"/>
      <c r="L133" s="97"/>
      <c r="M133" s="97"/>
      <c r="N133" s="97"/>
      <c r="O133" s="97"/>
    </row>
    <row r="134" spans="1:17" s="95" customFormat="1" ht="15" x14ac:dyDescent="0.25">
      <c r="A134" s="94" t="s">
        <v>113</v>
      </c>
      <c r="C134" s="96">
        <f t="shared" ref="C134:P134" si="23">SUM(C135:C142)</f>
        <v>310.68000000000006</v>
      </c>
      <c r="D134" s="96">
        <f t="shared" si="23"/>
        <v>341.55</v>
      </c>
      <c r="E134" s="96">
        <f t="shared" si="23"/>
        <v>157.501</v>
      </c>
      <c r="F134" s="96">
        <f t="shared" si="23"/>
        <v>1.2200000000000002</v>
      </c>
      <c r="G134" s="96">
        <f t="shared" si="23"/>
        <v>0</v>
      </c>
      <c r="H134" s="96">
        <f t="shared" si="23"/>
        <v>6.5600000000000005</v>
      </c>
      <c r="I134" s="96">
        <f t="shared" si="23"/>
        <v>222.07100000000003</v>
      </c>
      <c r="J134" s="96">
        <f t="shared" si="23"/>
        <v>7.8900000000000006</v>
      </c>
      <c r="K134" s="96">
        <f t="shared" si="23"/>
        <v>24.529999999999998</v>
      </c>
      <c r="L134" s="96">
        <f t="shared" si="23"/>
        <v>11.560000000000002</v>
      </c>
      <c r="M134" s="96">
        <f t="shared" si="23"/>
        <v>8.2899999999999991</v>
      </c>
      <c r="N134" s="96">
        <f t="shared" si="23"/>
        <v>15.74</v>
      </c>
      <c r="O134" s="96">
        <f t="shared" si="23"/>
        <v>1107.5919999999999</v>
      </c>
      <c r="P134" s="96">
        <f t="shared" si="23"/>
        <v>0</v>
      </c>
      <c r="Q134" s="96"/>
    </row>
    <row r="135" spans="1:17" x14ac:dyDescent="0.2">
      <c r="B135" s="90" t="s">
        <v>714</v>
      </c>
      <c r="C135" s="97">
        <v>289.85000000000002</v>
      </c>
      <c r="D135" s="97">
        <v>326.154</v>
      </c>
      <c r="E135" s="97">
        <v>142.72</v>
      </c>
      <c r="F135" s="97">
        <v>1.03</v>
      </c>
      <c r="G135" s="97">
        <v>0</v>
      </c>
      <c r="H135" s="97">
        <v>0.89</v>
      </c>
      <c r="I135" s="97">
        <v>207.589</v>
      </c>
      <c r="J135" s="97">
        <v>7.55</v>
      </c>
      <c r="K135" s="97">
        <v>19.98</v>
      </c>
      <c r="L135" s="97">
        <v>11.05</v>
      </c>
      <c r="M135" s="97">
        <v>6.3</v>
      </c>
      <c r="N135" s="97">
        <v>15.07</v>
      </c>
      <c r="O135" s="97">
        <f>SUM(C135:N135)</f>
        <v>1028.1829999999998</v>
      </c>
    </row>
    <row r="136" spans="1:17" x14ac:dyDescent="0.2">
      <c r="B136" s="90" t="s">
        <v>114</v>
      </c>
      <c r="C136" s="97">
        <v>0.1</v>
      </c>
      <c r="D136" s="97">
        <v>0.01</v>
      </c>
      <c r="E136" s="97">
        <v>0.01</v>
      </c>
      <c r="F136" s="97">
        <v>0.01</v>
      </c>
      <c r="G136" s="97">
        <v>0</v>
      </c>
      <c r="H136" s="97">
        <v>0</v>
      </c>
      <c r="I136" s="97">
        <v>3.7999999999999999E-2</v>
      </c>
      <c r="J136" s="97">
        <v>0</v>
      </c>
      <c r="K136" s="97">
        <v>0.05</v>
      </c>
      <c r="L136" s="97">
        <v>0</v>
      </c>
      <c r="M136" s="97">
        <v>0</v>
      </c>
      <c r="N136" s="97">
        <v>0</v>
      </c>
      <c r="O136" s="97">
        <f>SUM(C136:N136)</f>
        <v>0.21800000000000003</v>
      </c>
    </row>
    <row r="137" spans="1:17" x14ac:dyDescent="0.2">
      <c r="B137" s="90" t="s">
        <v>115</v>
      </c>
      <c r="C137" s="97">
        <v>0.19</v>
      </c>
      <c r="D137" s="97">
        <v>0.18</v>
      </c>
      <c r="E137" s="97">
        <v>0.1</v>
      </c>
      <c r="F137" s="97">
        <v>0</v>
      </c>
      <c r="G137" s="97">
        <v>0</v>
      </c>
      <c r="H137" s="97">
        <v>0</v>
      </c>
      <c r="I137" s="97">
        <v>0.216</v>
      </c>
      <c r="J137" s="97">
        <v>0.03</v>
      </c>
      <c r="K137" s="97">
        <v>0.06</v>
      </c>
      <c r="L137" s="97">
        <v>0.03</v>
      </c>
      <c r="M137" s="97">
        <v>1.47</v>
      </c>
      <c r="N137" s="97">
        <v>0.06</v>
      </c>
      <c r="O137" s="97">
        <f t="shared" ref="O137:O142" si="24">SUM(C137:N137)</f>
        <v>2.3359999999999999</v>
      </c>
    </row>
    <row r="138" spans="1:17" x14ac:dyDescent="0.2">
      <c r="B138" s="90" t="s">
        <v>116</v>
      </c>
      <c r="C138" s="97">
        <v>0.04</v>
      </c>
      <c r="D138" s="97">
        <v>1.3979999999999999</v>
      </c>
      <c r="E138" s="97">
        <v>0.21099999999999999</v>
      </c>
      <c r="F138" s="97">
        <v>0</v>
      </c>
      <c r="G138" s="97">
        <v>0</v>
      </c>
      <c r="H138" s="97">
        <v>0</v>
      </c>
      <c r="I138" s="97">
        <v>0.01</v>
      </c>
      <c r="J138" s="97">
        <v>0</v>
      </c>
      <c r="K138" s="97">
        <v>0</v>
      </c>
      <c r="L138" s="97">
        <v>0</v>
      </c>
      <c r="M138" s="97">
        <v>0</v>
      </c>
      <c r="N138" s="97">
        <v>0</v>
      </c>
      <c r="O138" s="97">
        <f t="shared" si="24"/>
        <v>1.659</v>
      </c>
    </row>
    <row r="139" spans="1:17" ht="12.75" hidden="1" customHeight="1" x14ac:dyDescent="0.2">
      <c r="B139" s="90" t="s">
        <v>117</v>
      </c>
      <c r="C139" s="97">
        <v>0</v>
      </c>
      <c r="D139" s="97">
        <v>0</v>
      </c>
      <c r="E139" s="97">
        <v>0</v>
      </c>
      <c r="F139" s="97">
        <v>0</v>
      </c>
      <c r="G139" s="97">
        <v>0</v>
      </c>
      <c r="H139" s="97">
        <v>0</v>
      </c>
      <c r="I139" s="97">
        <v>0</v>
      </c>
      <c r="J139" s="97">
        <v>0</v>
      </c>
      <c r="K139" s="97">
        <v>0</v>
      </c>
      <c r="L139" s="97">
        <v>0</v>
      </c>
      <c r="M139" s="97">
        <v>0</v>
      </c>
      <c r="N139" s="97">
        <v>0</v>
      </c>
      <c r="O139" s="97">
        <f t="shared" si="24"/>
        <v>0</v>
      </c>
    </row>
    <row r="140" spans="1:17" x14ac:dyDescent="0.2">
      <c r="B140" s="90" t="s">
        <v>118</v>
      </c>
      <c r="C140" s="97">
        <v>19.32</v>
      </c>
      <c r="D140" s="97">
        <v>11.938000000000001</v>
      </c>
      <c r="E140" s="97">
        <v>14.12</v>
      </c>
      <c r="F140" s="97">
        <v>0.14000000000000001</v>
      </c>
      <c r="G140" s="97">
        <v>0</v>
      </c>
      <c r="H140" s="97">
        <v>0.23</v>
      </c>
      <c r="I140" s="97">
        <v>13.882999999999999</v>
      </c>
      <c r="J140" s="97">
        <v>0.11</v>
      </c>
      <c r="K140" s="97">
        <v>3.75</v>
      </c>
      <c r="L140" s="97">
        <v>0.21</v>
      </c>
      <c r="M140" s="97">
        <v>0.1</v>
      </c>
      <c r="N140" s="97">
        <v>0.25</v>
      </c>
      <c r="O140" s="97">
        <f t="shared" si="24"/>
        <v>64.051000000000002</v>
      </c>
    </row>
    <row r="141" spans="1:17" x14ac:dyDescent="0.2">
      <c r="B141" s="90" t="s">
        <v>119</v>
      </c>
      <c r="C141" s="97">
        <v>0.72</v>
      </c>
      <c r="D141" s="97">
        <v>1.637</v>
      </c>
      <c r="E141" s="97">
        <v>0.3</v>
      </c>
      <c r="F141" s="97">
        <v>0.01</v>
      </c>
      <c r="G141" s="97">
        <v>0</v>
      </c>
      <c r="H141" s="97">
        <v>5.28</v>
      </c>
      <c r="I141" s="97">
        <v>0.32100000000000001</v>
      </c>
      <c r="J141" s="97">
        <v>0.16</v>
      </c>
      <c r="K141" s="97">
        <v>0.61</v>
      </c>
      <c r="L141" s="97">
        <v>0.21</v>
      </c>
      <c r="M141" s="97">
        <v>0.42</v>
      </c>
      <c r="N141" s="97">
        <v>0.25</v>
      </c>
      <c r="O141" s="97">
        <f t="shared" si="24"/>
        <v>9.918000000000001</v>
      </c>
    </row>
    <row r="142" spans="1:17" x14ac:dyDescent="0.2">
      <c r="B142" s="90" t="s">
        <v>120</v>
      </c>
      <c r="C142" s="97">
        <v>0.46</v>
      </c>
      <c r="D142" s="97">
        <v>0.23300000000000001</v>
      </c>
      <c r="E142" s="97">
        <v>0.04</v>
      </c>
      <c r="F142" s="97">
        <v>0.03</v>
      </c>
      <c r="G142" s="97">
        <v>0</v>
      </c>
      <c r="H142" s="97">
        <v>0.16</v>
      </c>
      <c r="I142" s="97">
        <v>1.4E-2</v>
      </c>
      <c r="J142" s="97">
        <v>0.04</v>
      </c>
      <c r="K142" s="97">
        <v>0.08</v>
      </c>
      <c r="L142" s="97">
        <v>0.06</v>
      </c>
      <c r="M142" s="97">
        <v>0</v>
      </c>
      <c r="N142" s="97">
        <v>0.11</v>
      </c>
      <c r="O142" s="97">
        <f t="shared" si="24"/>
        <v>1.2270000000000003</v>
      </c>
    </row>
    <row r="143" spans="1:17" ht="12.75" customHeight="1" x14ac:dyDescent="0.2">
      <c r="C143" s="97"/>
      <c r="D143" s="97"/>
      <c r="E143" s="97"/>
      <c r="F143" s="97"/>
      <c r="G143" s="97"/>
      <c r="H143" s="97"/>
      <c r="I143" s="97"/>
      <c r="J143" s="97"/>
      <c r="K143" s="97"/>
      <c r="L143" s="97"/>
      <c r="M143" s="97"/>
      <c r="N143" s="97"/>
      <c r="O143" s="97"/>
    </row>
    <row r="144" spans="1:17" s="95" customFormat="1" ht="12.75" customHeight="1" x14ac:dyDescent="0.25">
      <c r="A144" s="94" t="s">
        <v>687</v>
      </c>
      <c r="C144" s="96">
        <f t="shared" ref="C144:P144" si="25">SUM(C145:C145)</f>
        <v>4.59</v>
      </c>
      <c r="D144" s="96">
        <f t="shared" si="25"/>
        <v>4.7300000000000004</v>
      </c>
      <c r="E144" s="96">
        <f t="shared" si="25"/>
        <v>1.99</v>
      </c>
      <c r="F144" s="96">
        <f t="shared" si="25"/>
        <v>0.06</v>
      </c>
      <c r="G144" s="96">
        <f t="shared" si="25"/>
        <v>0</v>
      </c>
      <c r="H144" s="96">
        <f t="shared" si="25"/>
        <v>0.21</v>
      </c>
      <c r="I144" s="96">
        <f t="shared" si="25"/>
        <v>17.236999999999998</v>
      </c>
      <c r="J144" s="96">
        <f t="shared" si="25"/>
        <v>1.36</v>
      </c>
      <c r="K144" s="96">
        <f t="shared" si="25"/>
        <v>2.71</v>
      </c>
      <c r="L144" s="96">
        <f t="shared" si="25"/>
        <v>1.08</v>
      </c>
      <c r="M144" s="96">
        <f t="shared" si="25"/>
        <v>1.28</v>
      </c>
      <c r="N144" s="96">
        <f t="shared" si="25"/>
        <v>1.64</v>
      </c>
      <c r="O144" s="96">
        <f t="shared" si="25"/>
        <v>36.887</v>
      </c>
      <c r="P144" s="96">
        <f t="shared" si="25"/>
        <v>0</v>
      </c>
      <c r="Q144" s="96"/>
    </row>
    <row r="145" spans="1:17" ht="12.75" customHeight="1" x14ac:dyDescent="0.2">
      <c r="B145" s="90" t="s">
        <v>108</v>
      </c>
      <c r="C145" s="97">
        <v>4.59</v>
      </c>
      <c r="D145" s="97">
        <v>4.7300000000000004</v>
      </c>
      <c r="E145" s="97">
        <v>1.99</v>
      </c>
      <c r="F145" s="97">
        <v>0.06</v>
      </c>
      <c r="G145" s="97">
        <v>0</v>
      </c>
      <c r="H145" s="97">
        <v>0.21</v>
      </c>
      <c r="I145" s="97">
        <v>17.236999999999998</v>
      </c>
      <c r="J145" s="97">
        <v>1.36</v>
      </c>
      <c r="K145" s="97">
        <v>2.71</v>
      </c>
      <c r="L145" s="97">
        <v>1.08</v>
      </c>
      <c r="M145" s="97">
        <v>1.28</v>
      </c>
      <c r="N145" s="97">
        <v>1.64</v>
      </c>
      <c r="O145" s="97">
        <f>SUM(C145:N145)</f>
        <v>36.887</v>
      </c>
    </row>
    <row r="146" spans="1:17" ht="12.75" customHeight="1" x14ac:dyDescent="0.2">
      <c r="C146" s="97"/>
      <c r="D146" s="97"/>
      <c r="E146" s="97"/>
      <c r="F146" s="97"/>
      <c r="G146" s="97"/>
      <c r="H146" s="97"/>
      <c r="I146" s="97"/>
      <c r="J146" s="97"/>
      <c r="K146" s="97"/>
      <c r="L146" s="97"/>
      <c r="M146" s="97"/>
      <c r="N146" s="97"/>
      <c r="O146" s="97"/>
    </row>
    <row r="147" spans="1:17" s="95" customFormat="1" ht="15" x14ac:dyDescent="0.25">
      <c r="A147" s="94" t="s">
        <v>122</v>
      </c>
      <c r="C147" s="96">
        <f t="shared" ref="C147:P147" si="26">SUM(C148:C151)</f>
        <v>100.89</v>
      </c>
      <c r="D147" s="96">
        <f t="shared" si="26"/>
        <v>67.47</v>
      </c>
      <c r="E147" s="96">
        <f t="shared" si="26"/>
        <v>18.84</v>
      </c>
      <c r="F147" s="96">
        <f t="shared" si="26"/>
        <v>0.04</v>
      </c>
      <c r="G147" s="96">
        <f t="shared" si="26"/>
        <v>0</v>
      </c>
      <c r="H147" s="96">
        <f t="shared" si="26"/>
        <v>0.32</v>
      </c>
      <c r="I147" s="96">
        <f t="shared" si="26"/>
        <v>72.740000000000009</v>
      </c>
      <c r="J147" s="96">
        <f t="shared" si="26"/>
        <v>0.08</v>
      </c>
      <c r="K147" s="96">
        <f t="shared" si="26"/>
        <v>0.56000000000000005</v>
      </c>
      <c r="L147" s="96">
        <f t="shared" si="26"/>
        <v>0.81</v>
      </c>
      <c r="M147" s="96">
        <f t="shared" si="26"/>
        <v>0.18</v>
      </c>
      <c r="N147" s="96">
        <f t="shared" si="26"/>
        <v>0.54</v>
      </c>
      <c r="O147" s="96">
        <f t="shared" si="26"/>
        <v>262.47000000000008</v>
      </c>
      <c r="P147" s="96">
        <f t="shared" si="26"/>
        <v>0</v>
      </c>
      <c r="Q147" s="96"/>
    </row>
    <row r="148" spans="1:17" hidden="1" x14ac:dyDescent="0.2">
      <c r="B148" s="90" t="s">
        <v>123</v>
      </c>
      <c r="C148" s="97">
        <v>0</v>
      </c>
      <c r="D148" s="97">
        <v>0</v>
      </c>
      <c r="E148" s="97">
        <v>0</v>
      </c>
      <c r="F148" s="97">
        <v>0</v>
      </c>
      <c r="G148" s="97">
        <v>0</v>
      </c>
      <c r="H148" s="97">
        <v>0</v>
      </c>
      <c r="I148" s="97">
        <v>0</v>
      </c>
      <c r="J148" s="97">
        <v>0</v>
      </c>
      <c r="K148" s="97">
        <v>0</v>
      </c>
      <c r="L148" s="97">
        <v>0</v>
      </c>
      <c r="M148" s="97">
        <v>0</v>
      </c>
      <c r="N148" s="97">
        <v>0</v>
      </c>
      <c r="O148" s="97">
        <f>SUM(C148:N148)</f>
        <v>0</v>
      </c>
    </row>
    <row r="149" spans="1:17" x14ac:dyDescent="0.2">
      <c r="B149" s="90" t="s">
        <v>124</v>
      </c>
      <c r="C149" s="97">
        <v>100.76</v>
      </c>
      <c r="D149" s="97">
        <v>67.45</v>
      </c>
      <c r="E149" s="97">
        <v>18.77</v>
      </c>
      <c r="F149" s="97">
        <v>0.04</v>
      </c>
      <c r="G149" s="97">
        <v>0</v>
      </c>
      <c r="H149" s="97">
        <v>0.32</v>
      </c>
      <c r="I149" s="97">
        <v>71.816000000000003</v>
      </c>
      <c r="J149" s="97">
        <v>0.08</v>
      </c>
      <c r="K149" s="97">
        <v>0.55000000000000004</v>
      </c>
      <c r="L149" s="97">
        <v>0.8</v>
      </c>
      <c r="M149" s="97">
        <v>0.18</v>
      </c>
      <c r="N149" s="97">
        <v>0.54</v>
      </c>
      <c r="O149" s="97">
        <f t="shared" ref="O149:O151" si="27">SUM(C149:N149)</f>
        <v>261.30600000000004</v>
      </c>
    </row>
    <row r="150" spans="1:17" x14ac:dyDescent="0.2">
      <c r="B150" s="90" t="s">
        <v>126</v>
      </c>
      <c r="C150" s="97">
        <v>0.13</v>
      </c>
      <c r="D150" s="97">
        <v>0.02</v>
      </c>
      <c r="E150" s="97">
        <v>7.0000000000000007E-2</v>
      </c>
      <c r="F150" s="97">
        <v>0</v>
      </c>
      <c r="G150" s="97">
        <v>0</v>
      </c>
      <c r="H150" s="97">
        <v>0</v>
      </c>
      <c r="I150" s="97">
        <v>2.4E-2</v>
      </c>
      <c r="J150" s="97">
        <v>0</v>
      </c>
      <c r="K150" s="97">
        <v>0</v>
      </c>
      <c r="L150" s="97">
        <v>0</v>
      </c>
      <c r="M150" s="97">
        <v>0</v>
      </c>
      <c r="N150" s="97">
        <v>0</v>
      </c>
      <c r="O150" s="97">
        <f t="shared" si="27"/>
        <v>0.24399999999999999</v>
      </c>
    </row>
    <row r="151" spans="1:17" x14ac:dyDescent="0.2">
      <c r="B151" s="90" t="s">
        <v>127</v>
      </c>
      <c r="C151" s="97">
        <v>0</v>
      </c>
      <c r="D151" s="97">
        <v>0</v>
      </c>
      <c r="E151" s="97">
        <v>0</v>
      </c>
      <c r="F151" s="97">
        <v>0</v>
      </c>
      <c r="G151" s="97">
        <v>0</v>
      </c>
      <c r="H151" s="97">
        <v>0</v>
      </c>
      <c r="I151" s="97">
        <v>0.9</v>
      </c>
      <c r="J151" s="97">
        <v>0</v>
      </c>
      <c r="K151" s="97">
        <v>0.01</v>
      </c>
      <c r="L151" s="97">
        <v>0.01</v>
      </c>
      <c r="M151" s="97">
        <v>0</v>
      </c>
      <c r="N151" s="97">
        <v>0</v>
      </c>
      <c r="O151" s="97">
        <f t="shared" si="27"/>
        <v>0.92</v>
      </c>
    </row>
    <row r="152" spans="1:17" x14ac:dyDescent="0.2">
      <c r="C152" s="97"/>
      <c r="D152" s="97"/>
      <c r="E152" s="97"/>
      <c r="F152" s="97"/>
      <c r="G152" s="97"/>
      <c r="H152" s="97"/>
      <c r="I152" s="97"/>
      <c r="J152" s="97"/>
      <c r="K152" s="97"/>
      <c r="L152" s="97"/>
      <c r="M152" s="97"/>
      <c r="N152" s="97"/>
      <c r="O152" s="97"/>
    </row>
    <row r="153" spans="1:17" s="95" customFormat="1" ht="15" x14ac:dyDescent="0.25">
      <c r="A153" s="94" t="s">
        <v>128</v>
      </c>
      <c r="C153" s="96">
        <f t="shared" ref="C153:P153" si="28">SUM(C154:C165)</f>
        <v>1021.7499999999999</v>
      </c>
      <c r="D153" s="96">
        <f t="shared" si="28"/>
        <v>425.11600000000004</v>
      </c>
      <c r="E153" s="96">
        <f t="shared" si="28"/>
        <v>113.72000000000001</v>
      </c>
      <c r="F153" s="96">
        <f t="shared" si="28"/>
        <v>7.5</v>
      </c>
      <c r="G153" s="96">
        <f t="shared" si="28"/>
        <v>0</v>
      </c>
      <c r="H153" s="96">
        <f t="shared" si="28"/>
        <v>29.39</v>
      </c>
      <c r="I153" s="96">
        <f t="shared" si="28"/>
        <v>148.39399999999998</v>
      </c>
      <c r="J153" s="96">
        <f t="shared" si="28"/>
        <v>43.260000000000005</v>
      </c>
      <c r="K153" s="96">
        <f t="shared" si="28"/>
        <v>86.519999999999982</v>
      </c>
      <c r="L153" s="96">
        <f t="shared" si="28"/>
        <v>47.019999999999996</v>
      </c>
      <c r="M153" s="96">
        <f t="shared" si="28"/>
        <v>45.339999999999996</v>
      </c>
      <c r="N153" s="96">
        <f t="shared" si="28"/>
        <v>74.050000000000011</v>
      </c>
      <c r="O153" s="96">
        <f t="shared" si="28"/>
        <v>2042.0600000000004</v>
      </c>
      <c r="P153" s="96">
        <f t="shared" si="28"/>
        <v>0</v>
      </c>
      <c r="Q153" s="96"/>
    </row>
    <row r="154" spans="1:17" x14ac:dyDescent="0.2">
      <c r="B154" s="90" t="s">
        <v>129</v>
      </c>
      <c r="C154" s="97">
        <v>0</v>
      </c>
      <c r="D154" s="97">
        <v>0</v>
      </c>
      <c r="E154" s="97">
        <v>0</v>
      </c>
      <c r="F154" s="97">
        <v>7.49</v>
      </c>
      <c r="G154" s="97">
        <v>0</v>
      </c>
      <c r="H154" s="97">
        <v>0</v>
      </c>
      <c r="I154" s="97">
        <v>0</v>
      </c>
      <c r="J154" s="97">
        <v>0</v>
      </c>
      <c r="K154" s="97">
        <v>0</v>
      </c>
      <c r="L154" s="97">
        <v>0</v>
      </c>
      <c r="M154" s="97">
        <v>0</v>
      </c>
      <c r="N154" s="97">
        <v>0</v>
      </c>
      <c r="O154" s="97">
        <f>SUM(C154:N154)</f>
        <v>7.49</v>
      </c>
    </row>
    <row r="155" spans="1:17" x14ac:dyDescent="0.2">
      <c r="B155" s="90" t="s">
        <v>715</v>
      </c>
      <c r="C155" s="97">
        <v>1016.1</v>
      </c>
      <c r="D155" s="97">
        <v>411.40600000000001</v>
      </c>
      <c r="E155" s="97">
        <v>107.17</v>
      </c>
      <c r="F155" s="97">
        <v>0</v>
      </c>
      <c r="G155" s="97">
        <v>0</v>
      </c>
      <c r="H155" s="97">
        <v>29.39</v>
      </c>
      <c r="I155" s="97">
        <v>132.173</v>
      </c>
      <c r="J155" s="97">
        <v>42.99</v>
      </c>
      <c r="K155" s="97">
        <v>84.88</v>
      </c>
      <c r="L155" s="97">
        <v>46.67</v>
      </c>
      <c r="M155" s="97">
        <v>45.15</v>
      </c>
      <c r="N155" s="97">
        <v>73.09</v>
      </c>
      <c r="O155" s="97">
        <f t="shared" ref="O155:O165" si="29">SUM(C155:N155)</f>
        <v>1989.0190000000005</v>
      </c>
    </row>
    <row r="156" spans="1:17" x14ac:dyDescent="0.2">
      <c r="B156" s="90" t="s">
        <v>131</v>
      </c>
      <c r="C156" s="97">
        <v>5.3</v>
      </c>
      <c r="D156" s="97">
        <v>13.579000000000001</v>
      </c>
      <c r="E156" s="97">
        <v>6.45</v>
      </c>
      <c r="F156" s="97">
        <v>0</v>
      </c>
      <c r="G156" s="97">
        <v>0</v>
      </c>
      <c r="H156" s="97">
        <v>0</v>
      </c>
      <c r="I156" s="97">
        <v>15.563000000000001</v>
      </c>
      <c r="J156" s="97">
        <v>0</v>
      </c>
      <c r="K156" s="97">
        <v>0.69</v>
      </c>
      <c r="L156" s="97">
        <v>0</v>
      </c>
      <c r="M156" s="97">
        <v>0</v>
      </c>
      <c r="N156" s="97">
        <v>0</v>
      </c>
      <c r="O156" s="97">
        <f t="shared" si="29"/>
        <v>41.582000000000001</v>
      </c>
    </row>
    <row r="157" spans="1:17" hidden="1" x14ac:dyDescent="0.2">
      <c r="B157" s="90" t="s">
        <v>132</v>
      </c>
      <c r="C157" s="97">
        <v>0</v>
      </c>
      <c r="D157" s="97">
        <v>0</v>
      </c>
      <c r="E157" s="97">
        <v>0</v>
      </c>
      <c r="F157" s="97">
        <v>0</v>
      </c>
      <c r="G157" s="97">
        <v>0</v>
      </c>
      <c r="H157" s="97">
        <v>0</v>
      </c>
      <c r="I157" s="97">
        <v>0</v>
      </c>
      <c r="J157" s="97">
        <v>0</v>
      </c>
      <c r="K157" s="97">
        <v>0</v>
      </c>
      <c r="L157" s="97">
        <v>0</v>
      </c>
      <c r="M157" s="97">
        <v>0</v>
      </c>
      <c r="N157" s="97">
        <v>0</v>
      </c>
      <c r="O157" s="97">
        <f t="shared" si="29"/>
        <v>0</v>
      </c>
    </row>
    <row r="158" spans="1:17" hidden="1" x14ac:dyDescent="0.2">
      <c r="B158" s="90" t="s">
        <v>133</v>
      </c>
      <c r="C158" s="97">
        <v>0</v>
      </c>
      <c r="D158" s="97">
        <v>0</v>
      </c>
      <c r="E158" s="97">
        <v>0</v>
      </c>
      <c r="F158" s="97">
        <v>0</v>
      </c>
      <c r="G158" s="97">
        <v>0</v>
      </c>
      <c r="H158" s="97">
        <v>0</v>
      </c>
      <c r="I158" s="97">
        <v>0</v>
      </c>
      <c r="J158" s="97">
        <v>0</v>
      </c>
      <c r="K158" s="97">
        <v>0</v>
      </c>
      <c r="L158" s="97">
        <v>0</v>
      </c>
      <c r="M158" s="97">
        <v>0</v>
      </c>
      <c r="N158" s="97">
        <v>0</v>
      </c>
      <c r="O158" s="97">
        <f t="shared" si="29"/>
        <v>0</v>
      </c>
    </row>
    <row r="159" spans="1:17" hidden="1" x14ac:dyDescent="0.2">
      <c r="B159" s="90" t="s">
        <v>134</v>
      </c>
      <c r="C159" s="97">
        <v>0</v>
      </c>
      <c r="D159" s="97">
        <v>0</v>
      </c>
      <c r="E159" s="97">
        <v>0</v>
      </c>
      <c r="F159" s="97">
        <v>0</v>
      </c>
      <c r="G159" s="97">
        <v>0</v>
      </c>
      <c r="H159" s="97">
        <v>0</v>
      </c>
      <c r="I159" s="97">
        <v>0</v>
      </c>
      <c r="J159" s="97">
        <v>0</v>
      </c>
      <c r="K159" s="97">
        <v>0</v>
      </c>
      <c r="L159" s="97">
        <v>0</v>
      </c>
      <c r="M159" s="97">
        <v>0</v>
      </c>
      <c r="N159" s="97">
        <v>0</v>
      </c>
      <c r="O159" s="97">
        <f t="shared" si="29"/>
        <v>0</v>
      </c>
    </row>
    <row r="160" spans="1:17" x14ac:dyDescent="0.2">
      <c r="B160" s="90" t="s">
        <v>135</v>
      </c>
      <c r="C160" s="97">
        <v>0.04</v>
      </c>
      <c r="D160" s="97">
        <v>0</v>
      </c>
      <c r="E160" s="97">
        <v>0</v>
      </c>
      <c r="F160" s="97">
        <v>0</v>
      </c>
      <c r="G160" s="97">
        <v>0</v>
      </c>
      <c r="H160" s="97">
        <v>0</v>
      </c>
      <c r="I160" s="97">
        <v>0.12</v>
      </c>
      <c r="J160" s="97">
        <v>0</v>
      </c>
      <c r="K160" s="97">
        <v>0</v>
      </c>
      <c r="L160" s="97">
        <v>0</v>
      </c>
      <c r="M160" s="97">
        <v>0.18</v>
      </c>
      <c r="N160" s="97">
        <v>0.18</v>
      </c>
      <c r="O160" s="97">
        <f t="shared" si="29"/>
        <v>0.52</v>
      </c>
    </row>
    <row r="161" spans="1:17" x14ac:dyDescent="0.2">
      <c r="B161" s="90" t="s">
        <v>688</v>
      </c>
      <c r="C161" s="97">
        <v>0.17</v>
      </c>
      <c r="D161" s="97">
        <v>0.04</v>
      </c>
      <c r="E161" s="97">
        <v>0.04</v>
      </c>
      <c r="F161" s="97">
        <v>0.01</v>
      </c>
      <c r="G161" s="97">
        <v>0</v>
      </c>
      <c r="H161" s="97">
        <v>0</v>
      </c>
      <c r="I161" s="97">
        <v>8.6999999999999994E-2</v>
      </c>
      <c r="J161" s="97">
        <v>0.06</v>
      </c>
      <c r="K161" s="97">
        <v>0.03</v>
      </c>
      <c r="L161" s="97">
        <v>0</v>
      </c>
      <c r="M161" s="97">
        <v>0</v>
      </c>
      <c r="N161" s="97">
        <v>0</v>
      </c>
      <c r="O161" s="97">
        <f t="shared" si="29"/>
        <v>0.43699999999999994</v>
      </c>
    </row>
    <row r="162" spans="1:17" x14ac:dyDescent="0.2">
      <c r="B162" s="90" t="s">
        <v>136</v>
      </c>
      <c r="C162" s="97">
        <v>0</v>
      </c>
      <c r="D162" s="97">
        <v>0</v>
      </c>
      <c r="E162" s="97">
        <v>0.02</v>
      </c>
      <c r="F162" s="97">
        <v>0</v>
      </c>
      <c r="G162" s="97">
        <v>0</v>
      </c>
      <c r="H162" s="97">
        <v>0</v>
      </c>
      <c r="I162" s="97">
        <v>0</v>
      </c>
      <c r="J162" s="97">
        <v>0</v>
      </c>
      <c r="K162" s="97">
        <v>0</v>
      </c>
      <c r="L162" s="97">
        <v>0</v>
      </c>
      <c r="M162" s="97">
        <v>0</v>
      </c>
      <c r="N162" s="97">
        <v>0</v>
      </c>
      <c r="O162" s="97">
        <f t="shared" si="29"/>
        <v>0.02</v>
      </c>
    </row>
    <row r="163" spans="1:17" x14ac:dyDescent="0.2">
      <c r="B163" s="90" t="s">
        <v>137</v>
      </c>
      <c r="C163" s="97">
        <v>0.03</v>
      </c>
      <c r="D163" s="97">
        <v>2.5999999999999999E-2</v>
      </c>
      <c r="E163" s="97">
        <v>0.04</v>
      </c>
      <c r="F163" s="97">
        <v>0</v>
      </c>
      <c r="G163" s="97">
        <v>0</v>
      </c>
      <c r="H163" s="97">
        <v>0</v>
      </c>
      <c r="I163" s="97">
        <v>0.111</v>
      </c>
      <c r="J163" s="97">
        <v>0.18</v>
      </c>
      <c r="K163" s="97">
        <v>0.8</v>
      </c>
      <c r="L163" s="97">
        <v>0.16</v>
      </c>
      <c r="M163" s="97">
        <v>0</v>
      </c>
      <c r="N163" s="97">
        <v>0.22</v>
      </c>
      <c r="O163" s="97">
        <f t="shared" si="29"/>
        <v>1.5669999999999999</v>
      </c>
    </row>
    <row r="164" spans="1:17" x14ac:dyDescent="0.2">
      <c r="B164" s="90" t="s">
        <v>689</v>
      </c>
      <c r="C164" s="97">
        <v>0.02</v>
      </c>
      <c r="D164" s="97">
        <v>0.01</v>
      </c>
      <c r="E164" s="97">
        <v>0</v>
      </c>
      <c r="F164" s="97">
        <v>0</v>
      </c>
      <c r="G164" s="97">
        <v>0</v>
      </c>
      <c r="H164" s="97">
        <v>0</v>
      </c>
      <c r="I164" s="97">
        <v>0.33200000000000002</v>
      </c>
      <c r="J164" s="97">
        <v>0.03</v>
      </c>
      <c r="K164" s="97">
        <v>7.0000000000000007E-2</v>
      </c>
      <c r="L164" s="97">
        <v>0.19</v>
      </c>
      <c r="M164" s="97">
        <v>0</v>
      </c>
      <c r="N164" s="97">
        <v>0.56000000000000005</v>
      </c>
      <c r="O164" s="97">
        <f t="shared" si="29"/>
        <v>1.2120000000000002</v>
      </c>
    </row>
    <row r="165" spans="1:17" x14ac:dyDescent="0.2">
      <c r="B165" s="90" t="s">
        <v>139</v>
      </c>
      <c r="C165" s="97">
        <v>0.09</v>
      </c>
      <c r="D165" s="97">
        <v>5.5E-2</v>
      </c>
      <c r="E165" s="97">
        <v>0</v>
      </c>
      <c r="F165" s="97">
        <v>0</v>
      </c>
      <c r="G165" s="97">
        <v>0</v>
      </c>
      <c r="H165" s="97">
        <v>0</v>
      </c>
      <c r="I165" s="97">
        <v>8.0000000000000002E-3</v>
      </c>
      <c r="J165" s="97">
        <v>0</v>
      </c>
      <c r="K165" s="97">
        <v>0.05</v>
      </c>
      <c r="L165" s="97">
        <v>0</v>
      </c>
      <c r="M165" s="97">
        <v>0.01</v>
      </c>
      <c r="N165" s="97">
        <v>0</v>
      </c>
      <c r="O165" s="97">
        <f t="shared" si="29"/>
        <v>0.21300000000000002</v>
      </c>
    </row>
    <row r="166" spans="1:17" ht="12.75" customHeight="1" x14ac:dyDescent="0.25">
      <c r="A166" s="93"/>
      <c r="B166" s="93"/>
      <c r="C166" s="93"/>
      <c r="D166" s="93"/>
      <c r="E166" s="93"/>
      <c r="F166" s="93"/>
      <c r="G166" s="93"/>
      <c r="H166" s="93"/>
      <c r="I166" s="93"/>
      <c r="J166" s="93"/>
      <c r="K166" s="93"/>
      <c r="L166" s="93"/>
      <c r="M166" s="93"/>
      <c r="N166" s="93"/>
      <c r="O166" s="93"/>
    </row>
    <row r="167" spans="1:17" s="95" customFormat="1" ht="15" x14ac:dyDescent="0.25">
      <c r="A167" s="94" t="s">
        <v>140</v>
      </c>
      <c r="C167" s="96">
        <f t="shared" ref="C167:P167" si="30">SUM(C168:C187)</f>
        <v>56.569999999999993</v>
      </c>
      <c r="D167" s="96">
        <f t="shared" si="30"/>
        <v>59.329000000000008</v>
      </c>
      <c r="E167" s="96">
        <f t="shared" si="30"/>
        <v>23.01</v>
      </c>
      <c r="F167" s="96">
        <f t="shared" si="30"/>
        <v>3.3</v>
      </c>
      <c r="G167" s="96">
        <f t="shared" si="30"/>
        <v>0</v>
      </c>
      <c r="H167" s="96">
        <f t="shared" si="30"/>
        <v>3.48</v>
      </c>
      <c r="I167" s="96">
        <f t="shared" si="30"/>
        <v>31.771000000000001</v>
      </c>
      <c r="J167" s="96">
        <f t="shared" si="30"/>
        <v>17.399999999999999</v>
      </c>
      <c r="K167" s="96">
        <f t="shared" si="30"/>
        <v>32.58</v>
      </c>
      <c r="L167" s="96">
        <f t="shared" si="30"/>
        <v>15.23</v>
      </c>
      <c r="M167" s="96">
        <f t="shared" si="30"/>
        <v>11.59</v>
      </c>
      <c r="N167" s="96">
        <f t="shared" si="30"/>
        <v>20.75</v>
      </c>
      <c r="O167" s="96">
        <f t="shared" si="30"/>
        <v>275.01000000000005</v>
      </c>
      <c r="P167" s="96">
        <f t="shared" si="30"/>
        <v>0</v>
      </c>
      <c r="Q167" s="96"/>
    </row>
    <row r="168" spans="1:17" x14ac:dyDescent="0.2">
      <c r="B168" s="90" t="s">
        <v>141</v>
      </c>
      <c r="C168" s="97">
        <v>29.34</v>
      </c>
      <c r="D168" s="97">
        <v>45.947000000000003</v>
      </c>
      <c r="E168" s="97">
        <v>18.25</v>
      </c>
      <c r="F168" s="97">
        <v>3.15</v>
      </c>
      <c r="G168" s="97">
        <v>0</v>
      </c>
      <c r="H168" s="97">
        <v>3.47</v>
      </c>
      <c r="I168" s="97">
        <v>26.759</v>
      </c>
      <c r="J168" s="97">
        <v>17.309999999999999</v>
      </c>
      <c r="K168" s="97">
        <v>30.83</v>
      </c>
      <c r="L168" s="97">
        <v>14.76</v>
      </c>
      <c r="M168" s="97">
        <v>11.59</v>
      </c>
      <c r="N168" s="97">
        <v>20.14</v>
      </c>
      <c r="O168" s="97">
        <f>SUM(C168:N168)</f>
        <v>221.54599999999999</v>
      </c>
    </row>
    <row r="169" spans="1:17" x14ac:dyDescent="0.2">
      <c r="B169" s="90" t="s">
        <v>142</v>
      </c>
      <c r="C169" s="97">
        <v>1.57</v>
      </c>
      <c r="D169" s="97">
        <v>1.57</v>
      </c>
      <c r="E169" s="97">
        <v>0.65</v>
      </c>
      <c r="F169" s="97">
        <v>0</v>
      </c>
      <c r="G169" s="97">
        <v>0</v>
      </c>
      <c r="H169" s="97">
        <v>0</v>
      </c>
      <c r="I169" s="97">
        <v>0.70099999999999996</v>
      </c>
      <c r="J169" s="97">
        <v>0</v>
      </c>
      <c r="K169" s="97">
        <v>0.28999999999999998</v>
      </c>
      <c r="L169" s="97">
        <v>0</v>
      </c>
      <c r="M169" s="97">
        <v>0</v>
      </c>
      <c r="N169" s="97">
        <v>0</v>
      </c>
      <c r="O169" s="97">
        <f t="shared" ref="O169:O187" si="31">SUM(C169:N169)</f>
        <v>4.7809999999999997</v>
      </c>
    </row>
    <row r="170" spans="1:17" x14ac:dyDescent="0.2">
      <c r="B170" s="90" t="s">
        <v>143</v>
      </c>
      <c r="C170" s="97">
        <v>0.85</v>
      </c>
      <c r="D170" s="97">
        <v>0.11799999999999999</v>
      </c>
      <c r="E170" s="97">
        <v>0.05</v>
      </c>
      <c r="F170" s="97">
        <v>0</v>
      </c>
      <c r="G170" s="97">
        <v>0</v>
      </c>
      <c r="H170" s="97">
        <v>0</v>
      </c>
      <c r="I170" s="97">
        <v>0</v>
      </c>
      <c r="J170" s="97">
        <v>0</v>
      </c>
      <c r="K170" s="97">
        <v>0</v>
      </c>
      <c r="L170" s="97">
        <v>0</v>
      </c>
      <c r="M170" s="97">
        <v>0</v>
      </c>
      <c r="N170" s="97">
        <v>0</v>
      </c>
      <c r="O170" s="97">
        <f t="shared" si="31"/>
        <v>1.018</v>
      </c>
    </row>
    <row r="171" spans="1:17" x14ac:dyDescent="0.2">
      <c r="B171" s="90" t="s">
        <v>144</v>
      </c>
      <c r="C171" s="97">
        <v>0.71</v>
      </c>
      <c r="D171" s="97">
        <v>0.77900000000000003</v>
      </c>
      <c r="E171" s="97">
        <v>0.35</v>
      </c>
      <c r="F171" s="97">
        <v>0.15</v>
      </c>
      <c r="G171" s="97">
        <v>0</v>
      </c>
      <c r="H171" s="97">
        <v>0.01</v>
      </c>
      <c r="I171" s="97">
        <v>0.37</v>
      </c>
      <c r="J171" s="97">
        <v>0.08</v>
      </c>
      <c r="K171" s="97">
        <v>0.16</v>
      </c>
      <c r="L171" s="97">
        <v>0.47</v>
      </c>
      <c r="M171" s="97">
        <v>0</v>
      </c>
      <c r="N171" s="97">
        <v>0.61</v>
      </c>
      <c r="O171" s="97">
        <f t="shared" si="31"/>
        <v>3.6889999999999996</v>
      </c>
    </row>
    <row r="172" spans="1:17" x14ac:dyDescent="0.2">
      <c r="B172" s="90" t="s">
        <v>145</v>
      </c>
      <c r="C172" s="97">
        <v>7.45</v>
      </c>
      <c r="D172" s="97">
        <v>2.64</v>
      </c>
      <c r="E172" s="97">
        <v>1.1000000000000001</v>
      </c>
      <c r="F172" s="97">
        <v>0</v>
      </c>
      <c r="G172" s="97">
        <v>0</v>
      </c>
      <c r="H172" s="97">
        <v>0</v>
      </c>
      <c r="I172" s="97">
        <v>1.7000000000000001E-2</v>
      </c>
      <c r="J172" s="97">
        <v>0</v>
      </c>
      <c r="K172" s="97">
        <v>0</v>
      </c>
      <c r="L172" s="97">
        <v>0</v>
      </c>
      <c r="M172" s="97">
        <v>0</v>
      </c>
      <c r="N172" s="97">
        <v>0</v>
      </c>
      <c r="O172" s="97">
        <f t="shared" si="31"/>
        <v>11.206999999999999</v>
      </c>
    </row>
    <row r="173" spans="1:17" x14ac:dyDescent="0.2">
      <c r="B173" s="90" t="s">
        <v>716</v>
      </c>
      <c r="C173" s="97">
        <v>6.66</v>
      </c>
      <c r="D173" s="97">
        <v>1.361</v>
      </c>
      <c r="E173" s="97">
        <v>0.36</v>
      </c>
      <c r="F173" s="97">
        <v>0</v>
      </c>
      <c r="G173" s="97">
        <v>0</v>
      </c>
      <c r="H173" s="97">
        <v>0</v>
      </c>
      <c r="I173" s="97">
        <v>0</v>
      </c>
      <c r="J173" s="97">
        <v>0</v>
      </c>
      <c r="K173" s="97">
        <v>0</v>
      </c>
      <c r="L173" s="97">
        <v>0</v>
      </c>
      <c r="M173" s="97">
        <v>0</v>
      </c>
      <c r="N173" s="97">
        <v>0</v>
      </c>
      <c r="O173" s="97">
        <f t="shared" si="31"/>
        <v>8.3810000000000002</v>
      </c>
    </row>
    <row r="174" spans="1:17" x14ac:dyDescent="0.2">
      <c r="B174" s="90" t="s">
        <v>147</v>
      </c>
      <c r="C174" s="97">
        <v>0.03</v>
      </c>
      <c r="D174" s="97">
        <v>5.6000000000000001E-2</v>
      </c>
      <c r="E174" s="97">
        <v>0</v>
      </c>
      <c r="F174" s="97">
        <v>0</v>
      </c>
      <c r="G174" s="97">
        <v>0</v>
      </c>
      <c r="H174" s="97">
        <v>0</v>
      </c>
      <c r="I174" s="97">
        <v>0</v>
      </c>
      <c r="J174" s="97">
        <v>0</v>
      </c>
      <c r="K174" s="97">
        <v>0</v>
      </c>
      <c r="L174" s="97">
        <v>0</v>
      </c>
      <c r="M174" s="97">
        <v>0</v>
      </c>
      <c r="N174" s="97">
        <v>0</v>
      </c>
      <c r="O174" s="97">
        <f t="shared" si="31"/>
        <v>8.5999999999999993E-2</v>
      </c>
    </row>
    <row r="175" spans="1:17" hidden="1" x14ac:dyDescent="0.2">
      <c r="B175" s="90" t="s">
        <v>667</v>
      </c>
      <c r="C175" s="97">
        <v>0</v>
      </c>
      <c r="D175" s="97">
        <v>0</v>
      </c>
      <c r="E175" s="97">
        <v>0</v>
      </c>
      <c r="F175" s="97">
        <v>0</v>
      </c>
      <c r="G175" s="97">
        <v>0</v>
      </c>
      <c r="H175" s="97">
        <v>0</v>
      </c>
      <c r="I175" s="97">
        <v>0</v>
      </c>
      <c r="J175" s="97">
        <v>0</v>
      </c>
      <c r="K175" s="97">
        <v>0</v>
      </c>
      <c r="L175" s="97">
        <v>0</v>
      </c>
      <c r="M175" s="97">
        <v>0</v>
      </c>
      <c r="N175" s="97">
        <v>0</v>
      </c>
      <c r="O175" s="97">
        <f t="shared" si="31"/>
        <v>0</v>
      </c>
    </row>
    <row r="176" spans="1:17" hidden="1" x14ac:dyDescent="0.2">
      <c r="B176" s="90" t="s">
        <v>668</v>
      </c>
      <c r="C176" s="97">
        <v>0</v>
      </c>
      <c r="D176" s="97">
        <v>0</v>
      </c>
      <c r="E176" s="97">
        <v>0</v>
      </c>
      <c r="F176" s="97">
        <v>0</v>
      </c>
      <c r="G176" s="97">
        <v>0</v>
      </c>
      <c r="H176" s="97">
        <v>0</v>
      </c>
      <c r="I176" s="97">
        <v>0</v>
      </c>
      <c r="J176" s="97">
        <v>0</v>
      </c>
      <c r="K176" s="97">
        <v>0</v>
      </c>
      <c r="L176" s="97">
        <v>0</v>
      </c>
      <c r="M176" s="97">
        <v>0</v>
      </c>
      <c r="N176" s="97">
        <v>0</v>
      </c>
      <c r="O176" s="97">
        <f t="shared" si="31"/>
        <v>0</v>
      </c>
    </row>
    <row r="177" spans="1:17" x14ac:dyDescent="0.2">
      <c r="B177" s="90" t="s">
        <v>148</v>
      </c>
      <c r="C177" s="97">
        <v>0.54</v>
      </c>
      <c r="D177" s="97">
        <v>1.1859999999999999</v>
      </c>
      <c r="E177" s="97">
        <v>0.71</v>
      </c>
      <c r="F177" s="97">
        <v>0</v>
      </c>
      <c r="G177" s="97">
        <v>0</v>
      </c>
      <c r="H177" s="97">
        <v>0</v>
      </c>
      <c r="I177" s="97">
        <v>1.425</v>
      </c>
      <c r="J177" s="97">
        <v>0</v>
      </c>
      <c r="K177" s="97">
        <v>0.03</v>
      </c>
      <c r="L177" s="97">
        <v>0</v>
      </c>
      <c r="M177" s="97">
        <v>0</v>
      </c>
      <c r="N177" s="97">
        <v>0</v>
      </c>
      <c r="O177" s="97">
        <f t="shared" si="31"/>
        <v>3.8909999999999996</v>
      </c>
    </row>
    <row r="178" spans="1:17" x14ac:dyDescent="0.2">
      <c r="B178" s="90" t="s">
        <v>149</v>
      </c>
      <c r="C178" s="97">
        <v>0</v>
      </c>
      <c r="D178" s="97">
        <v>0</v>
      </c>
      <c r="E178" s="97">
        <v>0</v>
      </c>
      <c r="F178" s="97">
        <v>0</v>
      </c>
      <c r="G178" s="97">
        <v>0</v>
      </c>
      <c r="H178" s="97">
        <v>0</v>
      </c>
      <c r="I178" s="97">
        <v>0</v>
      </c>
      <c r="J178" s="97">
        <v>0</v>
      </c>
      <c r="K178" s="97">
        <v>0</v>
      </c>
      <c r="L178" s="97">
        <v>0</v>
      </c>
      <c r="M178" s="97">
        <v>0</v>
      </c>
      <c r="N178" s="97">
        <v>0</v>
      </c>
      <c r="O178" s="97">
        <f t="shared" si="31"/>
        <v>0</v>
      </c>
    </row>
    <row r="179" spans="1:17" x14ac:dyDescent="0.2">
      <c r="B179" s="90" t="s">
        <v>150</v>
      </c>
      <c r="C179" s="97">
        <v>3.93</v>
      </c>
      <c r="D179" s="97">
        <v>4.8869999999999996</v>
      </c>
      <c r="E179" s="97">
        <v>1.49</v>
      </c>
      <c r="F179" s="97">
        <v>0</v>
      </c>
      <c r="G179" s="97">
        <v>0</v>
      </c>
      <c r="H179" s="97">
        <v>0</v>
      </c>
      <c r="I179" s="97">
        <v>2.4990000000000001</v>
      </c>
      <c r="J179" s="97">
        <v>0.01</v>
      </c>
      <c r="K179" s="97">
        <v>0.88</v>
      </c>
      <c r="L179" s="97">
        <v>0</v>
      </c>
      <c r="M179" s="97">
        <v>0</v>
      </c>
      <c r="N179" s="97">
        <v>0</v>
      </c>
      <c r="O179" s="97">
        <f t="shared" si="31"/>
        <v>13.696000000000002</v>
      </c>
    </row>
    <row r="180" spans="1:17" x14ac:dyDescent="0.2">
      <c r="B180" s="90" t="s">
        <v>151</v>
      </c>
      <c r="C180" s="97">
        <v>0.64</v>
      </c>
      <c r="D180" s="97">
        <v>0.13700000000000001</v>
      </c>
      <c r="E180" s="97">
        <v>0.03</v>
      </c>
      <c r="F180" s="97">
        <v>0</v>
      </c>
      <c r="G180" s="97">
        <v>0</v>
      </c>
      <c r="H180" s="97">
        <v>0</v>
      </c>
      <c r="I180" s="97">
        <v>0</v>
      </c>
      <c r="J180" s="97">
        <v>0</v>
      </c>
      <c r="K180" s="97">
        <v>0</v>
      </c>
      <c r="L180" s="97">
        <v>0</v>
      </c>
      <c r="M180" s="97">
        <v>0</v>
      </c>
      <c r="N180" s="97">
        <v>0</v>
      </c>
      <c r="O180" s="97">
        <f t="shared" si="31"/>
        <v>0.80700000000000005</v>
      </c>
    </row>
    <row r="181" spans="1:17" x14ac:dyDescent="0.2">
      <c r="B181" s="90" t="s">
        <v>152</v>
      </c>
      <c r="C181" s="97">
        <v>0.46</v>
      </c>
      <c r="D181" s="97">
        <v>0.03</v>
      </c>
      <c r="E181" s="97">
        <v>0</v>
      </c>
      <c r="F181" s="97">
        <v>0</v>
      </c>
      <c r="G181" s="97">
        <v>0</v>
      </c>
      <c r="H181" s="97">
        <v>0</v>
      </c>
      <c r="I181" s="97">
        <v>0</v>
      </c>
      <c r="J181" s="97">
        <v>0</v>
      </c>
      <c r="K181" s="97">
        <v>0</v>
      </c>
      <c r="L181" s="97">
        <v>0</v>
      </c>
      <c r="M181" s="97">
        <v>0</v>
      </c>
      <c r="N181" s="97">
        <v>0</v>
      </c>
      <c r="O181" s="97">
        <f t="shared" si="31"/>
        <v>0.49</v>
      </c>
    </row>
    <row r="182" spans="1:17" hidden="1" x14ac:dyDescent="0.2">
      <c r="B182" s="90" t="s">
        <v>153</v>
      </c>
      <c r="C182" s="97">
        <v>0</v>
      </c>
      <c r="D182" s="97">
        <v>0</v>
      </c>
      <c r="E182" s="97">
        <v>0</v>
      </c>
      <c r="F182" s="97">
        <v>0</v>
      </c>
      <c r="G182" s="97">
        <v>0</v>
      </c>
      <c r="H182" s="97">
        <v>0</v>
      </c>
      <c r="I182" s="97">
        <v>0</v>
      </c>
      <c r="J182" s="97">
        <v>0</v>
      </c>
      <c r="K182" s="97">
        <v>0</v>
      </c>
      <c r="L182" s="97">
        <v>0</v>
      </c>
      <c r="M182" s="97">
        <v>0</v>
      </c>
      <c r="N182" s="97">
        <v>0</v>
      </c>
      <c r="O182" s="97">
        <f t="shared" si="31"/>
        <v>0</v>
      </c>
    </row>
    <row r="183" spans="1:17" hidden="1" x14ac:dyDescent="0.2">
      <c r="B183" s="90" t="s">
        <v>154</v>
      </c>
      <c r="C183" s="97">
        <v>0</v>
      </c>
      <c r="D183" s="97">
        <v>0</v>
      </c>
      <c r="E183" s="97">
        <v>0</v>
      </c>
      <c r="F183" s="97">
        <v>0</v>
      </c>
      <c r="G183" s="97">
        <v>0</v>
      </c>
      <c r="H183" s="97">
        <v>0</v>
      </c>
      <c r="I183" s="97">
        <v>0</v>
      </c>
      <c r="J183" s="97">
        <v>0</v>
      </c>
      <c r="K183" s="97">
        <v>0</v>
      </c>
      <c r="L183" s="97">
        <v>0</v>
      </c>
      <c r="M183" s="97">
        <v>0</v>
      </c>
      <c r="N183" s="97">
        <v>0</v>
      </c>
      <c r="O183" s="97">
        <f t="shared" si="31"/>
        <v>0</v>
      </c>
    </row>
    <row r="184" spans="1:17" x14ac:dyDescent="0.2">
      <c r="B184" s="90" t="s">
        <v>155</v>
      </c>
      <c r="C184" s="97">
        <v>0.26</v>
      </c>
      <c r="D184" s="97">
        <v>4.2000000000000003E-2</v>
      </c>
      <c r="E184" s="97">
        <v>0</v>
      </c>
      <c r="F184" s="97">
        <v>0</v>
      </c>
      <c r="G184" s="97">
        <v>0</v>
      </c>
      <c r="H184" s="97">
        <v>0</v>
      </c>
      <c r="I184" s="97">
        <v>0</v>
      </c>
      <c r="J184" s="97">
        <v>0</v>
      </c>
      <c r="K184" s="97">
        <v>0</v>
      </c>
      <c r="L184" s="97">
        <v>0</v>
      </c>
      <c r="M184" s="97">
        <v>0</v>
      </c>
      <c r="N184" s="97">
        <v>0</v>
      </c>
      <c r="O184" s="97">
        <f t="shared" si="31"/>
        <v>0.30199999999999999</v>
      </c>
    </row>
    <row r="185" spans="1:17" x14ac:dyDescent="0.2">
      <c r="B185" s="90" t="s">
        <v>156</v>
      </c>
      <c r="C185" s="97">
        <v>4.04</v>
      </c>
      <c r="D185" s="97">
        <v>0.57599999999999996</v>
      </c>
      <c r="E185" s="97">
        <v>0.02</v>
      </c>
      <c r="F185" s="97">
        <v>0</v>
      </c>
      <c r="G185" s="97">
        <v>0</v>
      </c>
      <c r="H185" s="97">
        <v>0</v>
      </c>
      <c r="I185" s="97">
        <v>0</v>
      </c>
      <c r="J185" s="97">
        <v>0</v>
      </c>
      <c r="K185" s="97">
        <v>0.39</v>
      </c>
      <c r="L185" s="97">
        <v>0</v>
      </c>
      <c r="M185" s="97">
        <v>0</v>
      </c>
      <c r="N185" s="97">
        <v>0</v>
      </c>
      <c r="O185" s="97">
        <f t="shared" si="31"/>
        <v>5.0259999999999989</v>
      </c>
    </row>
    <row r="186" spans="1:17" x14ac:dyDescent="0.2">
      <c r="B186" s="90" t="s">
        <v>157</v>
      </c>
      <c r="C186" s="97">
        <v>0.01</v>
      </c>
      <c r="D186" s="97">
        <v>0</v>
      </c>
      <c r="E186" s="97">
        <v>0</v>
      </c>
      <c r="F186" s="97">
        <v>0</v>
      </c>
      <c r="G186" s="97">
        <v>0</v>
      </c>
      <c r="H186" s="97">
        <v>0</v>
      </c>
      <c r="I186" s="97">
        <v>0</v>
      </c>
      <c r="J186" s="97">
        <v>0</v>
      </c>
      <c r="K186" s="97">
        <v>0</v>
      </c>
      <c r="L186" s="97">
        <v>0</v>
      </c>
      <c r="M186" s="97">
        <v>0</v>
      </c>
      <c r="N186" s="97">
        <v>0</v>
      </c>
      <c r="O186" s="97">
        <f t="shared" si="31"/>
        <v>0.01</v>
      </c>
    </row>
    <row r="187" spans="1:17" x14ac:dyDescent="0.2">
      <c r="B187" s="90" t="s">
        <v>158</v>
      </c>
      <c r="C187" s="97">
        <v>0.08</v>
      </c>
      <c r="D187" s="97">
        <v>0</v>
      </c>
      <c r="E187" s="97">
        <v>0</v>
      </c>
      <c r="F187" s="97">
        <v>0</v>
      </c>
      <c r="G187" s="97">
        <v>0</v>
      </c>
      <c r="H187" s="97">
        <v>0</v>
      </c>
      <c r="I187" s="97">
        <v>0</v>
      </c>
      <c r="J187" s="97">
        <v>0</v>
      </c>
      <c r="K187" s="97">
        <v>0</v>
      </c>
      <c r="L187" s="97">
        <v>0</v>
      </c>
      <c r="M187" s="97">
        <v>0</v>
      </c>
      <c r="N187" s="97">
        <v>0</v>
      </c>
      <c r="O187" s="97">
        <f t="shared" si="31"/>
        <v>0.08</v>
      </c>
    </row>
    <row r="188" spans="1:17" ht="12.75" customHeight="1" x14ac:dyDescent="0.2">
      <c r="C188" s="97"/>
      <c r="D188" s="97"/>
      <c r="E188" s="97"/>
      <c r="F188" s="97"/>
      <c r="G188" s="97"/>
      <c r="H188" s="97"/>
      <c r="I188" s="97"/>
      <c r="J188" s="97"/>
      <c r="K188" s="97"/>
      <c r="L188" s="97"/>
      <c r="M188" s="97"/>
      <c r="N188" s="97"/>
      <c r="O188" s="97"/>
    </row>
    <row r="189" spans="1:17" s="95" customFormat="1" ht="15" x14ac:dyDescent="0.25">
      <c r="A189" s="94" t="s">
        <v>159</v>
      </c>
      <c r="C189" s="96">
        <f t="shared" ref="C189:P189" si="32">SUM(C190:C191)</f>
        <v>48.18</v>
      </c>
      <c r="D189" s="96">
        <f t="shared" si="32"/>
        <v>22.232000000000003</v>
      </c>
      <c r="E189" s="96">
        <f t="shared" si="32"/>
        <v>12.19</v>
      </c>
      <c r="F189" s="96">
        <f t="shared" si="32"/>
        <v>3.97</v>
      </c>
      <c r="G189" s="96">
        <f t="shared" si="32"/>
        <v>0</v>
      </c>
      <c r="H189" s="96">
        <f t="shared" si="32"/>
        <v>0.11</v>
      </c>
      <c r="I189" s="96">
        <f t="shared" si="32"/>
        <v>13.993</v>
      </c>
      <c r="J189" s="96">
        <f t="shared" si="32"/>
        <v>14.6</v>
      </c>
      <c r="K189" s="96">
        <f t="shared" si="32"/>
        <v>5.56</v>
      </c>
      <c r="L189" s="96">
        <f t="shared" si="32"/>
        <v>1.74</v>
      </c>
      <c r="M189" s="96">
        <f t="shared" si="32"/>
        <v>4.18</v>
      </c>
      <c r="N189" s="96">
        <f t="shared" si="32"/>
        <v>3.79</v>
      </c>
      <c r="O189" s="96">
        <f t="shared" si="32"/>
        <v>130.54499999999996</v>
      </c>
      <c r="P189" s="96">
        <f t="shared" si="32"/>
        <v>0</v>
      </c>
      <c r="Q189" s="96"/>
    </row>
    <row r="190" spans="1:17" x14ac:dyDescent="0.2">
      <c r="B190" s="90" t="s">
        <v>93</v>
      </c>
      <c r="C190" s="97">
        <v>48.18</v>
      </c>
      <c r="D190" s="97">
        <v>22.222000000000001</v>
      </c>
      <c r="E190" s="97">
        <v>12.19</v>
      </c>
      <c r="F190" s="97">
        <v>3.97</v>
      </c>
      <c r="G190" s="97">
        <v>0</v>
      </c>
      <c r="H190" s="97">
        <v>0.11</v>
      </c>
      <c r="I190" s="97">
        <v>13.993</v>
      </c>
      <c r="J190" s="97">
        <v>14.6</v>
      </c>
      <c r="K190" s="97">
        <v>5.56</v>
      </c>
      <c r="L190" s="97">
        <v>1.74</v>
      </c>
      <c r="M190" s="97">
        <v>4.18</v>
      </c>
      <c r="N190" s="97">
        <v>3.79</v>
      </c>
      <c r="O190" s="97">
        <f>SUM(C190:N190)</f>
        <v>130.53499999999997</v>
      </c>
    </row>
    <row r="191" spans="1:17" x14ac:dyDescent="0.2">
      <c r="B191" s="90" t="s">
        <v>160</v>
      </c>
      <c r="C191" s="97">
        <v>0</v>
      </c>
      <c r="D191" s="97">
        <v>0.01</v>
      </c>
      <c r="E191" s="97">
        <v>0</v>
      </c>
      <c r="F191" s="97">
        <v>0</v>
      </c>
      <c r="G191" s="97">
        <v>0</v>
      </c>
      <c r="H191" s="97">
        <v>0</v>
      </c>
      <c r="I191" s="97">
        <v>0</v>
      </c>
      <c r="J191" s="97">
        <v>0</v>
      </c>
      <c r="K191" s="97">
        <v>0</v>
      </c>
      <c r="L191" s="97">
        <v>0</v>
      </c>
      <c r="M191" s="97">
        <v>0</v>
      </c>
      <c r="N191" s="97">
        <v>0</v>
      </c>
      <c r="O191" s="97">
        <f>SUM(C191:N191)</f>
        <v>0.01</v>
      </c>
    </row>
    <row r="192" spans="1:17" ht="12.75" customHeight="1" x14ac:dyDescent="0.2">
      <c r="C192" s="97"/>
      <c r="D192" s="97"/>
      <c r="E192" s="97"/>
      <c r="F192" s="97"/>
      <c r="G192" s="97"/>
      <c r="H192" s="97"/>
      <c r="I192" s="97"/>
      <c r="J192" s="97"/>
      <c r="K192" s="97"/>
      <c r="L192" s="97"/>
      <c r="M192" s="97"/>
      <c r="N192" s="97"/>
      <c r="O192" s="97"/>
    </row>
    <row r="193" spans="1:17" s="95" customFormat="1" ht="15" x14ac:dyDescent="0.25">
      <c r="A193" s="94" t="s">
        <v>161</v>
      </c>
      <c r="C193" s="96">
        <f t="shared" ref="C193:P193" si="33">SUM(C194:C197)</f>
        <v>5.83</v>
      </c>
      <c r="D193" s="96">
        <f t="shared" si="33"/>
        <v>3.6539999999999999</v>
      </c>
      <c r="E193" s="96">
        <f t="shared" si="33"/>
        <v>1.5699999999999998</v>
      </c>
      <c r="F193" s="96">
        <f t="shared" si="33"/>
        <v>0.06</v>
      </c>
      <c r="G193" s="96">
        <f t="shared" si="33"/>
        <v>0</v>
      </c>
      <c r="H193" s="96">
        <f t="shared" si="33"/>
        <v>0.02</v>
      </c>
      <c r="I193" s="96">
        <f t="shared" si="33"/>
        <v>3.7679999999999998</v>
      </c>
      <c r="J193" s="96">
        <f t="shared" si="33"/>
        <v>0</v>
      </c>
      <c r="K193" s="96">
        <f t="shared" si="33"/>
        <v>0.02</v>
      </c>
      <c r="L193" s="96">
        <f t="shared" si="33"/>
        <v>0</v>
      </c>
      <c r="M193" s="96">
        <f t="shared" si="33"/>
        <v>0</v>
      </c>
      <c r="N193" s="96">
        <f t="shared" si="33"/>
        <v>0</v>
      </c>
      <c r="O193" s="96">
        <f t="shared" si="33"/>
        <v>14.922000000000001</v>
      </c>
      <c r="P193" s="96">
        <f t="shared" si="33"/>
        <v>0</v>
      </c>
      <c r="Q193" s="96"/>
    </row>
    <row r="194" spans="1:17" x14ac:dyDescent="0.2">
      <c r="B194" s="90" t="s">
        <v>162</v>
      </c>
      <c r="C194" s="97">
        <v>0.88</v>
      </c>
      <c r="D194" s="97">
        <v>0.13200000000000001</v>
      </c>
      <c r="E194" s="97">
        <v>0.13</v>
      </c>
      <c r="F194" s="97">
        <v>0.04</v>
      </c>
      <c r="G194" s="97">
        <v>0</v>
      </c>
      <c r="H194" s="97">
        <v>0</v>
      </c>
      <c r="I194" s="97">
        <v>0.14699999999999999</v>
      </c>
      <c r="J194" s="97">
        <v>0</v>
      </c>
      <c r="K194" s="97">
        <v>0.02</v>
      </c>
      <c r="L194" s="97">
        <v>0</v>
      </c>
      <c r="M194" s="97">
        <v>0</v>
      </c>
      <c r="N194" s="97">
        <v>0</v>
      </c>
      <c r="O194" s="97">
        <f>SUM(C194:N194)</f>
        <v>1.349</v>
      </c>
    </row>
    <row r="195" spans="1:17" x14ac:dyDescent="0.2">
      <c r="B195" s="90" t="s">
        <v>163</v>
      </c>
      <c r="C195" s="97">
        <v>0.01</v>
      </c>
      <c r="D195" s="97">
        <v>0</v>
      </c>
      <c r="E195" s="97">
        <v>0</v>
      </c>
      <c r="F195" s="97">
        <v>0</v>
      </c>
      <c r="G195" s="97">
        <v>0</v>
      </c>
      <c r="H195" s="97">
        <v>0</v>
      </c>
      <c r="I195" s="97">
        <v>0</v>
      </c>
      <c r="J195" s="97">
        <v>0</v>
      </c>
      <c r="K195" s="97">
        <v>0</v>
      </c>
      <c r="L195" s="97">
        <v>0</v>
      </c>
      <c r="M195" s="97">
        <v>0</v>
      </c>
      <c r="N195" s="97">
        <v>0</v>
      </c>
      <c r="O195" s="97">
        <f t="shared" ref="O195:O197" si="34">SUM(C195:N195)</f>
        <v>0.01</v>
      </c>
    </row>
    <row r="196" spans="1:17" x14ac:dyDescent="0.2">
      <c r="B196" s="90" t="s">
        <v>164</v>
      </c>
      <c r="C196" s="97">
        <v>0.01</v>
      </c>
      <c r="D196" s="97">
        <v>1.6E-2</v>
      </c>
      <c r="E196" s="97">
        <v>0</v>
      </c>
      <c r="F196" s="97">
        <v>0.02</v>
      </c>
      <c r="G196" s="97">
        <v>0</v>
      </c>
      <c r="H196" s="97">
        <v>0.02</v>
      </c>
      <c r="I196" s="97">
        <v>0</v>
      </c>
      <c r="J196" s="97">
        <v>0</v>
      </c>
      <c r="K196" s="97">
        <v>0</v>
      </c>
      <c r="L196" s="97">
        <v>0</v>
      </c>
      <c r="M196" s="97">
        <v>0</v>
      </c>
      <c r="N196" s="97">
        <v>0</v>
      </c>
      <c r="O196" s="97">
        <f t="shared" si="34"/>
        <v>6.6000000000000003E-2</v>
      </c>
    </row>
    <row r="197" spans="1:17" x14ac:dyDescent="0.2">
      <c r="B197" s="90" t="s">
        <v>165</v>
      </c>
      <c r="C197" s="97">
        <v>4.93</v>
      </c>
      <c r="D197" s="97">
        <v>3.5059999999999998</v>
      </c>
      <c r="E197" s="97">
        <v>1.44</v>
      </c>
      <c r="F197" s="97">
        <v>0</v>
      </c>
      <c r="G197" s="97">
        <v>0</v>
      </c>
      <c r="H197" s="97">
        <v>0</v>
      </c>
      <c r="I197" s="97">
        <v>3.621</v>
      </c>
      <c r="J197" s="97">
        <v>0</v>
      </c>
      <c r="K197" s="97">
        <v>0</v>
      </c>
      <c r="L197" s="97">
        <v>0</v>
      </c>
      <c r="M197" s="97">
        <v>0</v>
      </c>
      <c r="N197" s="97">
        <v>0</v>
      </c>
      <c r="O197" s="97">
        <f t="shared" si="34"/>
        <v>13.497</v>
      </c>
    </row>
    <row r="198" spans="1:17" x14ac:dyDescent="0.2">
      <c r="C198" s="97"/>
      <c r="D198" s="97"/>
      <c r="E198" s="97"/>
      <c r="F198" s="97"/>
      <c r="G198" s="97"/>
      <c r="H198" s="97"/>
      <c r="I198" s="97"/>
      <c r="J198" s="97"/>
      <c r="K198" s="97"/>
      <c r="L198" s="97"/>
      <c r="M198" s="97"/>
      <c r="N198" s="97"/>
      <c r="O198" s="97"/>
    </row>
    <row r="199" spans="1:17" s="95" customFormat="1" ht="15" x14ac:dyDescent="0.25">
      <c r="A199" s="94" t="s">
        <v>166</v>
      </c>
      <c r="C199" s="96">
        <f t="shared" ref="C199:P199" si="35">SUM(C200:C206)</f>
        <v>61.259999999999991</v>
      </c>
      <c r="D199" s="96">
        <f t="shared" si="35"/>
        <v>37.996000000000002</v>
      </c>
      <c r="E199" s="96">
        <f t="shared" si="35"/>
        <v>13.42</v>
      </c>
      <c r="F199" s="96">
        <f t="shared" si="35"/>
        <v>1.9500000000000002</v>
      </c>
      <c r="G199" s="96">
        <f t="shared" si="35"/>
        <v>0</v>
      </c>
      <c r="H199" s="96">
        <f t="shared" si="35"/>
        <v>3.23</v>
      </c>
      <c r="I199" s="96">
        <f t="shared" si="35"/>
        <v>37.613999999999997</v>
      </c>
      <c r="J199" s="96">
        <f t="shared" si="35"/>
        <v>10.28</v>
      </c>
      <c r="K199" s="96">
        <f t="shared" si="35"/>
        <v>14.81</v>
      </c>
      <c r="L199" s="96">
        <f t="shared" si="35"/>
        <v>8.8800000000000008</v>
      </c>
      <c r="M199" s="96">
        <f t="shared" si="35"/>
        <v>5.82</v>
      </c>
      <c r="N199" s="96">
        <f t="shared" si="35"/>
        <v>10.98</v>
      </c>
      <c r="O199" s="96">
        <f t="shared" si="35"/>
        <v>206.23999999999998</v>
      </c>
      <c r="P199" s="96">
        <f t="shared" si="35"/>
        <v>0</v>
      </c>
      <c r="Q199" s="96"/>
    </row>
    <row r="200" spans="1:17" x14ac:dyDescent="0.2">
      <c r="B200" s="90" t="s">
        <v>167</v>
      </c>
      <c r="C200" s="97">
        <v>51.44</v>
      </c>
      <c r="D200" s="97">
        <v>34.819000000000003</v>
      </c>
      <c r="E200" s="97">
        <v>13.13</v>
      </c>
      <c r="F200" s="97">
        <v>1.86</v>
      </c>
      <c r="G200" s="97">
        <v>0</v>
      </c>
      <c r="H200" s="97">
        <v>3.04</v>
      </c>
      <c r="I200" s="97">
        <v>36.143999999999998</v>
      </c>
      <c r="J200" s="97">
        <v>10.039999999999999</v>
      </c>
      <c r="K200" s="97">
        <v>14.49</v>
      </c>
      <c r="L200" s="97">
        <v>8.67</v>
      </c>
      <c r="M200" s="97">
        <v>5.74</v>
      </c>
      <c r="N200" s="97">
        <v>10.74</v>
      </c>
      <c r="O200" s="97">
        <f>SUM(C200:N200)</f>
        <v>190.113</v>
      </c>
    </row>
    <row r="201" spans="1:17" x14ac:dyDescent="0.2">
      <c r="B201" s="90" t="s">
        <v>168</v>
      </c>
      <c r="C201" s="97">
        <v>7.77</v>
      </c>
      <c r="D201" s="97">
        <v>1.1100000000000001</v>
      </c>
      <c r="E201" s="97">
        <v>0.19</v>
      </c>
      <c r="F201" s="97">
        <v>0</v>
      </c>
      <c r="G201" s="97">
        <v>0</v>
      </c>
      <c r="H201" s="97">
        <v>0</v>
      </c>
      <c r="I201" s="97">
        <v>0.83899999999999997</v>
      </c>
      <c r="J201" s="97">
        <v>0.06</v>
      </c>
      <c r="K201" s="97">
        <v>0.16</v>
      </c>
      <c r="L201" s="97">
        <v>7.0000000000000007E-2</v>
      </c>
      <c r="M201" s="97">
        <v>0.08</v>
      </c>
      <c r="N201" s="97">
        <v>7.0000000000000007E-2</v>
      </c>
      <c r="O201" s="97">
        <f t="shared" ref="O201:O206" si="36">SUM(C201:N201)</f>
        <v>10.349</v>
      </c>
    </row>
    <row r="202" spans="1:17" x14ac:dyDescent="0.2">
      <c r="B202" s="90" t="s">
        <v>169</v>
      </c>
      <c r="C202" s="97">
        <v>0.41</v>
      </c>
      <c r="D202" s="97">
        <v>0.51500000000000001</v>
      </c>
      <c r="E202" s="97">
        <v>0</v>
      </c>
      <c r="F202" s="97">
        <v>0.09</v>
      </c>
      <c r="G202" s="97">
        <v>0</v>
      </c>
      <c r="H202" s="97">
        <v>0.19</v>
      </c>
      <c r="I202" s="97">
        <v>0.47899999999999998</v>
      </c>
      <c r="J202" s="97">
        <v>0.18</v>
      </c>
      <c r="K202" s="97">
        <v>0.16</v>
      </c>
      <c r="L202" s="97">
        <v>0.14000000000000001</v>
      </c>
      <c r="M202" s="97">
        <v>0</v>
      </c>
      <c r="N202" s="97">
        <v>0.17</v>
      </c>
      <c r="O202" s="97">
        <f t="shared" si="36"/>
        <v>2.3340000000000001</v>
      </c>
    </row>
    <row r="203" spans="1:17" hidden="1" x14ac:dyDescent="0.2">
      <c r="B203" s="90" t="s">
        <v>170</v>
      </c>
      <c r="C203" s="97">
        <v>0</v>
      </c>
      <c r="D203" s="97">
        <v>0</v>
      </c>
      <c r="E203" s="97">
        <v>0</v>
      </c>
      <c r="F203" s="97">
        <v>0</v>
      </c>
      <c r="G203" s="97">
        <v>0</v>
      </c>
      <c r="H203" s="97">
        <v>0</v>
      </c>
      <c r="I203" s="97">
        <v>0</v>
      </c>
      <c r="J203" s="97">
        <v>0</v>
      </c>
      <c r="K203" s="97">
        <v>0</v>
      </c>
      <c r="L203" s="97">
        <v>0</v>
      </c>
      <c r="M203" s="97">
        <v>0</v>
      </c>
      <c r="N203" s="97">
        <v>0</v>
      </c>
      <c r="O203" s="97">
        <f t="shared" si="36"/>
        <v>0</v>
      </c>
    </row>
    <row r="204" spans="1:17" hidden="1" x14ac:dyDescent="0.2">
      <c r="B204" s="105" t="s">
        <v>171</v>
      </c>
      <c r="C204" s="97">
        <v>0</v>
      </c>
      <c r="D204" s="97">
        <v>0</v>
      </c>
      <c r="E204" s="97">
        <v>0</v>
      </c>
      <c r="F204" s="97">
        <v>0</v>
      </c>
      <c r="G204" s="97">
        <v>0</v>
      </c>
      <c r="H204" s="97">
        <v>0</v>
      </c>
      <c r="I204" s="97">
        <v>0</v>
      </c>
      <c r="J204" s="97">
        <v>0</v>
      </c>
      <c r="K204" s="97">
        <v>0</v>
      </c>
      <c r="L204" s="97">
        <v>0</v>
      </c>
      <c r="M204" s="97">
        <v>0</v>
      </c>
      <c r="N204" s="97">
        <v>0</v>
      </c>
      <c r="O204" s="97">
        <f t="shared" si="36"/>
        <v>0</v>
      </c>
    </row>
    <row r="205" spans="1:17" hidden="1" x14ac:dyDescent="0.2">
      <c r="B205" s="90" t="s">
        <v>172</v>
      </c>
      <c r="C205" s="97">
        <v>0</v>
      </c>
      <c r="D205" s="97">
        <v>0</v>
      </c>
      <c r="E205" s="97">
        <v>0</v>
      </c>
      <c r="F205" s="97">
        <v>0</v>
      </c>
      <c r="G205" s="97">
        <v>0</v>
      </c>
      <c r="H205" s="97">
        <v>0</v>
      </c>
      <c r="I205" s="97">
        <v>0</v>
      </c>
      <c r="J205" s="97">
        <v>0</v>
      </c>
      <c r="K205" s="97">
        <v>0</v>
      </c>
      <c r="L205" s="97">
        <v>0</v>
      </c>
      <c r="M205" s="97">
        <v>0</v>
      </c>
      <c r="N205" s="97">
        <v>0</v>
      </c>
      <c r="O205" s="97">
        <f t="shared" si="36"/>
        <v>0</v>
      </c>
    </row>
    <row r="206" spans="1:17" x14ac:dyDescent="0.2">
      <c r="B206" s="90" t="s">
        <v>173</v>
      </c>
      <c r="C206" s="97">
        <v>1.64</v>
      </c>
      <c r="D206" s="97">
        <v>1.552</v>
      </c>
      <c r="E206" s="97">
        <v>0.1</v>
      </c>
      <c r="F206" s="97">
        <v>0</v>
      </c>
      <c r="G206" s="97">
        <v>0</v>
      </c>
      <c r="H206" s="97">
        <v>0</v>
      </c>
      <c r="I206" s="97">
        <v>0.152</v>
      </c>
      <c r="J206" s="97">
        <v>0</v>
      </c>
      <c r="K206" s="97">
        <v>0</v>
      </c>
      <c r="L206" s="97">
        <v>0</v>
      </c>
      <c r="M206" s="97">
        <v>0</v>
      </c>
      <c r="N206" s="97">
        <v>0</v>
      </c>
      <c r="O206" s="97">
        <f t="shared" si="36"/>
        <v>3.4440000000000004</v>
      </c>
    </row>
    <row r="207" spans="1:17" x14ac:dyDescent="0.2">
      <c r="C207" s="97"/>
      <c r="D207" s="97"/>
      <c r="E207" s="97"/>
      <c r="F207" s="97"/>
      <c r="G207" s="97"/>
      <c r="H207" s="97"/>
      <c r="I207" s="97"/>
      <c r="J207" s="97"/>
      <c r="K207" s="97"/>
      <c r="L207" s="97"/>
      <c r="M207" s="97"/>
      <c r="N207" s="97"/>
      <c r="O207" s="97"/>
    </row>
    <row r="208" spans="1:17" s="95" customFormat="1" ht="15" x14ac:dyDescent="0.25">
      <c r="A208" s="94" t="s">
        <v>669</v>
      </c>
      <c r="C208" s="96">
        <f t="shared" ref="C208:P208" si="37">SUM(C209:C216)</f>
        <v>840.13000000000011</v>
      </c>
      <c r="D208" s="96">
        <f t="shared" si="37"/>
        <v>702.14699999999993</v>
      </c>
      <c r="E208" s="96">
        <f t="shared" si="37"/>
        <v>333.63</v>
      </c>
      <c r="F208" s="96">
        <f t="shared" si="37"/>
        <v>53.78</v>
      </c>
      <c r="G208" s="96">
        <f t="shared" si="37"/>
        <v>0</v>
      </c>
      <c r="H208" s="96">
        <f t="shared" si="37"/>
        <v>57.53</v>
      </c>
      <c r="I208" s="96">
        <f t="shared" si="37"/>
        <v>924.2299999999999</v>
      </c>
      <c r="J208" s="96">
        <f t="shared" si="37"/>
        <v>243.99</v>
      </c>
      <c r="K208" s="96">
        <f t="shared" si="37"/>
        <v>420.25</v>
      </c>
      <c r="L208" s="96">
        <f t="shared" si="37"/>
        <v>251.29999999999998</v>
      </c>
      <c r="M208" s="96">
        <f t="shared" si="37"/>
        <v>159.76</v>
      </c>
      <c r="N208" s="96">
        <f t="shared" si="37"/>
        <v>305.10000000000002</v>
      </c>
      <c r="O208" s="96">
        <f t="shared" si="37"/>
        <v>4291.8469999999998</v>
      </c>
      <c r="P208" s="96">
        <f t="shared" si="37"/>
        <v>0</v>
      </c>
      <c r="Q208" s="96"/>
    </row>
    <row r="209" spans="1:17" x14ac:dyDescent="0.2">
      <c r="B209" s="90" t="s">
        <v>175</v>
      </c>
      <c r="C209" s="97">
        <v>154.43</v>
      </c>
      <c r="D209" s="97">
        <v>27.89</v>
      </c>
      <c r="E209" s="97">
        <v>4.1500000000000004</v>
      </c>
      <c r="F209" s="97">
        <v>2.86</v>
      </c>
      <c r="G209" s="97">
        <v>0</v>
      </c>
      <c r="H209" s="97">
        <v>4.4800000000000004</v>
      </c>
      <c r="I209" s="97">
        <v>33.005000000000003</v>
      </c>
      <c r="J209" s="97">
        <v>16.43</v>
      </c>
      <c r="K209" s="97">
        <v>18.260000000000002</v>
      </c>
      <c r="L209" s="97">
        <v>5.84</v>
      </c>
      <c r="M209" s="97">
        <v>1.81</v>
      </c>
      <c r="N209" s="97">
        <v>19.670000000000002</v>
      </c>
      <c r="O209" s="97">
        <f>SUM(C209:N209)</f>
        <v>288.82499999999999</v>
      </c>
    </row>
    <row r="210" spans="1:17" x14ac:dyDescent="0.2">
      <c r="B210" s="90" t="s">
        <v>176</v>
      </c>
      <c r="C210" s="97">
        <v>6.96</v>
      </c>
      <c r="D210" s="97">
        <v>22.108000000000001</v>
      </c>
      <c r="E210" s="97">
        <v>2.08</v>
      </c>
      <c r="F210" s="97">
        <v>0</v>
      </c>
      <c r="G210" s="97">
        <v>0</v>
      </c>
      <c r="H210" s="97">
        <v>0</v>
      </c>
      <c r="I210" s="97">
        <v>9.3079999999999998</v>
      </c>
      <c r="J210" s="97">
        <v>0</v>
      </c>
      <c r="K210" s="97">
        <v>1.86</v>
      </c>
      <c r="L210" s="97">
        <v>0</v>
      </c>
      <c r="M210" s="97">
        <v>0</v>
      </c>
      <c r="N210" s="97">
        <v>0</v>
      </c>
      <c r="O210" s="97">
        <f t="shared" ref="O210:O216" si="38">SUM(C210:N210)</f>
        <v>42.316000000000003</v>
      </c>
    </row>
    <row r="211" spans="1:17" x14ac:dyDescent="0.2">
      <c r="B211" s="90" t="s">
        <v>177</v>
      </c>
      <c r="C211" s="97">
        <v>51.82</v>
      </c>
      <c r="D211" s="97">
        <v>65.257999999999996</v>
      </c>
      <c r="E211" s="97">
        <v>29.08</v>
      </c>
      <c r="F211" s="97">
        <v>2.2799999999999998</v>
      </c>
      <c r="G211" s="97">
        <v>0</v>
      </c>
      <c r="H211" s="97">
        <v>1.01</v>
      </c>
      <c r="I211" s="97">
        <v>59.655000000000001</v>
      </c>
      <c r="J211" s="97">
        <v>11.9</v>
      </c>
      <c r="K211" s="97">
        <v>23.74</v>
      </c>
      <c r="L211" s="97">
        <v>22</v>
      </c>
      <c r="M211" s="97">
        <v>14.67</v>
      </c>
      <c r="N211" s="97">
        <v>25.55</v>
      </c>
      <c r="O211" s="97">
        <f t="shared" si="38"/>
        <v>306.96300000000008</v>
      </c>
    </row>
    <row r="212" spans="1:17" x14ac:dyDescent="0.2">
      <c r="B212" s="90" t="s">
        <v>178</v>
      </c>
      <c r="C212" s="97">
        <v>592.77</v>
      </c>
      <c r="D212" s="97">
        <v>531.94100000000003</v>
      </c>
      <c r="E212" s="97">
        <v>275.55</v>
      </c>
      <c r="F212" s="97">
        <v>45.88</v>
      </c>
      <c r="G212" s="97">
        <v>0</v>
      </c>
      <c r="H212" s="97">
        <v>49.38</v>
      </c>
      <c r="I212" s="97">
        <v>764.22699999999998</v>
      </c>
      <c r="J212" s="97">
        <v>208.48</v>
      </c>
      <c r="K212" s="97">
        <v>351.65</v>
      </c>
      <c r="L212" s="97">
        <v>201.92</v>
      </c>
      <c r="M212" s="97">
        <v>133.22</v>
      </c>
      <c r="N212" s="97">
        <v>243.22</v>
      </c>
      <c r="O212" s="97">
        <f t="shared" si="38"/>
        <v>3398.2379999999998</v>
      </c>
    </row>
    <row r="213" spans="1:17" x14ac:dyDescent="0.2">
      <c r="B213" s="90" t="s">
        <v>179</v>
      </c>
      <c r="C213" s="97">
        <v>0</v>
      </c>
      <c r="D213" s="97">
        <v>0</v>
      </c>
      <c r="E213" s="97">
        <v>0</v>
      </c>
      <c r="F213" s="97">
        <v>0</v>
      </c>
      <c r="G213" s="97">
        <v>0</v>
      </c>
      <c r="H213" s="97">
        <v>0</v>
      </c>
      <c r="I213" s="97">
        <v>0</v>
      </c>
      <c r="J213" s="97">
        <v>0</v>
      </c>
      <c r="K213" s="97">
        <v>0</v>
      </c>
      <c r="L213" s="97">
        <v>0</v>
      </c>
      <c r="M213" s="97">
        <v>0</v>
      </c>
      <c r="N213" s="97">
        <v>0</v>
      </c>
      <c r="O213" s="97">
        <f t="shared" si="38"/>
        <v>0</v>
      </c>
    </row>
    <row r="214" spans="1:17" x14ac:dyDescent="0.2">
      <c r="B214" s="90" t="s">
        <v>180</v>
      </c>
      <c r="C214" s="97">
        <v>34.07</v>
      </c>
      <c r="D214" s="97">
        <v>54.94</v>
      </c>
      <c r="E214" s="97">
        <v>22.74</v>
      </c>
      <c r="F214" s="97">
        <v>2.76</v>
      </c>
      <c r="G214" s="97">
        <v>0</v>
      </c>
      <c r="H214" s="97">
        <v>2.66</v>
      </c>
      <c r="I214" s="97">
        <v>58.034999999999997</v>
      </c>
      <c r="J214" s="97">
        <v>7.18</v>
      </c>
      <c r="K214" s="97">
        <v>24.74</v>
      </c>
      <c r="L214" s="97">
        <v>21.54</v>
      </c>
      <c r="M214" s="97">
        <v>10.06</v>
      </c>
      <c r="N214" s="97">
        <v>16.66</v>
      </c>
      <c r="O214" s="97">
        <f t="shared" si="38"/>
        <v>255.38499999999999</v>
      </c>
    </row>
    <row r="215" spans="1:17" x14ac:dyDescent="0.2">
      <c r="B215" s="90" t="s">
        <v>181</v>
      </c>
      <c r="C215" s="97">
        <v>0.08</v>
      </c>
      <c r="D215" s="97">
        <v>0.01</v>
      </c>
      <c r="E215" s="97">
        <v>0.03</v>
      </c>
      <c r="F215" s="97">
        <v>0</v>
      </c>
      <c r="G215" s="97">
        <v>0</v>
      </c>
      <c r="H215" s="97">
        <v>0</v>
      </c>
      <c r="I215" s="97">
        <v>0</v>
      </c>
      <c r="J215" s="97">
        <v>0</v>
      </c>
      <c r="K215" s="97">
        <v>0</v>
      </c>
      <c r="L215" s="97">
        <v>0</v>
      </c>
      <c r="M215" s="97">
        <v>0</v>
      </c>
      <c r="N215" s="97">
        <v>0</v>
      </c>
      <c r="O215" s="97">
        <f t="shared" si="38"/>
        <v>0.12</v>
      </c>
    </row>
    <row r="216" spans="1:17" hidden="1" x14ac:dyDescent="0.2">
      <c r="B216" s="90" t="s">
        <v>690</v>
      </c>
      <c r="C216" s="97">
        <v>0</v>
      </c>
      <c r="D216" s="97">
        <v>0</v>
      </c>
      <c r="E216" s="97">
        <v>0</v>
      </c>
      <c r="F216" s="97">
        <v>0</v>
      </c>
      <c r="G216" s="97">
        <v>0</v>
      </c>
      <c r="H216" s="97">
        <v>0</v>
      </c>
      <c r="I216" s="97">
        <v>0</v>
      </c>
      <c r="J216" s="97">
        <v>0</v>
      </c>
      <c r="K216" s="97">
        <v>0</v>
      </c>
      <c r="L216" s="97">
        <v>0</v>
      </c>
      <c r="M216" s="97">
        <v>0</v>
      </c>
      <c r="N216" s="97">
        <v>0</v>
      </c>
      <c r="O216" s="97">
        <f t="shared" si="38"/>
        <v>0</v>
      </c>
    </row>
    <row r="217" spans="1:17" x14ac:dyDescent="0.2">
      <c r="C217" s="97"/>
      <c r="D217" s="97"/>
      <c r="E217" s="97"/>
      <c r="F217" s="97"/>
      <c r="G217" s="97"/>
      <c r="H217" s="97"/>
      <c r="I217" s="97"/>
      <c r="J217" s="97"/>
      <c r="K217" s="97"/>
      <c r="L217" s="97"/>
      <c r="M217" s="97"/>
      <c r="N217" s="97"/>
      <c r="O217" s="97"/>
    </row>
    <row r="218" spans="1:17" s="95" customFormat="1" ht="15" x14ac:dyDescent="0.25">
      <c r="A218" s="94" t="s">
        <v>182</v>
      </c>
      <c r="C218" s="96">
        <f t="shared" ref="C218:P218" si="39">SUM(C219:C269)</f>
        <v>131.47999999999999</v>
      </c>
      <c r="D218" s="96">
        <f t="shared" si="39"/>
        <v>95.855000000000004</v>
      </c>
      <c r="E218" s="96">
        <f t="shared" si="39"/>
        <v>27.349999999999998</v>
      </c>
      <c r="F218" s="96">
        <f t="shared" si="39"/>
        <v>1.8300000000000003</v>
      </c>
      <c r="G218" s="96">
        <f t="shared" si="39"/>
        <v>0</v>
      </c>
      <c r="H218" s="96">
        <f t="shared" si="39"/>
        <v>3.7900000000000005</v>
      </c>
      <c r="I218" s="96">
        <f t="shared" si="39"/>
        <v>95.58</v>
      </c>
      <c r="J218" s="96">
        <f t="shared" si="39"/>
        <v>20.66</v>
      </c>
      <c r="K218" s="96">
        <f t="shared" si="39"/>
        <v>29.939999999999994</v>
      </c>
      <c r="L218" s="96">
        <f t="shared" si="39"/>
        <v>23.69</v>
      </c>
      <c r="M218" s="96">
        <f t="shared" si="39"/>
        <v>11.18</v>
      </c>
      <c r="N218" s="96">
        <f t="shared" si="39"/>
        <v>47.073999999999998</v>
      </c>
      <c r="O218" s="96">
        <f t="shared" si="39"/>
        <v>488.42899999999997</v>
      </c>
      <c r="P218" s="96">
        <f t="shared" si="39"/>
        <v>0</v>
      </c>
      <c r="Q218" s="96"/>
    </row>
    <row r="219" spans="1:17" x14ac:dyDescent="0.2">
      <c r="B219" s="90" t="s">
        <v>183</v>
      </c>
      <c r="C219" s="97">
        <v>0.19</v>
      </c>
      <c r="D219" s="97">
        <v>0</v>
      </c>
      <c r="E219" s="97">
        <v>0</v>
      </c>
      <c r="F219" s="97">
        <v>0</v>
      </c>
      <c r="G219" s="97">
        <v>0</v>
      </c>
      <c r="H219" s="97">
        <v>0</v>
      </c>
      <c r="I219" s="97">
        <v>1.1359999999999999</v>
      </c>
      <c r="J219" s="97">
        <v>0</v>
      </c>
      <c r="K219" s="97">
        <v>0</v>
      </c>
      <c r="L219" s="97">
        <v>0</v>
      </c>
      <c r="M219" s="97">
        <v>0</v>
      </c>
      <c r="N219" s="97">
        <v>0</v>
      </c>
      <c r="O219" s="97">
        <f>SUM(C219:N219)</f>
        <v>1.3259999999999998</v>
      </c>
    </row>
    <row r="220" spans="1:17" x14ac:dyDescent="0.2">
      <c r="B220" s="90" t="s">
        <v>704</v>
      </c>
      <c r="C220" s="97">
        <v>0.01</v>
      </c>
      <c r="D220" s="97">
        <v>3.9420000000000002</v>
      </c>
      <c r="E220" s="97">
        <v>0</v>
      </c>
      <c r="F220" s="97">
        <v>0.01</v>
      </c>
      <c r="G220" s="97">
        <v>0</v>
      </c>
      <c r="H220" s="97">
        <v>0</v>
      </c>
      <c r="I220" s="97">
        <v>0</v>
      </c>
      <c r="J220" s="97">
        <v>0</v>
      </c>
      <c r="K220" s="97">
        <v>0</v>
      </c>
      <c r="L220" s="97">
        <v>0</v>
      </c>
      <c r="M220" s="97">
        <v>0</v>
      </c>
      <c r="N220" s="97">
        <v>0</v>
      </c>
      <c r="O220" s="97">
        <f t="shared" ref="O220:O269" si="40">SUM(C220:N220)</f>
        <v>3.9619999999999997</v>
      </c>
    </row>
    <row r="221" spans="1:17" hidden="1" x14ac:dyDescent="0.2">
      <c r="B221" s="90" t="s">
        <v>184</v>
      </c>
      <c r="C221" s="97">
        <v>0</v>
      </c>
      <c r="D221" s="97">
        <v>0</v>
      </c>
      <c r="E221" s="97">
        <v>0</v>
      </c>
      <c r="F221" s="97">
        <v>0</v>
      </c>
      <c r="G221" s="97">
        <v>0</v>
      </c>
      <c r="H221" s="97">
        <v>0</v>
      </c>
      <c r="I221" s="97">
        <v>0</v>
      </c>
      <c r="J221" s="97">
        <v>0</v>
      </c>
      <c r="K221" s="97">
        <v>0</v>
      </c>
      <c r="L221" s="97">
        <v>0</v>
      </c>
      <c r="M221" s="97">
        <v>0</v>
      </c>
      <c r="N221" s="97">
        <v>0</v>
      </c>
      <c r="O221" s="97">
        <f t="shared" si="40"/>
        <v>0</v>
      </c>
    </row>
    <row r="222" spans="1:17" x14ac:dyDescent="0.2">
      <c r="B222" s="90" t="s">
        <v>705</v>
      </c>
      <c r="C222" s="97">
        <v>0</v>
      </c>
      <c r="D222" s="97">
        <v>2.0339999999999998</v>
      </c>
      <c r="E222" s="97">
        <v>0</v>
      </c>
      <c r="F222" s="97">
        <v>0</v>
      </c>
      <c r="G222" s="97">
        <v>0</v>
      </c>
      <c r="H222" s="97">
        <v>0</v>
      </c>
      <c r="I222" s="97">
        <v>0</v>
      </c>
      <c r="J222" s="97">
        <v>0</v>
      </c>
      <c r="K222" s="97">
        <v>0</v>
      </c>
      <c r="L222" s="97">
        <v>0</v>
      </c>
      <c r="M222" s="97">
        <v>0</v>
      </c>
      <c r="N222" s="97">
        <v>0</v>
      </c>
      <c r="O222" s="97">
        <f t="shared" si="40"/>
        <v>2.0339999999999998</v>
      </c>
    </row>
    <row r="223" spans="1:17" x14ac:dyDescent="0.2">
      <c r="B223" s="90" t="s">
        <v>185</v>
      </c>
      <c r="C223" s="97">
        <v>0</v>
      </c>
      <c r="D223" s="97">
        <v>0.114</v>
      </c>
      <c r="E223" s="97">
        <v>0</v>
      </c>
      <c r="F223" s="97">
        <v>0</v>
      </c>
      <c r="G223" s="97">
        <v>0</v>
      </c>
      <c r="H223" s="97">
        <v>0</v>
      </c>
      <c r="I223" s="97">
        <v>5.0000000000000001E-3</v>
      </c>
      <c r="J223" s="97">
        <v>0</v>
      </c>
      <c r="K223" s="97">
        <v>0</v>
      </c>
      <c r="L223" s="97">
        <v>0</v>
      </c>
      <c r="M223" s="97">
        <v>0</v>
      </c>
      <c r="N223" s="97">
        <v>0</v>
      </c>
      <c r="O223" s="97">
        <f t="shared" si="40"/>
        <v>0.11900000000000001</v>
      </c>
    </row>
    <row r="224" spans="1:17" x14ac:dyDescent="0.2">
      <c r="B224" s="90" t="s">
        <v>186</v>
      </c>
      <c r="C224" s="97">
        <v>0.36</v>
      </c>
      <c r="D224" s="97">
        <v>0</v>
      </c>
      <c r="E224" s="97">
        <v>0</v>
      </c>
      <c r="F224" s="97">
        <v>0</v>
      </c>
      <c r="G224" s="97">
        <v>0</v>
      </c>
      <c r="H224" s="97">
        <v>0</v>
      </c>
      <c r="I224" s="97">
        <v>0</v>
      </c>
      <c r="J224" s="97">
        <v>0</v>
      </c>
      <c r="K224" s="97">
        <v>0</v>
      </c>
      <c r="L224" s="97">
        <v>0</v>
      </c>
      <c r="M224" s="97">
        <v>0</v>
      </c>
      <c r="N224" s="97">
        <v>0</v>
      </c>
      <c r="O224" s="97">
        <f t="shared" si="40"/>
        <v>0.36</v>
      </c>
    </row>
    <row r="225" spans="2:15" x14ac:dyDescent="0.2">
      <c r="B225" s="90" t="s">
        <v>187</v>
      </c>
      <c r="C225" s="97">
        <v>25.64</v>
      </c>
      <c r="D225" s="97">
        <v>41.893999999999998</v>
      </c>
      <c r="E225" s="97">
        <v>9.3699999999999992</v>
      </c>
      <c r="F225" s="97">
        <v>0</v>
      </c>
      <c r="G225" s="97">
        <v>0</v>
      </c>
      <c r="H225" s="97">
        <v>0</v>
      </c>
      <c r="I225" s="97">
        <v>36.831000000000003</v>
      </c>
      <c r="J225" s="97">
        <v>4.2699999999999996</v>
      </c>
      <c r="K225" s="97">
        <v>0</v>
      </c>
      <c r="L225" s="97">
        <v>0</v>
      </c>
      <c r="M225" s="97">
        <v>0</v>
      </c>
      <c r="N225" s="97">
        <v>14</v>
      </c>
      <c r="O225" s="97">
        <f t="shared" si="40"/>
        <v>132.005</v>
      </c>
    </row>
    <row r="226" spans="2:15" x14ac:dyDescent="0.2">
      <c r="B226" s="90" t="s">
        <v>188</v>
      </c>
      <c r="C226" s="97">
        <v>0</v>
      </c>
      <c r="D226" s="97">
        <v>3.444</v>
      </c>
      <c r="E226" s="97">
        <v>3.02</v>
      </c>
      <c r="F226" s="97">
        <v>0.52</v>
      </c>
      <c r="G226" s="97">
        <v>0</v>
      </c>
      <c r="H226" s="97">
        <v>0.59</v>
      </c>
      <c r="I226" s="97">
        <v>4.3600000000000003</v>
      </c>
      <c r="J226" s="97">
        <v>1.57</v>
      </c>
      <c r="K226" s="97">
        <v>2.66</v>
      </c>
      <c r="L226" s="97">
        <v>3.39</v>
      </c>
      <c r="M226" s="97">
        <v>1.17</v>
      </c>
      <c r="N226" s="97">
        <v>6.83</v>
      </c>
      <c r="O226" s="97">
        <f t="shared" si="40"/>
        <v>27.554000000000002</v>
      </c>
    </row>
    <row r="227" spans="2:15" x14ac:dyDescent="0.2">
      <c r="B227" s="90" t="s">
        <v>189</v>
      </c>
      <c r="C227" s="97">
        <v>0.21</v>
      </c>
      <c r="D227" s="97">
        <v>0</v>
      </c>
      <c r="E227" s="97">
        <v>0</v>
      </c>
      <c r="F227" s="97">
        <v>0</v>
      </c>
      <c r="G227" s="97">
        <v>0</v>
      </c>
      <c r="H227" s="97">
        <v>0</v>
      </c>
      <c r="I227" s="97">
        <v>0</v>
      </c>
      <c r="J227" s="97">
        <v>0</v>
      </c>
      <c r="K227" s="97">
        <v>0</v>
      </c>
      <c r="L227" s="97">
        <v>0</v>
      </c>
      <c r="M227" s="97">
        <v>0</v>
      </c>
      <c r="N227" s="97">
        <v>0</v>
      </c>
      <c r="O227" s="97">
        <f t="shared" si="40"/>
        <v>0.21</v>
      </c>
    </row>
    <row r="228" spans="2:15" x14ac:dyDescent="0.2">
      <c r="B228" s="90" t="s">
        <v>190</v>
      </c>
      <c r="C228" s="97">
        <v>39.42</v>
      </c>
      <c r="D228" s="97">
        <v>7.3650000000000002</v>
      </c>
      <c r="E228" s="97">
        <v>3.45</v>
      </c>
      <c r="F228" s="97">
        <v>0.34</v>
      </c>
      <c r="G228" s="97">
        <v>0</v>
      </c>
      <c r="H228" s="97">
        <v>0.36</v>
      </c>
      <c r="I228" s="97">
        <v>12.438000000000001</v>
      </c>
      <c r="J228" s="97">
        <v>1.97</v>
      </c>
      <c r="K228" s="97">
        <v>1.72</v>
      </c>
      <c r="L228" s="97">
        <v>1.3</v>
      </c>
      <c r="M228" s="97">
        <v>1.23</v>
      </c>
      <c r="N228" s="97">
        <v>1.3140000000000001</v>
      </c>
      <c r="O228" s="97">
        <f t="shared" si="40"/>
        <v>70.907000000000011</v>
      </c>
    </row>
    <row r="229" spans="2:15" hidden="1" x14ac:dyDescent="0.2">
      <c r="B229" s="90" t="s">
        <v>191</v>
      </c>
      <c r="C229" s="97">
        <v>0</v>
      </c>
      <c r="D229" s="97">
        <v>0</v>
      </c>
      <c r="E229" s="97">
        <v>0</v>
      </c>
      <c r="F229" s="97">
        <v>0</v>
      </c>
      <c r="G229" s="97">
        <v>0</v>
      </c>
      <c r="H229" s="97">
        <v>0</v>
      </c>
      <c r="I229" s="97">
        <v>0</v>
      </c>
      <c r="J229" s="97">
        <v>0</v>
      </c>
      <c r="K229" s="97">
        <v>0</v>
      </c>
      <c r="L229" s="97">
        <v>0</v>
      </c>
      <c r="M229" s="97">
        <v>0</v>
      </c>
      <c r="N229" s="97">
        <v>0</v>
      </c>
      <c r="O229" s="97">
        <f t="shared" si="40"/>
        <v>0</v>
      </c>
    </row>
    <row r="230" spans="2:15" hidden="1" x14ac:dyDescent="0.2">
      <c r="B230" s="90" t="s">
        <v>192</v>
      </c>
      <c r="C230" s="97">
        <v>0</v>
      </c>
      <c r="D230" s="97">
        <v>0</v>
      </c>
      <c r="E230" s="97">
        <v>0</v>
      </c>
      <c r="F230" s="97">
        <v>0</v>
      </c>
      <c r="G230" s="97">
        <v>0</v>
      </c>
      <c r="H230" s="97">
        <v>0</v>
      </c>
      <c r="I230" s="97">
        <v>0</v>
      </c>
      <c r="J230" s="97">
        <v>0</v>
      </c>
      <c r="K230" s="97">
        <v>0</v>
      </c>
      <c r="L230" s="97">
        <v>0</v>
      </c>
      <c r="M230" s="97">
        <v>0</v>
      </c>
      <c r="N230" s="97">
        <v>0</v>
      </c>
      <c r="O230" s="97">
        <f t="shared" si="40"/>
        <v>0</v>
      </c>
    </row>
    <row r="231" spans="2:15" hidden="1" x14ac:dyDescent="0.2">
      <c r="B231" s="90" t="s">
        <v>670</v>
      </c>
      <c r="C231" s="97">
        <v>0</v>
      </c>
      <c r="D231" s="97">
        <v>0</v>
      </c>
      <c r="E231" s="97">
        <v>0</v>
      </c>
      <c r="F231" s="97">
        <v>0</v>
      </c>
      <c r="G231" s="97">
        <v>0</v>
      </c>
      <c r="H231" s="97">
        <v>0</v>
      </c>
      <c r="I231" s="97">
        <v>0</v>
      </c>
      <c r="J231" s="97">
        <v>0</v>
      </c>
      <c r="K231" s="97">
        <v>0</v>
      </c>
      <c r="L231" s="97">
        <v>0</v>
      </c>
      <c r="M231" s="97">
        <v>0</v>
      </c>
      <c r="N231" s="97">
        <v>0</v>
      </c>
      <c r="O231" s="97">
        <f t="shared" si="40"/>
        <v>0</v>
      </c>
    </row>
    <row r="232" spans="2:15" x14ac:dyDescent="0.2">
      <c r="B232" s="90" t="s">
        <v>706</v>
      </c>
      <c r="C232" s="97">
        <v>0</v>
      </c>
      <c r="D232" s="97">
        <v>0</v>
      </c>
      <c r="E232" s="97">
        <v>0</v>
      </c>
      <c r="F232" s="97">
        <v>0.02</v>
      </c>
      <c r="G232" s="97">
        <v>0</v>
      </c>
      <c r="H232" s="97">
        <v>0</v>
      </c>
      <c r="I232" s="97">
        <v>4.2990000000000004</v>
      </c>
      <c r="J232" s="97">
        <v>0.13</v>
      </c>
      <c r="K232" s="97">
        <v>2.9</v>
      </c>
      <c r="L232" s="97">
        <v>0.24</v>
      </c>
      <c r="M232" s="97">
        <v>0</v>
      </c>
      <c r="N232" s="97">
        <v>2.73</v>
      </c>
      <c r="O232" s="97">
        <f t="shared" si="40"/>
        <v>10.319000000000001</v>
      </c>
    </row>
    <row r="233" spans="2:15" x14ac:dyDescent="0.2">
      <c r="B233" s="90" t="s">
        <v>707</v>
      </c>
      <c r="C233" s="97">
        <v>0</v>
      </c>
      <c r="D233" s="97">
        <v>0</v>
      </c>
      <c r="E233" s="97">
        <v>0</v>
      </c>
      <c r="F233" s="97">
        <v>0</v>
      </c>
      <c r="G233" s="97">
        <v>0</v>
      </c>
      <c r="H233" s="97">
        <v>0</v>
      </c>
      <c r="I233" s="97">
        <v>0</v>
      </c>
      <c r="J233" s="97">
        <v>0</v>
      </c>
      <c r="K233" s="97">
        <v>0</v>
      </c>
      <c r="L233" s="97">
        <v>0</v>
      </c>
      <c r="M233" s="97">
        <v>0</v>
      </c>
      <c r="N233" s="97">
        <v>0.02</v>
      </c>
      <c r="O233" s="97">
        <f t="shared" si="40"/>
        <v>0.02</v>
      </c>
    </row>
    <row r="234" spans="2:15" hidden="1" x14ac:dyDescent="0.2">
      <c r="B234" s="90" t="s">
        <v>193</v>
      </c>
      <c r="C234" s="97">
        <v>0</v>
      </c>
      <c r="D234" s="97">
        <v>0</v>
      </c>
      <c r="E234" s="97">
        <v>0</v>
      </c>
      <c r="F234" s="97">
        <v>0</v>
      </c>
      <c r="G234" s="97">
        <v>0</v>
      </c>
      <c r="H234" s="97">
        <v>0</v>
      </c>
      <c r="I234" s="97">
        <v>0</v>
      </c>
      <c r="J234" s="97">
        <v>0</v>
      </c>
      <c r="K234" s="97">
        <v>0</v>
      </c>
      <c r="L234" s="97">
        <v>0</v>
      </c>
      <c r="M234" s="97">
        <v>0</v>
      </c>
      <c r="N234" s="97">
        <v>0</v>
      </c>
      <c r="O234" s="97">
        <f t="shared" si="40"/>
        <v>0</v>
      </c>
    </row>
    <row r="235" spans="2:15" x14ac:dyDescent="0.2">
      <c r="B235" s="90" t="s">
        <v>194</v>
      </c>
      <c r="C235" s="97">
        <v>0.02</v>
      </c>
      <c r="D235" s="97">
        <v>0</v>
      </c>
      <c r="E235" s="97">
        <v>0</v>
      </c>
      <c r="F235" s="97">
        <v>0</v>
      </c>
      <c r="G235" s="97">
        <v>0</v>
      </c>
      <c r="H235" s="97">
        <v>0</v>
      </c>
      <c r="I235" s="97">
        <v>0</v>
      </c>
      <c r="J235" s="97">
        <v>0</v>
      </c>
      <c r="K235" s="97">
        <v>0</v>
      </c>
      <c r="L235" s="97">
        <v>0</v>
      </c>
      <c r="M235" s="97">
        <v>0</v>
      </c>
      <c r="N235" s="97">
        <v>0</v>
      </c>
      <c r="O235" s="97">
        <f t="shared" si="40"/>
        <v>0.02</v>
      </c>
    </row>
    <row r="236" spans="2:15" x14ac:dyDescent="0.2">
      <c r="B236" s="90" t="s">
        <v>195</v>
      </c>
      <c r="C236" s="97">
        <v>1.1000000000000001</v>
      </c>
      <c r="D236" s="97">
        <v>0.114</v>
      </c>
      <c r="E236" s="97">
        <v>0.09</v>
      </c>
      <c r="F236" s="97">
        <v>0</v>
      </c>
      <c r="G236" s="97">
        <v>0</v>
      </c>
      <c r="H236" s="97">
        <v>0</v>
      </c>
      <c r="I236" s="97">
        <v>0.28899999999999998</v>
      </c>
      <c r="J236" s="97">
        <v>0</v>
      </c>
      <c r="K236" s="97">
        <v>0</v>
      </c>
      <c r="L236" s="97">
        <v>0</v>
      </c>
      <c r="M236" s="97">
        <v>0</v>
      </c>
      <c r="N236" s="97">
        <v>0</v>
      </c>
      <c r="O236" s="97">
        <f t="shared" si="40"/>
        <v>1.5930000000000002</v>
      </c>
    </row>
    <row r="237" spans="2:15" hidden="1" x14ac:dyDescent="0.2">
      <c r="B237" s="90" t="s">
        <v>691</v>
      </c>
      <c r="C237" s="97">
        <v>0</v>
      </c>
      <c r="D237" s="97">
        <v>0</v>
      </c>
      <c r="E237" s="97">
        <v>0</v>
      </c>
      <c r="F237" s="97">
        <v>0</v>
      </c>
      <c r="G237" s="97">
        <v>0</v>
      </c>
      <c r="H237" s="97">
        <v>0</v>
      </c>
      <c r="I237" s="97">
        <v>0</v>
      </c>
      <c r="J237" s="97">
        <v>0</v>
      </c>
      <c r="K237" s="97">
        <v>0</v>
      </c>
      <c r="L237" s="97">
        <v>0</v>
      </c>
      <c r="M237" s="97">
        <v>0</v>
      </c>
      <c r="N237" s="97">
        <v>0</v>
      </c>
      <c r="O237" s="97">
        <f t="shared" si="40"/>
        <v>0</v>
      </c>
    </row>
    <row r="238" spans="2:15" x14ac:dyDescent="0.2">
      <c r="B238" s="90" t="s">
        <v>671</v>
      </c>
      <c r="C238" s="97">
        <v>0.94</v>
      </c>
      <c r="D238" s="97">
        <v>0</v>
      </c>
      <c r="E238" s="97">
        <v>0</v>
      </c>
      <c r="F238" s="97">
        <v>0</v>
      </c>
      <c r="G238" s="97">
        <v>0</v>
      </c>
      <c r="H238" s="97">
        <v>0</v>
      </c>
      <c r="I238" s="97">
        <v>0</v>
      </c>
      <c r="J238" s="97">
        <v>0</v>
      </c>
      <c r="K238" s="97">
        <v>0</v>
      </c>
      <c r="L238" s="97">
        <v>0.75</v>
      </c>
      <c r="M238" s="97">
        <v>0.65</v>
      </c>
      <c r="N238" s="97">
        <v>0</v>
      </c>
      <c r="O238" s="97">
        <f t="shared" si="40"/>
        <v>2.34</v>
      </c>
    </row>
    <row r="239" spans="2:15" hidden="1" x14ac:dyDescent="0.2">
      <c r="B239" s="90" t="s">
        <v>196</v>
      </c>
      <c r="C239" s="97">
        <v>0</v>
      </c>
      <c r="D239" s="97">
        <v>0</v>
      </c>
      <c r="E239" s="97">
        <v>0</v>
      </c>
      <c r="F239" s="97">
        <v>0</v>
      </c>
      <c r="G239" s="97">
        <v>0</v>
      </c>
      <c r="H239" s="97">
        <v>0</v>
      </c>
      <c r="I239" s="97">
        <v>0</v>
      </c>
      <c r="J239" s="97">
        <v>0</v>
      </c>
      <c r="K239" s="97">
        <v>0</v>
      </c>
      <c r="L239" s="97">
        <v>0</v>
      </c>
      <c r="M239" s="97">
        <v>0</v>
      </c>
      <c r="N239" s="97">
        <v>0</v>
      </c>
      <c r="O239" s="97">
        <f t="shared" si="40"/>
        <v>0</v>
      </c>
    </row>
    <row r="240" spans="2:15" x14ac:dyDescent="0.2">
      <c r="B240" s="90" t="s">
        <v>197</v>
      </c>
      <c r="C240" s="97">
        <v>0.02</v>
      </c>
      <c r="D240" s="97">
        <v>0.01</v>
      </c>
      <c r="E240" s="97">
        <v>0</v>
      </c>
      <c r="F240" s="97">
        <v>0</v>
      </c>
      <c r="G240" s="97">
        <v>0</v>
      </c>
      <c r="H240" s="97">
        <v>0</v>
      </c>
      <c r="I240" s="97">
        <v>1E-3</v>
      </c>
      <c r="J240" s="97">
        <v>0</v>
      </c>
      <c r="K240" s="97">
        <v>0</v>
      </c>
      <c r="L240" s="97">
        <v>0</v>
      </c>
      <c r="M240" s="97">
        <v>0.01</v>
      </c>
      <c r="N240" s="97">
        <v>0</v>
      </c>
      <c r="O240" s="97">
        <f t="shared" si="40"/>
        <v>4.1000000000000002E-2</v>
      </c>
    </row>
    <row r="241" spans="2:15" hidden="1" x14ac:dyDescent="0.2">
      <c r="B241" s="90" t="s">
        <v>198</v>
      </c>
      <c r="C241" s="97">
        <v>0</v>
      </c>
      <c r="D241" s="97">
        <v>0</v>
      </c>
      <c r="E241" s="97">
        <v>0</v>
      </c>
      <c r="F241" s="97">
        <v>0</v>
      </c>
      <c r="G241" s="97">
        <v>0</v>
      </c>
      <c r="H241" s="97">
        <v>0</v>
      </c>
      <c r="I241" s="97">
        <v>0</v>
      </c>
      <c r="J241" s="97">
        <v>0</v>
      </c>
      <c r="K241" s="97">
        <v>0</v>
      </c>
      <c r="L241" s="97">
        <v>0</v>
      </c>
      <c r="M241" s="97">
        <v>0</v>
      </c>
      <c r="N241" s="97">
        <v>0</v>
      </c>
      <c r="O241" s="97">
        <f t="shared" si="40"/>
        <v>0</v>
      </c>
    </row>
    <row r="242" spans="2:15" hidden="1" x14ac:dyDescent="0.2">
      <c r="B242" s="90" t="s">
        <v>672</v>
      </c>
      <c r="C242" s="97">
        <v>0</v>
      </c>
      <c r="D242" s="97">
        <v>0</v>
      </c>
      <c r="E242" s="97">
        <v>0</v>
      </c>
      <c r="F242" s="97">
        <v>0</v>
      </c>
      <c r="G242" s="97">
        <v>0</v>
      </c>
      <c r="H242" s="97">
        <v>0</v>
      </c>
      <c r="I242" s="97">
        <v>0</v>
      </c>
      <c r="J242" s="97">
        <v>0</v>
      </c>
      <c r="K242" s="97">
        <v>0</v>
      </c>
      <c r="L242" s="97">
        <v>0</v>
      </c>
      <c r="M242" s="97">
        <v>0</v>
      </c>
      <c r="N242" s="97">
        <v>0</v>
      </c>
      <c r="O242" s="97">
        <f t="shared" si="40"/>
        <v>0</v>
      </c>
    </row>
    <row r="243" spans="2:15" x14ac:dyDescent="0.2">
      <c r="B243" s="90" t="s">
        <v>199</v>
      </c>
      <c r="C243" s="97">
        <v>6.15</v>
      </c>
      <c r="D243" s="97">
        <v>0.14199999999999999</v>
      </c>
      <c r="E243" s="97">
        <v>0.34</v>
      </c>
      <c r="F243" s="97">
        <v>0</v>
      </c>
      <c r="G243" s="97">
        <v>0</v>
      </c>
      <c r="H243" s="97">
        <v>0</v>
      </c>
      <c r="I243" s="97">
        <v>0.77200000000000002</v>
      </c>
      <c r="J243" s="97">
        <v>0</v>
      </c>
      <c r="K243" s="97">
        <v>0.01</v>
      </c>
      <c r="L243" s="97">
        <v>0</v>
      </c>
      <c r="M243" s="97">
        <v>0</v>
      </c>
      <c r="N243" s="97">
        <v>0</v>
      </c>
      <c r="O243" s="97">
        <f t="shared" si="40"/>
        <v>7.4140000000000006</v>
      </c>
    </row>
    <row r="244" spans="2:15" x14ac:dyDescent="0.2">
      <c r="B244" s="90" t="s">
        <v>200</v>
      </c>
      <c r="C244" s="97">
        <v>0.01</v>
      </c>
      <c r="D244" s="97">
        <v>0.01</v>
      </c>
      <c r="E244" s="97">
        <v>0.08</v>
      </c>
      <c r="F244" s="97">
        <v>0</v>
      </c>
      <c r="G244" s="97">
        <v>0</v>
      </c>
      <c r="H244" s="97">
        <v>0.05</v>
      </c>
      <c r="I244" s="97">
        <v>3.2000000000000001E-2</v>
      </c>
      <c r="J244" s="97">
        <v>0</v>
      </c>
      <c r="K244" s="97">
        <v>0.03</v>
      </c>
      <c r="L244" s="97">
        <v>1.21</v>
      </c>
      <c r="M244" s="97">
        <v>0</v>
      </c>
      <c r="N244" s="97">
        <v>0</v>
      </c>
      <c r="O244" s="97">
        <f t="shared" si="40"/>
        <v>1.4219999999999999</v>
      </c>
    </row>
    <row r="245" spans="2:15" hidden="1" x14ac:dyDescent="0.2">
      <c r="B245" s="90" t="s">
        <v>201</v>
      </c>
      <c r="C245" s="97">
        <v>0</v>
      </c>
      <c r="D245" s="97">
        <v>0</v>
      </c>
      <c r="E245" s="97">
        <v>0</v>
      </c>
      <c r="F245" s="97">
        <v>0</v>
      </c>
      <c r="G245" s="97">
        <v>0</v>
      </c>
      <c r="H245" s="97">
        <v>0</v>
      </c>
      <c r="I245" s="97">
        <v>0</v>
      </c>
      <c r="J245" s="97">
        <v>0</v>
      </c>
      <c r="K245" s="97">
        <v>0</v>
      </c>
      <c r="L245" s="97">
        <v>0</v>
      </c>
      <c r="M245" s="97">
        <v>0</v>
      </c>
      <c r="N245" s="97">
        <v>0</v>
      </c>
      <c r="O245" s="97">
        <f t="shared" si="40"/>
        <v>0</v>
      </c>
    </row>
    <row r="246" spans="2:15" hidden="1" x14ac:dyDescent="0.2">
      <c r="B246" s="90" t="s">
        <v>202</v>
      </c>
      <c r="C246" s="97">
        <v>0</v>
      </c>
      <c r="D246" s="97">
        <v>0</v>
      </c>
      <c r="E246" s="97">
        <v>0</v>
      </c>
      <c r="F246" s="97">
        <v>0</v>
      </c>
      <c r="G246" s="97">
        <v>0</v>
      </c>
      <c r="H246" s="97">
        <v>0</v>
      </c>
      <c r="I246" s="97">
        <v>0</v>
      </c>
      <c r="J246" s="97">
        <v>0</v>
      </c>
      <c r="K246" s="97">
        <v>0</v>
      </c>
      <c r="L246" s="97">
        <v>0</v>
      </c>
      <c r="M246" s="97">
        <v>0</v>
      </c>
      <c r="N246" s="97">
        <v>0</v>
      </c>
      <c r="O246" s="97">
        <f t="shared" si="40"/>
        <v>0</v>
      </c>
    </row>
    <row r="247" spans="2:15" hidden="1" x14ac:dyDescent="0.2">
      <c r="B247" s="90" t="s">
        <v>203</v>
      </c>
      <c r="C247" s="97">
        <v>0</v>
      </c>
      <c r="D247" s="97">
        <v>0</v>
      </c>
      <c r="E247" s="97">
        <v>0</v>
      </c>
      <c r="F247" s="97">
        <v>0</v>
      </c>
      <c r="G247" s="97">
        <v>0</v>
      </c>
      <c r="H247" s="97">
        <v>0</v>
      </c>
      <c r="I247" s="97">
        <v>0</v>
      </c>
      <c r="J247" s="97">
        <v>0</v>
      </c>
      <c r="K247" s="97">
        <v>0</v>
      </c>
      <c r="L247" s="97">
        <v>0</v>
      </c>
      <c r="M247" s="97">
        <v>0</v>
      </c>
      <c r="N247" s="97">
        <v>0</v>
      </c>
      <c r="O247" s="97">
        <f t="shared" si="40"/>
        <v>0</v>
      </c>
    </row>
    <row r="248" spans="2:15" hidden="1" x14ac:dyDescent="0.2">
      <c r="B248" s="90" t="s">
        <v>673</v>
      </c>
      <c r="C248" s="97">
        <v>0</v>
      </c>
      <c r="D248" s="97">
        <v>0</v>
      </c>
      <c r="E248" s="97">
        <v>0</v>
      </c>
      <c r="F248" s="97">
        <v>0</v>
      </c>
      <c r="G248" s="97">
        <v>0</v>
      </c>
      <c r="H248" s="97">
        <v>0</v>
      </c>
      <c r="I248" s="97">
        <v>0</v>
      </c>
      <c r="J248" s="97">
        <v>0</v>
      </c>
      <c r="K248" s="97">
        <v>0</v>
      </c>
      <c r="L248" s="97">
        <v>0</v>
      </c>
      <c r="M248" s="97">
        <v>0</v>
      </c>
      <c r="N248" s="97">
        <v>0</v>
      </c>
      <c r="O248" s="97">
        <f t="shared" si="40"/>
        <v>0</v>
      </c>
    </row>
    <row r="249" spans="2:15" x14ac:dyDescent="0.2">
      <c r="B249" s="90" t="s">
        <v>204</v>
      </c>
      <c r="C249" s="97">
        <v>0</v>
      </c>
      <c r="D249" s="97">
        <v>0</v>
      </c>
      <c r="E249" s="97">
        <v>0</v>
      </c>
      <c r="F249" s="97">
        <v>0</v>
      </c>
      <c r="G249" s="97">
        <v>0</v>
      </c>
      <c r="H249" s="97">
        <v>0</v>
      </c>
      <c r="I249" s="97">
        <v>0</v>
      </c>
      <c r="J249" s="97">
        <v>0</v>
      </c>
      <c r="K249" s="97">
        <v>0</v>
      </c>
      <c r="L249" s="97">
        <v>0.01</v>
      </c>
      <c r="M249" s="97">
        <v>0</v>
      </c>
      <c r="N249" s="97">
        <v>0</v>
      </c>
      <c r="O249" s="97">
        <f t="shared" si="40"/>
        <v>0.01</v>
      </c>
    </row>
    <row r="250" spans="2:15" hidden="1" x14ac:dyDescent="0.2">
      <c r="B250" s="90" t="s">
        <v>205</v>
      </c>
      <c r="C250" s="97">
        <v>0</v>
      </c>
      <c r="D250" s="97">
        <v>0</v>
      </c>
      <c r="E250" s="97">
        <v>0</v>
      </c>
      <c r="F250" s="97">
        <v>0</v>
      </c>
      <c r="G250" s="97">
        <v>0</v>
      </c>
      <c r="H250" s="97">
        <v>0</v>
      </c>
      <c r="I250" s="97">
        <v>0</v>
      </c>
      <c r="J250" s="97">
        <v>0</v>
      </c>
      <c r="K250" s="97">
        <v>0</v>
      </c>
      <c r="L250" s="97">
        <v>0</v>
      </c>
      <c r="M250" s="97">
        <v>0</v>
      </c>
      <c r="N250" s="97">
        <v>0</v>
      </c>
      <c r="O250" s="97">
        <f t="shared" si="40"/>
        <v>0</v>
      </c>
    </row>
    <row r="251" spans="2:15" hidden="1" x14ac:dyDescent="0.2">
      <c r="B251" s="90" t="s">
        <v>206</v>
      </c>
      <c r="C251" s="97">
        <v>0</v>
      </c>
      <c r="D251" s="97">
        <v>0</v>
      </c>
      <c r="E251" s="97">
        <v>0</v>
      </c>
      <c r="F251" s="97">
        <v>0</v>
      </c>
      <c r="G251" s="97">
        <v>0</v>
      </c>
      <c r="H251" s="97">
        <v>0</v>
      </c>
      <c r="I251" s="97">
        <v>0</v>
      </c>
      <c r="J251" s="97">
        <v>0</v>
      </c>
      <c r="K251" s="97">
        <v>0</v>
      </c>
      <c r="L251" s="97">
        <v>0</v>
      </c>
      <c r="M251" s="97">
        <v>0</v>
      </c>
      <c r="N251" s="97">
        <v>0</v>
      </c>
      <c r="O251" s="97">
        <f t="shared" si="40"/>
        <v>0</v>
      </c>
    </row>
    <row r="252" spans="2:15" hidden="1" x14ac:dyDescent="0.2">
      <c r="B252" s="90" t="s">
        <v>207</v>
      </c>
      <c r="C252" s="97">
        <v>0</v>
      </c>
      <c r="D252" s="97">
        <v>0</v>
      </c>
      <c r="E252" s="97">
        <v>0</v>
      </c>
      <c r="F252" s="97">
        <v>0</v>
      </c>
      <c r="G252" s="97">
        <v>0</v>
      </c>
      <c r="H252" s="97">
        <v>0</v>
      </c>
      <c r="I252" s="97">
        <v>0</v>
      </c>
      <c r="J252" s="97">
        <v>0</v>
      </c>
      <c r="K252" s="97">
        <v>0</v>
      </c>
      <c r="L252" s="97">
        <v>0</v>
      </c>
      <c r="M252" s="97">
        <v>0</v>
      </c>
      <c r="N252" s="97">
        <v>0</v>
      </c>
      <c r="O252" s="97">
        <f t="shared" si="40"/>
        <v>0</v>
      </c>
    </row>
    <row r="253" spans="2:15" x14ac:dyDescent="0.2">
      <c r="B253" s="90" t="s">
        <v>708</v>
      </c>
      <c r="C253" s="97">
        <v>0</v>
      </c>
      <c r="D253" s="97">
        <v>0</v>
      </c>
      <c r="E253" s="97">
        <v>0</v>
      </c>
      <c r="F253" s="97">
        <v>0</v>
      </c>
      <c r="G253" s="97">
        <v>0</v>
      </c>
      <c r="H253" s="97">
        <v>0</v>
      </c>
      <c r="I253" s="97">
        <v>0</v>
      </c>
      <c r="J253" s="97">
        <v>0</v>
      </c>
      <c r="K253" s="97">
        <v>0.56000000000000005</v>
      </c>
      <c r="L253" s="97">
        <v>0</v>
      </c>
      <c r="M253" s="97">
        <v>0</v>
      </c>
      <c r="N253" s="97">
        <v>0</v>
      </c>
      <c r="O253" s="97">
        <f t="shared" si="40"/>
        <v>0.56000000000000005</v>
      </c>
    </row>
    <row r="254" spans="2:15" x14ac:dyDescent="0.2">
      <c r="B254" s="90" t="s">
        <v>717</v>
      </c>
      <c r="C254" s="97">
        <v>0</v>
      </c>
      <c r="D254" s="97">
        <v>7.6999999999999999E-2</v>
      </c>
      <c r="E254" s="97">
        <v>0</v>
      </c>
      <c r="F254" s="97">
        <v>0</v>
      </c>
      <c r="G254" s="97">
        <v>0</v>
      </c>
      <c r="H254" s="97">
        <v>0</v>
      </c>
      <c r="I254" s="97">
        <v>0</v>
      </c>
      <c r="J254" s="97">
        <v>0</v>
      </c>
      <c r="K254" s="97">
        <v>0</v>
      </c>
      <c r="L254" s="97">
        <v>0</v>
      </c>
      <c r="M254" s="97">
        <v>0</v>
      </c>
      <c r="N254" s="97">
        <v>0</v>
      </c>
      <c r="O254" s="97">
        <f t="shared" si="40"/>
        <v>7.6999999999999999E-2</v>
      </c>
    </row>
    <row r="255" spans="2:15" hidden="1" x14ac:dyDescent="0.2">
      <c r="B255" s="90" t="s">
        <v>209</v>
      </c>
      <c r="C255" s="97">
        <v>0</v>
      </c>
      <c r="D255" s="97">
        <v>0</v>
      </c>
      <c r="E255" s="97">
        <v>0</v>
      </c>
      <c r="F255" s="97">
        <v>0</v>
      </c>
      <c r="G255" s="97">
        <v>0</v>
      </c>
      <c r="H255" s="97">
        <v>0</v>
      </c>
      <c r="I255" s="97">
        <v>0</v>
      </c>
      <c r="J255" s="97">
        <v>0</v>
      </c>
      <c r="K255" s="97">
        <v>0</v>
      </c>
      <c r="L255" s="97">
        <v>0</v>
      </c>
      <c r="M255" s="97">
        <v>0</v>
      </c>
      <c r="N255" s="97">
        <v>0</v>
      </c>
      <c r="O255" s="97">
        <f t="shared" si="40"/>
        <v>0</v>
      </c>
    </row>
    <row r="256" spans="2:15" hidden="1" x14ac:dyDescent="0.2">
      <c r="B256" s="90" t="s">
        <v>210</v>
      </c>
      <c r="C256" s="97">
        <v>0</v>
      </c>
      <c r="D256" s="97">
        <v>0</v>
      </c>
      <c r="E256" s="97">
        <v>0</v>
      </c>
      <c r="F256" s="97">
        <v>0</v>
      </c>
      <c r="G256" s="97">
        <v>0</v>
      </c>
      <c r="H256" s="97">
        <v>0</v>
      </c>
      <c r="I256" s="97">
        <v>0</v>
      </c>
      <c r="J256" s="97">
        <v>0</v>
      </c>
      <c r="K256" s="97">
        <v>0</v>
      </c>
      <c r="L256" s="97">
        <v>0</v>
      </c>
      <c r="M256" s="97">
        <v>0</v>
      </c>
      <c r="N256" s="97">
        <v>0</v>
      </c>
      <c r="O256" s="97">
        <f t="shared" si="40"/>
        <v>0</v>
      </c>
    </row>
    <row r="257" spans="1:17" hidden="1" x14ac:dyDescent="0.2">
      <c r="B257" s="90" t="s">
        <v>211</v>
      </c>
      <c r="C257" s="97">
        <v>0</v>
      </c>
      <c r="D257" s="97">
        <v>0</v>
      </c>
      <c r="E257" s="97">
        <v>0</v>
      </c>
      <c r="F257" s="97">
        <v>0</v>
      </c>
      <c r="G257" s="97">
        <v>0</v>
      </c>
      <c r="H257" s="97">
        <v>0</v>
      </c>
      <c r="I257" s="97">
        <v>0</v>
      </c>
      <c r="J257" s="97">
        <v>0</v>
      </c>
      <c r="K257" s="97">
        <v>0</v>
      </c>
      <c r="L257" s="97">
        <v>0</v>
      </c>
      <c r="M257" s="97">
        <v>0</v>
      </c>
      <c r="N257" s="97">
        <v>0</v>
      </c>
      <c r="O257" s="97">
        <f t="shared" si="40"/>
        <v>0</v>
      </c>
    </row>
    <row r="258" spans="1:17" x14ac:dyDescent="0.2">
      <c r="B258" s="90" t="s">
        <v>674</v>
      </c>
      <c r="C258" s="97">
        <v>0.06</v>
      </c>
      <c r="D258" s="97">
        <v>1.7999999999999999E-2</v>
      </c>
      <c r="E258" s="97">
        <v>0.01</v>
      </c>
      <c r="F258" s="97">
        <v>0</v>
      </c>
      <c r="G258" s="97">
        <v>0</v>
      </c>
      <c r="H258" s="97">
        <v>0</v>
      </c>
      <c r="I258" s="97">
        <v>0</v>
      </c>
      <c r="J258" s="97">
        <v>0</v>
      </c>
      <c r="K258" s="97">
        <v>0.01</v>
      </c>
      <c r="L258" s="97">
        <v>0</v>
      </c>
      <c r="M258" s="97">
        <v>0</v>
      </c>
      <c r="N258" s="97">
        <v>0.05</v>
      </c>
      <c r="O258" s="97">
        <f t="shared" si="40"/>
        <v>0.14799999999999999</v>
      </c>
    </row>
    <row r="259" spans="1:17" x14ac:dyDescent="0.2">
      <c r="B259" s="90" t="s">
        <v>212</v>
      </c>
      <c r="C259" s="97">
        <v>2.44</v>
      </c>
      <c r="D259" s="97">
        <v>0.01</v>
      </c>
      <c r="E259" s="97">
        <v>0</v>
      </c>
      <c r="F259" s="97">
        <v>0</v>
      </c>
      <c r="G259" s="97">
        <v>0</v>
      </c>
      <c r="H259" s="97">
        <v>0</v>
      </c>
      <c r="I259" s="97">
        <v>0</v>
      </c>
      <c r="J259" s="97">
        <v>0</v>
      </c>
      <c r="K259" s="97">
        <v>0</v>
      </c>
      <c r="L259" s="97">
        <v>0</v>
      </c>
      <c r="M259" s="97">
        <v>0</v>
      </c>
      <c r="N259" s="97">
        <v>0</v>
      </c>
      <c r="O259" s="97">
        <f t="shared" si="40"/>
        <v>2.4499999999999997</v>
      </c>
    </row>
    <row r="260" spans="1:17" hidden="1" x14ac:dyDescent="0.2">
      <c r="B260" s="90" t="s">
        <v>213</v>
      </c>
      <c r="C260" s="97">
        <v>0</v>
      </c>
      <c r="D260" s="97">
        <v>0</v>
      </c>
      <c r="E260" s="97">
        <v>0</v>
      </c>
      <c r="F260" s="97">
        <v>0</v>
      </c>
      <c r="G260" s="97">
        <v>0</v>
      </c>
      <c r="H260" s="97">
        <v>0</v>
      </c>
      <c r="I260" s="97">
        <v>0</v>
      </c>
      <c r="J260" s="97">
        <v>0</v>
      </c>
      <c r="K260" s="97">
        <v>0</v>
      </c>
      <c r="L260" s="97">
        <v>0</v>
      </c>
      <c r="M260" s="97">
        <v>0</v>
      </c>
      <c r="N260" s="97">
        <v>0</v>
      </c>
      <c r="O260" s="97">
        <f t="shared" si="40"/>
        <v>0</v>
      </c>
    </row>
    <row r="261" spans="1:17" hidden="1" x14ac:dyDescent="0.2">
      <c r="B261" s="105" t="s">
        <v>214</v>
      </c>
      <c r="C261" s="97">
        <v>0</v>
      </c>
      <c r="D261" s="97">
        <v>0</v>
      </c>
      <c r="E261" s="97">
        <v>0</v>
      </c>
      <c r="F261" s="97">
        <v>0</v>
      </c>
      <c r="G261" s="97">
        <v>0</v>
      </c>
      <c r="H261" s="97">
        <v>0</v>
      </c>
      <c r="I261" s="97">
        <v>0</v>
      </c>
      <c r="J261" s="97">
        <v>0</v>
      </c>
      <c r="K261" s="97">
        <v>0</v>
      </c>
      <c r="L261" s="97">
        <v>0</v>
      </c>
      <c r="M261" s="97">
        <v>0</v>
      </c>
      <c r="N261" s="97">
        <v>0</v>
      </c>
      <c r="O261" s="97">
        <f t="shared" si="40"/>
        <v>0</v>
      </c>
    </row>
    <row r="262" spans="1:17" x14ac:dyDescent="0.2">
      <c r="B262" s="90" t="s">
        <v>215</v>
      </c>
      <c r="C262" s="97">
        <v>0.03</v>
      </c>
      <c r="D262" s="97">
        <v>3.4000000000000002E-2</v>
      </c>
      <c r="E262" s="97">
        <v>0</v>
      </c>
      <c r="F262" s="97">
        <v>0</v>
      </c>
      <c r="G262" s="97">
        <v>0</v>
      </c>
      <c r="H262" s="97">
        <v>0</v>
      </c>
      <c r="I262" s="97">
        <v>4.9000000000000002E-2</v>
      </c>
      <c r="J262" s="97">
        <v>0</v>
      </c>
      <c r="K262" s="97">
        <v>0</v>
      </c>
      <c r="L262" s="97">
        <v>0</v>
      </c>
      <c r="M262" s="97">
        <v>0</v>
      </c>
      <c r="N262" s="97">
        <v>0</v>
      </c>
      <c r="O262" s="97">
        <f t="shared" si="40"/>
        <v>0.113</v>
      </c>
    </row>
    <row r="263" spans="1:17" hidden="1" x14ac:dyDescent="0.2">
      <c r="B263" s="105" t="s">
        <v>216</v>
      </c>
      <c r="C263" s="97">
        <v>0</v>
      </c>
      <c r="D263" s="97">
        <v>0</v>
      </c>
      <c r="E263" s="97">
        <v>0</v>
      </c>
      <c r="F263" s="97">
        <v>0</v>
      </c>
      <c r="G263" s="97">
        <v>0</v>
      </c>
      <c r="H263" s="97">
        <v>0</v>
      </c>
      <c r="I263" s="97">
        <v>0</v>
      </c>
      <c r="J263" s="97">
        <v>0</v>
      </c>
      <c r="K263" s="97">
        <v>0</v>
      </c>
      <c r="L263" s="97">
        <v>0</v>
      </c>
      <c r="M263" s="97">
        <v>0</v>
      </c>
      <c r="N263" s="97">
        <v>0</v>
      </c>
      <c r="O263" s="97">
        <f t="shared" si="40"/>
        <v>0</v>
      </c>
    </row>
    <row r="264" spans="1:17" x14ac:dyDescent="0.2">
      <c r="B264" s="90" t="s">
        <v>217</v>
      </c>
      <c r="C264" s="97">
        <v>20.73</v>
      </c>
      <c r="D264" s="97">
        <v>25.114999999999998</v>
      </c>
      <c r="E264" s="97">
        <v>7.02</v>
      </c>
      <c r="F264" s="97">
        <v>0.89</v>
      </c>
      <c r="G264" s="97">
        <v>0</v>
      </c>
      <c r="H264" s="97">
        <v>2.4700000000000002</v>
      </c>
      <c r="I264" s="97">
        <v>27.367999999999999</v>
      </c>
      <c r="J264" s="97">
        <v>10.8</v>
      </c>
      <c r="K264" s="97">
        <v>20.73</v>
      </c>
      <c r="L264" s="97">
        <v>13.88</v>
      </c>
      <c r="M264" s="97">
        <v>6.74</v>
      </c>
      <c r="N264" s="97">
        <v>20.12</v>
      </c>
      <c r="O264" s="97">
        <f t="shared" si="40"/>
        <v>155.863</v>
      </c>
    </row>
    <row r="265" spans="1:17" x14ac:dyDescent="0.2">
      <c r="B265" s="90" t="s">
        <v>218</v>
      </c>
      <c r="C265" s="97">
        <v>0.1</v>
      </c>
      <c r="D265" s="97">
        <v>0.223</v>
      </c>
      <c r="E265" s="97">
        <v>0</v>
      </c>
      <c r="F265" s="97">
        <v>0</v>
      </c>
      <c r="G265" s="97">
        <v>0</v>
      </c>
      <c r="H265" s="97">
        <v>0</v>
      </c>
      <c r="I265" s="97">
        <v>6.2E-2</v>
      </c>
      <c r="J265" s="97">
        <v>0</v>
      </c>
      <c r="K265" s="97">
        <v>0</v>
      </c>
      <c r="L265" s="97">
        <v>0</v>
      </c>
      <c r="M265" s="97">
        <v>0</v>
      </c>
      <c r="N265" s="97">
        <v>0</v>
      </c>
      <c r="O265" s="97">
        <f t="shared" si="40"/>
        <v>0.38500000000000001</v>
      </c>
    </row>
    <row r="266" spans="1:17" x14ac:dyDescent="0.2">
      <c r="B266" s="90" t="s">
        <v>692</v>
      </c>
      <c r="C266" s="97">
        <v>0</v>
      </c>
      <c r="D266" s="97">
        <v>0.01</v>
      </c>
      <c r="E266" s="97">
        <v>0</v>
      </c>
      <c r="F266" s="97">
        <v>0</v>
      </c>
      <c r="G266" s="97">
        <v>0</v>
      </c>
      <c r="H266" s="97">
        <v>0</v>
      </c>
      <c r="I266" s="97">
        <v>0.01</v>
      </c>
      <c r="J266" s="97">
        <v>0.31</v>
      </c>
      <c r="K266" s="97">
        <v>0.15</v>
      </c>
      <c r="L266" s="97">
        <v>0</v>
      </c>
      <c r="M266" s="97">
        <v>0.3</v>
      </c>
      <c r="N266" s="97">
        <v>0</v>
      </c>
      <c r="O266" s="97">
        <f t="shared" si="40"/>
        <v>0.78</v>
      </c>
    </row>
    <row r="267" spans="1:17" hidden="1" x14ac:dyDescent="0.2">
      <c r="B267" s="90" t="s">
        <v>219</v>
      </c>
      <c r="C267" s="97">
        <v>0</v>
      </c>
      <c r="D267" s="97">
        <v>0</v>
      </c>
      <c r="E267" s="97">
        <v>0</v>
      </c>
      <c r="F267" s="97">
        <v>0</v>
      </c>
      <c r="G267" s="97">
        <v>0</v>
      </c>
      <c r="H267" s="97">
        <v>0</v>
      </c>
      <c r="I267" s="97">
        <v>0</v>
      </c>
      <c r="J267" s="97">
        <v>0</v>
      </c>
      <c r="K267" s="97">
        <v>0</v>
      </c>
      <c r="L267" s="97">
        <v>0</v>
      </c>
      <c r="M267" s="97">
        <v>0</v>
      </c>
      <c r="N267" s="97">
        <v>0</v>
      </c>
      <c r="O267" s="97">
        <f t="shared" si="40"/>
        <v>0</v>
      </c>
    </row>
    <row r="268" spans="1:17" x14ac:dyDescent="0.2">
      <c r="B268" s="90" t="s">
        <v>220</v>
      </c>
      <c r="C268" s="97">
        <v>33.299999999999997</v>
      </c>
      <c r="D268" s="97">
        <v>5.9020000000000001</v>
      </c>
      <c r="E268" s="97">
        <v>2.98</v>
      </c>
      <c r="F268" s="97">
        <v>0</v>
      </c>
      <c r="G268" s="97">
        <v>0</v>
      </c>
      <c r="H268" s="97">
        <v>0.2</v>
      </c>
      <c r="I268" s="97">
        <v>4.7709999999999999</v>
      </c>
      <c r="J268" s="97">
        <v>1.22</v>
      </c>
      <c r="K268" s="97">
        <v>0.27</v>
      </c>
      <c r="L268" s="97">
        <v>0.68</v>
      </c>
      <c r="M268" s="97">
        <v>0.79</v>
      </c>
      <c r="N268" s="97">
        <v>0.21</v>
      </c>
      <c r="O268" s="97">
        <f t="shared" si="40"/>
        <v>50.323</v>
      </c>
    </row>
    <row r="269" spans="1:17" x14ac:dyDescent="0.2">
      <c r="B269" s="90" t="s">
        <v>221</v>
      </c>
      <c r="C269" s="97">
        <v>0.75</v>
      </c>
      <c r="D269" s="97">
        <v>5.3970000000000002</v>
      </c>
      <c r="E269" s="97">
        <v>0.99</v>
      </c>
      <c r="F269" s="97">
        <v>0.05</v>
      </c>
      <c r="G269" s="97">
        <v>0</v>
      </c>
      <c r="H269" s="97">
        <v>0.12</v>
      </c>
      <c r="I269" s="97">
        <v>3.157</v>
      </c>
      <c r="J269" s="97">
        <v>0.39</v>
      </c>
      <c r="K269" s="97">
        <v>0.9</v>
      </c>
      <c r="L269" s="97">
        <v>2.23</v>
      </c>
      <c r="M269" s="97">
        <v>0.28999999999999998</v>
      </c>
      <c r="N269" s="97">
        <v>1.8</v>
      </c>
      <c r="O269" s="97">
        <f t="shared" si="40"/>
        <v>16.074000000000002</v>
      </c>
    </row>
    <row r="270" spans="1:17" x14ac:dyDescent="0.2">
      <c r="C270" s="97"/>
      <c r="D270" s="97"/>
      <c r="E270" s="97"/>
      <c r="F270" s="97"/>
      <c r="G270" s="97"/>
      <c r="H270" s="97"/>
      <c r="I270" s="97"/>
      <c r="J270" s="97"/>
      <c r="K270" s="97"/>
      <c r="L270" s="97"/>
      <c r="M270" s="97"/>
      <c r="N270" s="97"/>
      <c r="O270" s="97"/>
    </row>
    <row r="271" spans="1:17" ht="15" x14ac:dyDescent="0.25">
      <c r="B271" s="89" t="s">
        <v>222</v>
      </c>
      <c r="C271" s="111">
        <f>C9+C38+C47+C65+C68+C73+C77+C88+C109+C114+C121+C127+C134+C144+C147+C153+C167+C189+C193+C199+C208+C218</f>
        <v>6117.7699999999995</v>
      </c>
      <c r="D271" s="111">
        <f t="shared" ref="D271:P271" si="41">D9+D38+D47+D65+D68+D73+D77+D88+D109+D114+D121+D127+D134+D144+D147+D153+D167+D189+D193+D199+D208+D218</f>
        <v>5714.9619999999995</v>
      </c>
      <c r="E271" s="111">
        <f t="shared" si="41"/>
        <v>1755.511</v>
      </c>
      <c r="F271" s="111">
        <f t="shared" si="41"/>
        <v>154.33000000000001</v>
      </c>
      <c r="G271" s="111">
        <f t="shared" si="41"/>
        <v>0</v>
      </c>
      <c r="H271" s="111">
        <f t="shared" si="41"/>
        <v>223.96</v>
      </c>
      <c r="I271" s="111">
        <f t="shared" si="41"/>
        <v>4148.6970000000001</v>
      </c>
      <c r="J271" s="111">
        <f t="shared" si="41"/>
        <v>758.59</v>
      </c>
      <c r="K271" s="111">
        <f t="shared" si="41"/>
        <v>1451.96</v>
      </c>
      <c r="L271" s="111">
        <f t="shared" si="41"/>
        <v>1017.864</v>
      </c>
      <c r="M271" s="111">
        <f t="shared" si="41"/>
        <v>470.42999999999995</v>
      </c>
      <c r="N271" s="111">
        <f t="shared" si="41"/>
        <v>1293.3139999999999</v>
      </c>
      <c r="O271" s="111">
        <f t="shared" si="41"/>
        <v>23107.377999999993</v>
      </c>
      <c r="P271" s="111">
        <f t="shared" si="41"/>
        <v>1031026.53</v>
      </c>
      <c r="Q271" s="111"/>
    </row>
    <row r="272" spans="1:17" ht="12.75" customHeight="1" x14ac:dyDescent="0.2">
      <c r="A272" s="112" t="s">
        <v>223</v>
      </c>
    </row>
    <row r="273" spans="1:17" ht="12.75" customHeight="1" x14ac:dyDescent="0.2">
      <c r="A273" s="92"/>
      <c r="B273" s="92"/>
      <c r="C273" s="92"/>
      <c r="D273" s="92"/>
      <c r="E273" s="92"/>
      <c r="F273" s="92"/>
      <c r="G273" s="92"/>
      <c r="H273" s="92"/>
      <c r="I273" s="92"/>
      <c r="J273" s="178"/>
      <c r="K273" s="92"/>
      <c r="L273" s="92"/>
      <c r="M273" s="92"/>
      <c r="N273" s="92"/>
    </row>
    <row r="274" spans="1:17" s="89" customFormat="1" ht="12.75" customHeight="1" x14ac:dyDescent="0.25">
      <c r="A274" s="179"/>
      <c r="B274" s="179" t="s">
        <v>238</v>
      </c>
      <c r="C274" s="179"/>
      <c r="D274" s="179"/>
      <c r="E274" s="179"/>
      <c r="F274" s="179"/>
      <c r="G274" s="179"/>
      <c r="H274" s="179"/>
      <c r="I274" s="179"/>
      <c r="J274" s="180"/>
      <c r="K274" s="179"/>
      <c r="L274" s="179"/>
      <c r="M274" s="179"/>
      <c r="N274" s="179"/>
      <c r="Q274" s="181"/>
    </row>
    <row r="275" spans="1:17" ht="12.75" customHeight="1" x14ac:dyDescent="0.2">
      <c r="A275" s="92"/>
      <c r="B275" s="92"/>
      <c r="C275" s="92"/>
      <c r="D275" s="92"/>
      <c r="E275" s="92"/>
      <c r="F275" s="92"/>
      <c r="G275" s="92"/>
      <c r="H275" s="92"/>
      <c r="I275" s="92"/>
      <c r="J275" s="178"/>
      <c r="K275" s="92"/>
      <c r="L275" s="92"/>
      <c r="M275" s="92"/>
      <c r="N275" s="92"/>
    </row>
    <row r="276" spans="1:17" ht="12.75" customHeight="1" x14ac:dyDescent="0.2">
      <c r="A276" s="309"/>
      <c r="B276" s="309"/>
      <c r="C276" s="309"/>
      <c r="D276" s="119"/>
      <c r="E276" s="119"/>
      <c r="F276" s="119"/>
      <c r="G276" s="119"/>
      <c r="H276" s="119"/>
      <c r="I276" s="119"/>
      <c r="J276" s="119"/>
      <c r="K276" s="119"/>
      <c r="L276" s="119"/>
      <c r="M276" s="119"/>
      <c r="N276" s="119"/>
    </row>
    <row r="277" spans="1:17" ht="12.75" customHeight="1" x14ac:dyDescent="0.2">
      <c r="A277" s="92" t="s">
        <v>225</v>
      </c>
    </row>
    <row r="278" spans="1:17" ht="12.75" customHeight="1" x14ac:dyDescent="0.2"/>
    <row r="279" spans="1:17" ht="12" customHeight="1" x14ac:dyDescent="0.2">
      <c r="B279" s="92"/>
    </row>
    <row r="280" spans="1:17" ht="12" customHeight="1" x14ac:dyDescent="0.2">
      <c r="C280" s="91"/>
      <c r="D280" s="91"/>
      <c r="E280" s="91"/>
      <c r="F280" s="91"/>
      <c r="G280" s="91"/>
      <c r="H280" s="91"/>
      <c r="I280" s="91"/>
      <c r="J280" s="91"/>
      <c r="K280" s="91"/>
      <c r="L280" s="91"/>
      <c r="M280" s="91"/>
      <c r="N280" s="91"/>
    </row>
    <row r="281" spans="1:17" ht="12" customHeight="1" x14ac:dyDescent="0.2">
      <c r="A281" s="92" t="s">
        <v>226</v>
      </c>
    </row>
    <row r="282" spans="1:17" ht="12" customHeight="1" x14ac:dyDescent="0.2">
      <c r="A282" s="303"/>
      <c r="B282" s="303"/>
    </row>
    <row r="283" spans="1:17" ht="12" customHeight="1" x14ac:dyDescent="0.2"/>
    <row r="284" spans="1:17" ht="12" customHeight="1" x14ac:dyDescent="0.2">
      <c r="C284" s="91"/>
      <c r="D284" s="91"/>
      <c r="E284" s="91"/>
      <c r="F284" s="91"/>
      <c r="G284" s="91"/>
      <c r="H284" s="91"/>
      <c r="I284" s="91"/>
      <c r="J284" s="91"/>
      <c r="K284" s="91"/>
      <c r="L284" s="91"/>
      <c r="M284" s="91"/>
      <c r="N284" s="91"/>
    </row>
    <row r="285" spans="1:17" ht="12" customHeight="1" x14ac:dyDescent="0.2">
      <c r="C285" s="91"/>
      <c r="D285" s="91"/>
      <c r="E285" s="91"/>
      <c r="F285" s="91"/>
      <c r="G285" s="91"/>
      <c r="H285" s="91"/>
      <c r="I285" s="91"/>
      <c r="J285" s="91"/>
      <c r="K285" s="91"/>
      <c r="L285" s="91"/>
      <c r="M285" s="91"/>
      <c r="N285" s="91"/>
    </row>
    <row r="300" ht="39" customHeight="1" x14ac:dyDescent="0.2"/>
    <row r="301" ht="39" customHeight="1" x14ac:dyDescent="0.2"/>
    <row r="302" ht="39" customHeight="1" x14ac:dyDescent="0.2"/>
    <row r="303" ht="39" customHeight="1" x14ac:dyDescent="0.2"/>
    <row r="304" ht="39" customHeight="1" x14ac:dyDescent="0.2"/>
    <row r="305" ht="39" customHeight="1" x14ac:dyDescent="0.2"/>
    <row r="306" ht="39" customHeight="1" x14ac:dyDescent="0.2"/>
    <row r="307" ht="39" customHeight="1" x14ac:dyDescent="0.2"/>
    <row r="308" ht="39" customHeight="1" x14ac:dyDescent="0.2"/>
    <row r="309" ht="39" customHeight="1" x14ac:dyDescent="0.2"/>
    <row r="310" ht="39" customHeight="1" x14ac:dyDescent="0.2"/>
    <row r="311" ht="39" customHeight="1" x14ac:dyDescent="0.2"/>
    <row r="312" ht="39" customHeight="1" x14ac:dyDescent="0.2"/>
    <row r="313" ht="39" customHeight="1" x14ac:dyDescent="0.2"/>
    <row r="314" ht="39" customHeight="1" x14ac:dyDescent="0.2"/>
  </sheetData>
  <mergeCells count="5">
    <mergeCell ref="A3:C3"/>
    <mergeCell ref="A6:B7"/>
    <mergeCell ref="Q6:Q7"/>
    <mergeCell ref="A276:C276"/>
    <mergeCell ref="A282:B282"/>
  </mergeCells>
  <pageMargins left="0.15748031496062992" right="0.15748031496062992" top="0.74803149606299213" bottom="0.59055118110236227" header="0.15748031496062992" footer="0.31496062992125984"/>
  <pageSetup paperSize="9" scale="52" orientation="portrait" r:id="rId1"/>
  <headerFooter alignWithMargins="0">
    <oddHeader>Page &amp;P&amp;R&amp;F</oddHeader>
  </headerFooter>
  <rowBreaks count="2" manualBreakCount="2">
    <brk id="107" max="15" man="1"/>
    <brk id="217"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8"/>
  <sheetViews>
    <sheetView zoomScaleNormal="100" zoomScaleSheetLayoutView="100" workbookViewId="0">
      <pane xSplit="2" ySplit="7" topLeftCell="C243" activePane="bottomRight" state="frozen"/>
      <selection pane="topRight" activeCell="C1" sqref="C1"/>
      <selection pane="bottomLeft" activeCell="A8" sqref="A8"/>
      <selection pane="bottomRight" activeCell="B249" sqref="B249"/>
    </sheetView>
  </sheetViews>
  <sheetFormatPr defaultColWidth="9.140625" defaultRowHeight="14.25" x14ac:dyDescent="0.2"/>
  <cols>
    <col min="1" max="1" width="2.140625" style="90" customWidth="1"/>
    <col min="2" max="2" width="61.28515625" style="90" customWidth="1"/>
    <col min="3" max="14" width="10.42578125" style="90" bestFit="1" customWidth="1"/>
    <col min="15" max="15" width="11.42578125" style="91" bestFit="1" customWidth="1"/>
    <col min="16" max="16384" width="9.140625" style="90"/>
  </cols>
  <sheetData>
    <row r="1" spans="1:15" ht="15.75" customHeight="1" x14ac:dyDescent="0.25">
      <c r="A1" s="89" t="s">
        <v>0</v>
      </c>
      <c r="B1" s="89"/>
      <c r="C1" s="89"/>
      <c r="D1" s="89"/>
      <c r="E1" s="89"/>
      <c r="F1" s="89"/>
      <c r="G1" s="89"/>
      <c r="H1" s="89"/>
      <c r="I1" s="89"/>
      <c r="J1" s="89"/>
      <c r="K1" s="89"/>
      <c r="L1" s="89"/>
      <c r="M1" s="89"/>
      <c r="N1" s="89"/>
    </row>
    <row r="2" spans="1:15" ht="16.5" customHeight="1" x14ac:dyDescent="0.25">
      <c r="A2" s="89" t="s">
        <v>1</v>
      </c>
      <c r="B2" s="89"/>
      <c r="C2" s="89"/>
      <c r="D2" s="89"/>
      <c r="E2" s="89"/>
      <c r="F2" s="89"/>
      <c r="G2" s="89"/>
      <c r="H2" s="89"/>
      <c r="I2" s="89"/>
      <c r="J2" s="89"/>
      <c r="K2" s="89"/>
      <c r="L2" s="89"/>
      <c r="M2" s="89"/>
      <c r="N2" s="89"/>
    </row>
    <row r="3" spans="1:15" ht="13.5" customHeight="1" x14ac:dyDescent="0.25">
      <c r="A3" s="300" t="s">
        <v>678</v>
      </c>
      <c r="B3" s="300"/>
      <c r="C3" s="300"/>
      <c r="D3" s="113"/>
      <c r="E3" s="113"/>
      <c r="F3" s="113"/>
      <c r="G3" s="113"/>
      <c r="H3" s="113"/>
      <c r="I3" s="113"/>
      <c r="J3" s="113"/>
      <c r="K3" s="113"/>
      <c r="L3" s="113"/>
      <c r="M3" s="113"/>
      <c r="N3" s="113"/>
    </row>
    <row r="4" spans="1:15" x14ac:dyDescent="0.2">
      <c r="A4" s="90" t="s">
        <v>3</v>
      </c>
    </row>
    <row r="5" spans="1:15" x14ac:dyDescent="0.2">
      <c r="A5" s="92" t="s">
        <v>4</v>
      </c>
    </row>
    <row r="6" spans="1:15" ht="12.75" customHeight="1" x14ac:dyDescent="0.25">
      <c r="A6" s="304" t="s">
        <v>5</v>
      </c>
      <c r="B6" s="305"/>
      <c r="C6" s="166" t="s">
        <v>6</v>
      </c>
      <c r="D6" s="166" t="s">
        <v>6</v>
      </c>
      <c r="E6" s="166" t="s">
        <v>6</v>
      </c>
      <c r="F6" s="166" t="s">
        <v>6</v>
      </c>
      <c r="G6" s="166" t="s">
        <v>6</v>
      </c>
      <c r="H6" s="166" t="s">
        <v>6</v>
      </c>
      <c r="I6" s="166" t="s">
        <v>6</v>
      </c>
      <c r="J6" s="166" t="s">
        <v>6</v>
      </c>
      <c r="K6" s="166" t="s">
        <v>6</v>
      </c>
      <c r="L6" s="166" t="s">
        <v>6</v>
      </c>
      <c r="M6" s="166" t="s">
        <v>6</v>
      </c>
      <c r="N6" s="166" t="s">
        <v>6</v>
      </c>
      <c r="O6" s="167" t="s">
        <v>6</v>
      </c>
    </row>
    <row r="7" spans="1:15" ht="12.75" customHeight="1" thickBot="1" x14ac:dyDescent="0.3">
      <c r="A7" s="310"/>
      <c r="B7" s="311"/>
      <c r="C7" s="168" t="s">
        <v>7</v>
      </c>
      <c r="D7" s="168" t="s">
        <v>8</v>
      </c>
      <c r="E7" s="168" t="s">
        <v>9</v>
      </c>
      <c r="F7" s="168" t="s">
        <v>10</v>
      </c>
      <c r="G7" s="168" t="s">
        <v>11</v>
      </c>
      <c r="H7" s="168" t="s">
        <v>235</v>
      </c>
      <c r="I7" s="168" t="s">
        <v>236</v>
      </c>
      <c r="J7" s="168" t="s">
        <v>14</v>
      </c>
      <c r="K7" s="168" t="s">
        <v>237</v>
      </c>
      <c r="L7" s="168" t="s">
        <v>16</v>
      </c>
      <c r="M7" s="168" t="s">
        <v>17</v>
      </c>
      <c r="N7" s="168" t="s">
        <v>18</v>
      </c>
      <c r="O7" s="169" t="s">
        <v>19</v>
      </c>
    </row>
    <row r="8" spans="1:15" ht="12.75" customHeight="1" thickTop="1" x14ac:dyDescent="0.25">
      <c r="A8" s="93"/>
      <c r="B8" s="93"/>
      <c r="C8" s="93"/>
      <c r="D8" s="93"/>
      <c r="E8" s="93"/>
      <c r="F8" s="93"/>
      <c r="G8" s="93"/>
      <c r="H8" s="93"/>
      <c r="I8" s="93"/>
      <c r="J8" s="93"/>
      <c r="K8" s="93"/>
      <c r="L8" s="93"/>
      <c r="M8" s="93"/>
      <c r="N8" s="93"/>
    </row>
    <row r="9" spans="1:15" s="95" customFormat="1" ht="15" x14ac:dyDescent="0.25">
      <c r="A9" s="94" t="s">
        <v>20</v>
      </c>
      <c r="C9" s="96">
        <f>SUM(C10:C36)</f>
        <v>754.02</v>
      </c>
      <c r="D9" s="96">
        <f t="shared" ref="D9:O9" si="0">SUM(D10:D36)</f>
        <v>939.75000000000011</v>
      </c>
      <c r="E9" s="96">
        <f t="shared" si="0"/>
        <v>440.25000000000006</v>
      </c>
      <c r="F9" s="96">
        <f t="shared" si="0"/>
        <v>543.11</v>
      </c>
      <c r="G9" s="96">
        <f t="shared" si="0"/>
        <v>447.98999999999995</v>
      </c>
      <c r="H9" s="96">
        <f t="shared" si="0"/>
        <v>428.63</v>
      </c>
      <c r="I9" s="96">
        <f t="shared" si="0"/>
        <v>666.42000000000007</v>
      </c>
      <c r="J9" s="96">
        <f t="shared" si="0"/>
        <v>801.71</v>
      </c>
      <c r="K9" s="96">
        <f t="shared" si="0"/>
        <v>860.83000000000015</v>
      </c>
      <c r="L9" s="96">
        <f t="shared" si="0"/>
        <v>2934.84</v>
      </c>
      <c r="M9" s="96">
        <f t="shared" si="0"/>
        <v>497.38</v>
      </c>
      <c r="N9" s="96">
        <f t="shared" si="0"/>
        <v>591.37</v>
      </c>
      <c r="O9" s="96">
        <f t="shared" si="0"/>
        <v>9906.3000000000029</v>
      </c>
    </row>
    <row r="10" spans="1:15" x14ac:dyDescent="0.2">
      <c r="B10" s="90" t="s">
        <v>21</v>
      </c>
      <c r="C10" s="97">
        <v>0.43</v>
      </c>
      <c r="D10" s="97">
        <v>0.26</v>
      </c>
      <c r="E10" s="97">
        <v>0.38</v>
      </c>
      <c r="F10" s="97">
        <v>0.46</v>
      </c>
      <c r="G10" s="97">
        <v>1.64</v>
      </c>
      <c r="H10" s="97">
        <v>1.66</v>
      </c>
      <c r="I10" s="97">
        <v>0.72</v>
      </c>
      <c r="J10" s="97">
        <v>0.67</v>
      </c>
      <c r="K10" s="97">
        <v>0.66</v>
      </c>
      <c r="L10" s="97">
        <v>0.99</v>
      </c>
      <c r="M10" s="97">
        <v>0.33</v>
      </c>
      <c r="N10" s="97">
        <v>0.59</v>
      </c>
      <c r="O10" s="91">
        <f>SUM(C10:N10)</f>
        <v>8.7899999999999991</v>
      </c>
    </row>
    <row r="11" spans="1:15" x14ac:dyDescent="0.2">
      <c r="B11" s="90" t="s">
        <v>22</v>
      </c>
      <c r="C11" s="97">
        <v>10.33</v>
      </c>
      <c r="D11" s="97">
        <v>6.83</v>
      </c>
      <c r="E11" s="97">
        <v>6.38</v>
      </c>
      <c r="F11" s="97">
        <v>10.88</v>
      </c>
      <c r="G11" s="97">
        <v>7.22</v>
      </c>
      <c r="H11" s="97">
        <v>5.83</v>
      </c>
      <c r="I11" s="97">
        <v>23.18</v>
      </c>
      <c r="J11" s="97">
        <v>10.029999999999999</v>
      </c>
      <c r="K11" s="97">
        <v>12.85</v>
      </c>
      <c r="L11" s="97">
        <v>15.74</v>
      </c>
      <c r="M11" s="97">
        <v>13.82</v>
      </c>
      <c r="N11" s="97">
        <v>10.14</v>
      </c>
      <c r="O11" s="91">
        <f t="shared" ref="O11:O36" si="1">SUM(C11:N11)</f>
        <v>133.23000000000002</v>
      </c>
    </row>
    <row r="12" spans="1:15" x14ac:dyDescent="0.2">
      <c r="B12" s="90" t="s">
        <v>23</v>
      </c>
      <c r="C12" s="97">
        <v>0</v>
      </c>
      <c r="D12" s="97">
        <v>0</v>
      </c>
      <c r="E12" s="97">
        <v>0</v>
      </c>
      <c r="F12" s="97">
        <v>0</v>
      </c>
      <c r="G12" s="97">
        <v>0</v>
      </c>
      <c r="H12" s="97">
        <v>0</v>
      </c>
      <c r="I12" s="97">
        <v>0.02</v>
      </c>
      <c r="J12" s="97">
        <v>0</v>
      </c>
      <c r="K12" s="97">
        <v>0</v>
      </c>
      <c r="L12" s="97">
        <v>0</v>
      </c>
      <c r="M12" s="97">
        <v>0.01</v>
      </c>
      <c r="N12" s="97">
        <v>0</v>
      </c>
      <c r="O12" s="91">
        <f t="shared" si="1"/>
        <v>0.03</v>
      </c>
    </row>
    <row r="13" spans="1:15" x14ac:dyDescent="0.2">
      <c r="B13" s="90" t="s">
        <v>24</v>
      </c>
      <c r="C13" s="97">
        <v>3.56</v>
      </c>
      <c r="D13" s="97">
        <v>1.32</v>
      </c>
      <c r="E13" s="97">
        <v>1.66</v>
      </c>
      <c r="F13" s="97">
        <v>1.46</v>
      </c>
      <c r="G13" s="97">
        <v>2.15</v>
      </c>
      <c r="H13" s="97">
        <v>2.46</v>
      </c>
      <c r="I13" s="97">
        <v>4.7300000000000004</v>
      </c>
      <c r="J13" s="97">
        <v>2.99</v>
      </c>
      <c r="K13" s="97">
        <v>2.16</v>
      </c>
      <c r="L13" s="97">
        <v>2.4300000000000002</v>
      </c>
      <c r="M13" s="97">
        <v>1.98</v>
      </c>
      <c r="N13" s="97">
        <v>1.8</v>
      </c>
      <c r="O13" s="91">
        <f t="shared" si="1"/>
        <v>28.7</v>
      </c>
    </row>
    <row r="14" spans="1:15" x14ac:dyDescent="0.2">
      <c r="B14" s="90" t="s">
        <v>25</v>
      </c>
      <c r="C14" s="97">
        <v>15.28</v>
      </c>
      <c r="D14" s="97">
        <v>11.85</v>
      </c>
      <c r="E14" s="97">
        <v>12.21</v>
      </c>
      <c r="F14" s="97">
        <v>11.92</v>
      </c>
      <c r="G14" s="97">
        <v>10.4</v>
      </c>
      <c r="H14" s="97">
        <v>7.78</v>
      </c>
      <c r="I14" s="97">
        <v>12</v>
      </c>
      <c r="J14" s="97">
        <v>11.09</v>
      </c>
      <c r="K14" s="97">
        <v>8.5500000000000007</v>
      </c>
      <c r="L14" s="97">
        <v>8.6999999999999993</v>
      </c>
      <c r="M14" s="97">
        <v>9.49</v>
      </c>
      <c r="N14" s="97">
        <v>11.17</v>
      </c>
      <c r="O14" s="91">
        <f t="shared" si="1"/>
        <v>130.44</v>
      </c>
    </row>
    <row r="15" spans="1:15" x14ac:dyDescent="0.2">
      <c r="B15" s="90" t="s">
        <v>26</v>
      </c>
      <c r="C15" s="97">
        <v>13.7</v>
      </c>
      <c r="D15" s="97">
        <v>18.75</v>
      </c>
      <c r="E15" s="97">
        <v>6.45</v>
      </c>
      <c r="F15" s="97">
        <v>5.93</v>
      </c>
      <c r="G15" s="97">
        <v>20.65</v>
      </c>
      <c r="H15" s="97">
        <v>3</v>
      </c>
      <c r="I15" s="97">
        <v>10.31</v>
      </c>
      <c r="J15" s="97">
        <v>83.8</v>
      </c>
      <c r="K15" s="97">
        <v>39.25</v>
      </c>
      <c r="L15" s="97">
        <v>746.63</v>
      </c>
      <c r="M15" s="97">
        <v>108.82</v>
      </c>
      <c r="N15" s="97">
        <v>1.76</v>
      </c>
      <c r="O15" s="91">
        <f t="shared" si="1"/>
        <v>1059.05</v>
      </c>
    </row>
    <row r="16" spans="1:15" x14ac:dyDescent="0.2">
      <c r="B16" s="90" t="s">
        <v>27</v>
      </c>
      <c r="C16" s="97">
        <v>3.72</v>
      </c>
      <c r="D16" s="97">
        <v>0.67</v>
      </c>
      <c r="E16" s="97">
        <v>3.99</v>
      </c>
      <c r="F16" s="97">
        <v>2.42</v>
      </c>
      <c r="G16" s="97">
        <v>2.42</v>
      </c>
      <c r="H16" s="97">
        <v>2.72</v>
      </c>
      <c r="I16" s="97">
        <v>3.19</v>
      </c>
      <c r="J16" s="97">
        <v>2.16</v>
      </c>
      <c r="K16" s="97">
        <v>2.2400000000000002</v>
      </c>
      <c r="L16" s="97">
        <v>0.5</v>
      </c>
      <c r="M16" s="97">
        <v>3.07</v>
      </c>
      <c r="N16" s="97">
        <v>0.2</v>
      </c>
      <c r="O16" s="91">
        <f t="shared" si="1"/>
        <v>27.3</v>
      </c>
    </row>
    <row r="17" spans="2:15" x14ac:dyDescent="0.2">
      <c r="B17" s="90" t="s">
        <v>28</v>
      </c>
      <c r="C17" s="97">
        <v>3.51</v>
      </c>
      <c r="D17" s="97">
        <v>0.3</v>
      </c>
      <c r="E17" s="97">
        <v>0.77</v>
      </c>
      <c r="F17" s="97">
        <v>1.03</v>
      </c>
      <c r="G17" s="97">
        <v>0.23</v>
      </c>
      <c r="H17" s="97">
        <v>0.1</v>
      </c>
      <c r="I17" s="97">
        <v>0.2</v>
      </c>
      <c r="J17" s="97">
        <v>0.37</v>
      </c>
      <c r="K17" s="97">
        <v>1.1499999999999999</v>
      </c>
      <c r="L17" s="97">
        <v>0.2</v>
      </c>
      <c r="M17" s="97">
        <v>1.44</v>
      </c>
      <c r="N17" s="97">
        <v>2.06</v>
      </c>
      <c r="O17" s="91">
        <f t="shared" si="1"/>
        <v>11.360000000000001</v>
      </c>
    </row>
    <row r="18" spans="2:15" x14ac:dyDescent="0.2">
      <c r="B18" s="90" t="s">
        <v>29</v>
      </c>
      <c r="C18" s="97">
        <v>0</v>
      </c>
      <c r="D18" s="97">
        <v>0</v>
      </c>
      <c r="E18" s="97">
        <v>0</v>
      </c>
      <c r="F18" s="97">
        <v>0.1</v>
      </c>
      <c r="G18" s="97">
        <v>0.04</v>
      </c>
      <c r="H18" s="97">
        <v>0</v>
      </c>
      <c r="I18" s="97">
        <v>0</v>
      </c>
      <c r="J18" s="97">
        <v>0.03</v>
      </c>
      <c r="K18" s="97">
        <v>0.02</v>
      </c>
      <c r="L18" s="97">
        <v>0.01</v>
      </c>
      <c r="M18" s="97">
        <v>0.08</v>
      </c>
      <c r="N18" s="97">
        <v>0.03</v>
      </c>
      <c r="O18" s="91">
        <f t="shared" si="1"/>
        <v>0.31000000000000005</v>
      </c>
    </row>
    <row r="19" spans="2:15" x14ac:dyDescent="0.2">
      <c r="B19" s="90" t="s">
        <v>30</v>
      </c>
      <c r="C19" s="97">
        <v>0</v>
      </c>
      <c r="D19" s="97">
        <v>0</v>
      </c>
      <c r="E19" s="97">
        <v>0</v>
      </c>
      <c r="F19" s="97">
        <v>0</v>
      </c>
      <c r="G19" s="97">
        <v>0</v>
      </c>
      <c r="H19" s="97">
        <v>0</v>
      </c>
      <c r="I19" s="97">
        <v>1.1499999999999999</v>
      </c>
      <c r="J19" s="97">
        <v>0</v>
      </c>
      <c r="K19" s="97">
        <v>0</v>
      </c>
      <c r="L19" s="97">
        <v>0</v>
      </c>
      <c r="M19" s="97">
        <v>0</v>
      </c>
      <c r="N19" s="97">
        <v>0</v>
      </c>
      <c r="O19" s="91">
        <f t="shared" si="1"/>
        <v>1.1499999999999999</v>
      </c>
    </row>
    <row r="20" spans="2:15" x14ac:dyDescent="0.2">
      <c r="B20" s="90" t="s">
        <v>31</v>
      </c>
      <c r="C20" s="97">
        <v>0.08</v>
      </c>
      <c r="D20" s="97">
        <v>0.09</v>
      </c>
      <c r="E20" s="97">
        <v>0.17</v>
      </c>
      <c r="F20" s="97">
        <v>0.12</v>
      </c>
      <c r="G20" s="97">
        <v>0.08</v>
      </c>
      <c r="H20" s="97">
        <v>0.03</v>
      </c>
      <c r="I20" s="97">
        <v>0.03</v>
      </c>
      <c r="J20" s="97">
        <v>0.04</v>
      </c>
      <c r="K20" s="97">
        <v>0.04</v>
      </c>
      <c r="L20" s="97">
        <v>0.04</v>
      </c>
      <c r="M20" s="97">
        <v>0</v>
      </c>
      <c r="N20" s="97">
        <v>0.01</v>
      </c>
      <c r="O20" s="91">
        <f t="shared" si="1"/>
        <v>0.73000000000000009</v>
      </c>
    </row>
    <row r="21" spans="2:15" x14ac:dyDescent="0.2">
      <c r="B21" s="90" t="s">
        <v>32</v>
      </c>
      <c r="C21" s="97">
        <v>0</v>
      </c>
      <c r="D21" s="97">
        <v>0</v>
      </c>
      <c r="E21" s="97">
        <v>0</v>
      </c>
      <c r="F21" s="97">
        <v>0</v>
      </c>
      <c r="G21" s="97">
        <v>0</v>
      </c>
      <c r="H21" s="97">
        <v>0</v>
      </c>
      <c r="I21" s="97">
        <v>0</v>
      </c>
      <c r="J21" s="97">
        <v>0</v>
      </c>
      <c r="K21" s="97">
        <v>0</v>
      </c>
      <c r="L21" s="97">
        <v>0</v>
      </c>
      <c r="M21" s="97">
        <v>0</v>
      </c>
      <c r="N21" s="97">
        <v>0</v>
      </c>
      <c r="O21" s="91">
        <f t="shared" si="1"/>
        <v>0</v>
      </c>
    </row>
    <row r="22" spans="2:15" x14ac:dyDescent="0.2">
      <c r="B22" s="90" t="s">
        <v>33</v>
      </c>
      <c r="C22" s="97">
        <v>0.14000000000000001</v>
      </c>
      <c r="D22" s="97">
        <v>0</v>
      </c>
      <c r="E22" s="97">
        <v>0</v>
      </c>
      <c r="F22" s="97">
        <v>0</v>
      </c>
      <c r="G22" s="97">
        <v>0</v>
      </c>
      <c r="H22" s="97">
        <v>0</v>
      </c>
      <c r="I22" s="97">
        <v>0</v>
      </c>
      <c r="J22" s="97">
        <v>0</v>
      </c>
      <c r="K22" s="97">
        <v>0.01</v>
      </c>
      <c r="L22" s="97">
        <v>0</v>
      </c>
      <c r="M22" s="97">
        <v>0</v>
      </c>
      <c r="N22" s="97">
        <v>0</v>
      </c>
      <c r="O22" s="91">
        <f t="shared" si="1"/>
        <v>0.15000000000000002</v>
      </c>
    </row>
    <row r="23" spans="2:15" x14ac:dyDescent="0.2">
      <c r="B23" s="90" t="s">
        <v>34</v>
      </c>
      <c r="C23" s="97">
        <v>0</v>
      </c>
      <c r="D23" s="97">
        <v>0</v>
      </c>
      <c r="E23" s="97">
        <v>0</v>
      </c>
      <c r="F23" s="97">
        <v>0</v>
      </c>
      <c r="G23" s="97">
        <v>0</v>
      </c>
      <c r="H23" s="97">
        <v>0</v>
      </c>
      <c r="I23" s="97">
        <v>0</v>
      </c>
      <c r="J23" s="97">
        <v>0</v>
      </c>
      <c r="K23" s="97">
        <v>0</v>
      </c>
      <c r="L23" s="97">
        <v>0</v>
      </c>
      <c r="M23" s="97">
        <v>0</v>
      </c>
      <c r="N23" s="97">
        <v>0</v>
      </c>
      <c r="O23" s="91">
        <f t="shared" si="1"/>
        <v>0</v>
      </c>
    </row>
    <row r="24" spans="2:15" x14ac:dyDescent="0.2">
      <c r="B24" s="90" t="s">
        <v>35</v>
      </c>
      <c r="C24" s="97">
        <v>0.33</v>
      </c>
      <c r="D24" s="97">
        <v>0.22</v>
      </c>
      <c r="E24" s="97">
        <v>0.31</v>
      </c>
      <c r="F24" s="97">
        <v>0.2</v>
      </c>
      <c r="G24" s="97">
        <v>0.28999999999999998</v>
      </c>
      <c r="H24" s="97">
        <v>0.22</v>
      </c>
      <c r="I24" s="97">
        <v>0.42</v>
      </c>
      <c r="J24" s="97">
        <v>0.44</v>
      </c>
      <c r="K24" s="97">
        <v>0.18</v>
      </c>
      <c r="L24" s="97">
        <v>0.16</v>
      </c>
      <c r="M24" s="97">
        <v>0.31</v>
      </c>
      <c r="N24" s="97">
        <v>0.13</v>
      </c>
      <c r="O24" s="91">
        <f t="shared" si="1"/>
        <v>3.2100000000000004</v>
      </c>
    </row>
    <row r="25" spans="2:15" s="101" customFormat="1" x14ac:dyDescent="0.2">
      <c r="B25" s="101" t="s">
        <v>36</v>
      </c>
      <c r="C25" s="97">
        <v>0.37</v>
      </c>
      <c r="D25" s="97">
        <v>0.99</v>
      </c>
      <c r="E25" s="97">
        <v>0.32</v>
      </c>
      <c r="F25" s="97">
        <v>0.36</v>
      </c>
      <c r="G25" s="97">
        <v>0.3</v>
      </c>
      <c r="H25" s="97">
        <v>0.38</v>
      </c>
      <c r="I25" s="97">
        <v>0.39</v>
      </c>
      <c r="J25" s="97">
        <v>0.28000000000000003</v>
      </c>
      <c r="K25" s="97">
        <v>0</v>
      </c>
      <c r="L25" s="97">
        <v>0</v>
      </c>
      <c r="M25" s="97">
        <v>0</v>
      </c>
      <c r="N25" s="97">
        <v>0</v>
      </c>
      <c r="O25" s="91">
        <f t="shared" si="1"/>
        <v>3.3899999999999997</v>
      </c>
    </row>
    <row r="26" spans="2:15" x14ac:dyDescent="0.2">
      <c r="B26" s="90" t="s">
        <v>37</v>
      </c>
      <c r="C26" s="97">
        <v>507.74</v>
      </c>
      <c r="D26" s="97">
        <v>744.74</v>
      </c>
      <c r="E26" s="97">
        <v>335.79</v>
      </c>
      <c r="F26" s="97">
        <v>431.48</v>
      </c>
      <c r="G26" s="97">
        <v>332.76</v>
      </c>
      <c r="H26" s="97">
        <v>306.07</v>
      </c>
      <c r="I26" s="97">
        <v>426.97</v>
      </c>
      <c r="J26" s="97">
        <v>556.69000000000005</v>
      </c>
      <c r="K26" s="97">
        <v>702.82</v>
      </c>
      <c r="L26" s="97">
        <v>2082.2800000000002</v>
      </c>
      <c r="M26" s="97">
        <v>310.62</v>
      </c>
      <c r="N26" s="97">
        <v>511.24</v>
      </c>
      <c r="O26" s="91">
        <f t="shared" si="1"/>
        <v>7249.2</v>
      </c>
    </row>
    <row r="27" spans="2:15" x14ac:dyDescent="0.2">
      <c r="B27" s="90" t="s">
        <v>38</v>
      </c>
      <c r="C27" s="97">
        <v>2.4</v>
      </c>
      <c r="D27" s="97">
        <v>1.19</v>
      </c>
      <c r="E27" s="97">
        <v>3.23</v>
      </c>
      <c r="F27" s="97">
        <v>3.57</v>
      </c>
      <c r="G27" s="97">
        <v>2.64</v>
      </c>
      <c r="H27" s="97">
        <v>2.78</v>
      </c>
      <c r="I27" s="97">
        <v>3.6</v>
      </c>
      <c r="J27" s="97">
        <v>4.24</v>
      </c>
      <c r="K27" s="97">
        <v>3.33</v>
      </c>
      <c r="L27" s="97">
        <v>2.57</v>
      </c>
      <c r="M27" s="97">
        <v>1.45</v>
      </c>
      <c r="N27" s="97">
        <v>1.35</v>
      </c>
      <c r="O27" s="91">
        <f t="shared" si="1"/>
        <v>32.349999999999994</v>
      </c>
    </row>
    <row r="28" spans="2:15" x14ac:dyDescent="0.2">
      <c r="B28" s="90" t="s">
        <v>39</v>
      </c>
      <c r="C28" s="97">
        <v>12.15</v>
      </c>
      <c r="D28" s="97">
        <v>2.09</v>
      </c>
      <c r="E28" s="97">
        <v>6.17</v>
      </c>
      <c r="F28" s="97">
        <v>3.13</v>
      </c>
      <c r="G28" s="97">
        <v>4.08</v>
      </c>
      <c r="H28" s="97">
        <v>3.54</v>
      </c>
      <c r="I28" s="97">
        <v>4.75</v>
      </c>
      <c r="J28" s="97">
        <v>3.88</v>
      </c>
      <c r="K28" s="97">
        <v>3.74</v>
      </c>
      <c r="L28" s="97">
        <v>2.97</v>
      </c>
      <c r="M28" s="97">
        <v>4.75</v>
      </c>
      <c r="N28" s="97">
        <v>0.23</v>
      </c>
      <c r="O28" s="91">
        <f t="shared" si="1"/>
        <v>51.48</v>
      </c>
    </row>
    <row r="29" spans="2:15" x14ac:dyDescent="0.2">
      <c r="B29" s="90" t="s">
        <v>40</v>
      </c>
      <c r="C29" s="97">
        <v>0</v>
      </c>
      <c r="D29" s="97">
        <v>0</v>
      </c>
      <c r="E29" s="97">
        <v>0</v>
      </c>
      <c r="F29" s="97">
        <v>0</v>
      </c>
      <c r="G29" s="97">
        <v>0</v>
      </c>
      <c r="H29" s="97">
        <v>0</v>
      </c>
      <c r="I29" s="97">
        <v>0</v>
      </c>
      <c r="J29" s="97">
        <v>0</v>
      </c>
      <c r="K29" s="97">
        <v>0</v>
      </c>
      <c r="L29" s="97">
        <v>0</v>
      </c>
      <c r="M29" s="97">
        <v>0</v>
      </c>
      <c r="N29" s="97">
        <v>0</v>
      </c>
      <c r="O29" s="91">
        <f t="shared" si="1"/>
        <v>0</v>
      </c>
    </row>
    <row r="30" spans="2:15" x14ac:dyDescent="0.2">
      <c r="B30" s="90" t="s">
        <v>41</v>
      </c>
      <c r="C30" s="97">
        <v>177.83</v>
      </c>
      <c r="D30" s="97">
        <v>150.31</v>
      </c>
      <c r="E30" s="97">
        <v>62.31</v>
      </c>
      <c r="F30" s="97">
        <v>69.41</v>
      </c>
      <c r="G30" s="97">
        <v>62.95</v>
      </c>
      <c r="H30" s="97">
        <v>91.21</v>
      </c>
      <c r="I30" s="97">
        <v>174.22</v>
      </c>
      <c r="J30" s="97">
        <v>124.82</v>
      </c>
      <c r="K30" s="97">
        <v>83.7</v>
      </c>
      <c r="L30" s="97">
        <v>70.83</v>
      </c>
      <c r="M30" s="97">
        <v>40.44</v>
      </c>
      <c r="N30" s="97">
        <v>50.29</v>
      </c>
      <c r="O30" s="91">
        <f t="shared" si="1"/>
        <v>1158.3200000000002</v>
      </c>
    </row>
    <row r="31" spans="2:15" x14ac:dyDescent="0.2">
      <c r="B31" s="90" t="s">
        <v>42</v>
      </c>
      <c r="C31" s="97">
        <v>0.02</v>
      </c>
      <c r="D31" s="97">
        <v>0</v>
      </c>
      <c r="E31" s="97">
        <v>0</v>
      </c>
      <c r="F31" s="97">
        <v>0.02</v>
      </c>
      <c r="G31" s="97">
        <v>0.06</v>
      </c>
      <c r="H31" s="97">
        <v>0</v>
      </c>
      <c r="I31" s="97">
        <v>0</v>
      </c>
      <c r="J31" s="97">
        <v>7.0000000000000007E-2</v>
      </c>
      <c r="K31" s="97">
        <v>0</v>
      </c>
      <c r="L31" s="97">
        <v>0.08</v>
      </c>
      <c r="M31" s="97">
        <v>0.01</v>
      </c>
      <c r="N31" s="97">
        <v>0.24</v>
      </c>
      <c r="O31" s="91">
        <f t="shared" si="1"/>
        <v>0.5</v>
      </c>
    </row>
    <row r="32" spans="2:15" x14ac:dyDescent="0.2">
      <c r="B32" s="90" t="s">
        <v>474</v>
      </c>
      <c r="C32" s="97">
        <v>0</v>
      </c>
      <c r="D32" s="97">
        <v>0</v>
      </c>
      <c r="E32" s="97">
        <v>0</v>
      </c>
      <c r="F32" s="97">
        <v>0</v>
      </c>
      <c r="G32" s="97">
        <v>0</v>
      </c>
      <c r="H32" s="97">
        <v>0</v>
      </c>
      <c r="I32" s="97">
        <v>0</v>
      </c>
      <c r="J32" s="97">
        <v>0</v>
      </c>
      <c r="K32" s="97">
        <v>0</v>
      </c>
      <c r="L32" s="97">
        <v>0</v>
      </c>
      <c r="M32" s="97">
        <v>0</v>
      </c>
      <c r="N32" s="97">
        <v>0</v>
      </c>
      <c r="O32" s="91">
        <f t="shared" si="1"/>
        <v>0</v>
      </c>
    </row>
    <row r="33" spans="1:15" x14ac:dyDescent="0.2">
      <c r="B33" s="90" t="s">
        <v>665</v>
      </c>
      <c r="C33" s="97">
        <v>0</v>
      </c>
      <c r="D33" s="97">
        <v>0</v>
      </c>
      <c r="E33" s="97">
        <v>0</v>
      </c>
      <c r="F33" s="97">
        <v>0</v>
      </c>
      <c r="G33" s="97">
        <v>0</v>
      </c>
      <c r="H33" s="97">
        <v>0</v>
      </c>
      <c r="I33" s="97">
        <v>0</v>
      </c>
      <c r="J33" s="97">
        <v>0</v>
      </c>
      <c r="K33" s="97">
        <v>0</v>
      </c>
      <c r="L33" s="97">
        <v>0</v>
      </c>
      <c r="M33" s="97">
        <v>0</v>
      </c>
      <c r="N33" s="97">
        <v>0</v>
      </c>
      <c r="O33" s="91">
        <f t="shared" si="1"/>
        <v>0</v>
      </c>
    </row>
    <row r="34" spans="1:15" x14ac:dyDescent="0.2">
      <c r="B34" s="90" t="s">
        <v>43</v>
      </c>
      <c r="C34" s="97">
        <v>0.18</v>
      </c>
      <c r="D34" s="97">
        <v>0.13</v>
      </c>
      <c r="E34" s="97">
        <v>0.1</v>
      </c>
      <c r="F34" s="97">
        <v>0.57999999999999996</v>
      </c>
      <c r="G34" s="97">
        <v>7.0000000000000007E-2</v>
      </c>
      <c r="H34" s="97">
        <v>0.85</v>
      </c>
      <c r="I34" s="97">
        <v>0.54</v>
      </c>
      <c r="J34" s="97">
        <v>0.11</v>
      </c>
      <c r="K34" s="97">
        <v>0.13</v>
      </c>
      <c r="L34" s="97">
        <v>0.71</v>
      </c>
      <c r="M34" s="97">
        <v>0.75</v>
      </c>
      <c r="N34" s="97">
        <v>0.13</v>
      </c>
      <c r="O34" s="91">
        <f t="shared" si="1"/>
        <v>4.28</v>
      </c>
    </row>
    <row r="35" spans="1:15" x14ac:dyDescent="0.2">
      <c r="B35" s="90" t="s">
        <v>44</v>
      </c>
      <c r="C35" s="97">
        <v>0</v>
      </c>
      <c r="D35" s="97">
        <v>0</v>
      </c>
      <c r="E35" s="97">
        <v>0</v>
      </c>
      <c r="F35" s="97">
        <v>0.04</v>
      </c>
      <c r="G35" s="97">
        <v>0</v>
      </c>
      <c r="H35" s="97">
        <v>0</v>
      </c>
      <c r="I35" s="97">
        <v>0</v>
      </c>
      <c r="J35" s="97">
        <v>0</v>
      </c>
      <c r="K35" s="97">
        <v>0</v>
      </c>
      <c r="L35" s="97">
        <v>0</v>
      </c>
      <c r="M35" s="97">
        <v>0</v>
      </c>
      <c r="N35" s="97">
        <v>0</v>
      </c>
      <c r="O35" s="91">
        <f t="shared" si="1"/>
        <v>0.04</v>
      </c>
    </row>
    <row r="36" spans="1:15" x14ac:dyDescent="0.2">
      <c r="B36" s="90" t="s">
        <v>45</v>
      </c>
      <c r="C36" s="97">
        <v>2.25</v>
      </c>
      <c r="D36" s="97">
        <v>0.01</v>
      </c>
      <c r="E36" s="97">
        <v>0.01</v>
      </c>
      <c r="F36" s="97">
        <v>0</v>
      </c>
      <c r="G36" s="97">
        <v>0.01</v>
      </c>
      <c r="H36" s="97">
        <v>0</v>
      </c>
      <c r="I36" s="97">
        <v>0</v>
      </c>
      <c r="J36" s="97">
        <v>0</v>
      </c>
      <c r="K36" s="97">
        <v>0</v>
      </c>
      <c r="L36" s="97">
        <v>0</v>
      </c>
      <c r="M36" s="97">
        <v>0.01</v>
      </c>
      <c r="N36" s="97">
        <v>0</v>
      </c>
      <c r="O36" s="91">
        <f t="shared" si="1"/>
        <v>2.2899999999999991</v>
      </c>
    </row>
    <row r="37" spans="1:15" ht="11.25" customHeight="1" x14ac:dyDescent="0.2">
      <c r="B37" s="90" t="s">
        <v>6</v>
      </c>
      <c r="C37" s="97"/>
      <c r="D37" s="97"/>
      <c r="E37" s="97"/>
      <c r="F37" s="97"/>
      <c r="G37" s="97"/>
      <c r="H37" s="97"/>
      <c r="I37" s="97"/>
      <c r="J37" s="97"/>
      <c r="K37" s="97"/>
      <c r="L37" s="97"/>
      <c r="M37" s="97"/>
      <c r="N37" s="97"/>
    </row>
    <row r="38" spans="1:15" s="95" customFormat="1" ht="15" x14ac:dyDescent="0.25">
      <c r="A38" s="94" t="s">
        <v>46</v>
      </c>
      <c r="C38" s="96">
        <f>SUM(C39:C45)</f>
        <v>0.7</v>
      </c>
      <c r="D38" s="96">
        <f t="shared" ref="D38:O38" si="2">SUM(D39:D45)</f>
        <v>3.02</v>
      </c>
      <c r="E38" s="96">
        <f t="shared" si="2"/>
        <v>5.61</v>
      </c>
      <c r="F38" s="96">
        <f t="shared" si="2"/>
        <v>0.98</v>
      </c>
      <c r="G38" s="96">
        <f t="shared" si="2"/>
        <v>4.8899999999999997</v>
      </c>
      <c r="H38" s="96">
        <f t="shared" si="2"/>
        <v>1.9200000000000002</v>
      </c>
      <c r="I38" s="96">
        <f t="shared" si="2"/>
        <v>219.17</v>
      </c>
      <c r="J38" s="96">
        <f t="shared" si="2"/>
        <v>2.08</v>
      </c>
      <c r="K38" s="96">
        <f t="shared" si="2"/>
        <v>2.83</v>
      </c>
      <c r="L38" s="96">
        <f t="shared" si="2"/>
        <v>7.2299999999999995</v>
      </c>
      <c r="M38" s="96">
        <f t="shared" si="2"/>
        <v>22.08</v>
      </c>
      <c r="N38" s="96">
        <f t="shared" si="2"/>
        <v>30.450000000000003</v>
      </c>
      <c r="O38" s="96">
        <f t="shared" si="2"/>
        <v>300.95999999999992</v>
      </c>
    </row>
    <row r="39" spans="1:15" x14ac:dyDescent="0.2">
      <c r="B39" s="90" t="s">
        <v>47</v>
      </c>
      <c r="C39" s="97">
        <v>0.26</v>
      </c>
      <c r="D39" s="97">
        <v>1.1200000000000001</v>
      </c>
      <c r="E39" s="97">
        <v>0.18</v>
      </c>
      <c r="F39" s="97">
        <v>0.28999999999999998</v>
      </c>
      <c r="G39" s="97">
        <v>0.04</v>
      </c>
      <c r="H39" s="97">
        <v>0.79</v>
      </c>
      <c r="I39" s="97">
        <v>0.38</v>
      </c>
      <c r="J39" s="97">
        <v>1.68</v>
      </c>
      <c r="K39" s="97">
        <v>0.09</v>
      </c>
      <c r="L39" s="97">
        <v>0.25</v>
      </c>
      <c r="M39" s="97">
        <v>0.31</v>
      </c>
      <c r="N39" s="97">
        <v>7.0000000000000007E-2</v>
      </c>
      <c r="O39" s="91">
        <f>SUM(C39:N39)</f>
        <v>5.46</v>
      </c>
    </row>
    <row r="40" spans="1:15" x14ac:dyDescent="0.2">
      <c r="B40" s="90" t="s">
        <v>48</v>
      </c>
      <c r="C40" s="97">
        <v>0</v>
      </c>
      <c r="D40" s="97">
        <v>0.01</v>
      </c>
      <c r="E40" s="97">
        <v>0</v>
      </c>
      <c r="F40" s="97">
        <v>0</v>
      </c>
      <c r="G40" s="97">
        <v>0.03</v>
      </c>
      <c r="H40" s="97">
        <v>0</v>
      </c>
      <c r="I40" s="97">
        <v>0</v>
      </c>
      <c r="J40" s="97">
        <v>0</v>
      </c>
      <c r="K40" s="97">
        <v>0</v>
      </c>
      <c r="L40" s="97">
        <v>0</v>
      </c>
      <c r="M40" s="97">
        <v>0</v>
      </c>
      <c r="N40" s="97">
        <v>30.04</v>
      </c>
      <c r="O40" s="91">
        <f t="shared" ref="O40:O45" si="3">SUM(C40:N40)</f>
        <v>30.08</v>
      </c>
    </row>
    <row r="41" spans="1:15" x14ac:dyDescent="0.2">
      <c r="B41" s="90" t="s">
        <v>49</v>
      </c>
      <c r="C41" s="97">
        <v>0.18</v>
      </c>
      <c r="D41" s="97">
        <v>1.68</v>
      </c>
      <c r="E41" s="97">
        <v>0.2</v>
      </c>
      <c r="F41" s="97">
        <v>0.11</v>
      </c>
      <c r="G41" s="97">
        <v>4.8</v>
      </c>
      <c r="H41" s="97">
        <v>0.05</v>
      </c>
      <c r="I41" s="97">
        <v>2.0499999999999998</v>
      </c>
      <c r="J41" s="97">
        <v>0.11</v>
      </c>
      <c r="K41" s="97">
        <v>1.39</v>
      </c>
      <c r="L41" s="97">
        <v>0.22</v>
      </c>
      <c r="M41" s="97">
        <v>0.2</v>
      </c>
      <c r="N41" s="97">
        <v>0.16</v>
      </c>
      <c r="O41" s="91">
        <f t="shared" si="3"/>
        <v>11.15</v>
      </c>
    </row>
    <row r="42" spans="1:15" x14ac:dyDescent="0.2">
      <c r="B42" s="90" t="s">
        <v>50</v>
      </c>
      <c r="C42" s="97">
        <v>0</v>
      </c>
      <c r="D42" s="97">
        <v>0</v>
      </c>
      <c r="E42" s="97">
        <v>0</v>
      </c>
      <c r="F42" s="97">
        <v>0</v>
      </c>
      <c r="G42" s="97">
        <v>0</v>
      </c>
      <c r="H42" s="97">
        <v>0</v>
      </c>
      <c r="I42" s="97">
        <v>0</v>
      </c>
      <c r="J42" s="97">
        <v>0</v>
      </c>
      <c r="K42" s="97">
        <v>0</v>
      </c>
      <c r="L42" s="97">
        <v>0</v>
      </c>
      <c r="M42" s="97">
        <v>0</v>
      </c>
      <c r="N42" s="97">
        <v>0</v>
      </c>
      <c r="O42" s="91">
        <f t="shared" si="3"/>
        <v>0</v>
      </c>
    </row>
    <row r="43" spans="1:15" s="103" customFormat="1" x14ac:dyDescent="0.2">
      <c r="A43" s="90"/>
      <c r="B43" s="90" t="s">
        <v>51</v>
      </c>
      <c r="C43" s="97">
        <v>0</v>
      </c>
      <c r="D43" s="97">
        <v>0.16</v>
      </c>
      <c r="E43" s="97">
        <v>0</v>
      </c>
      <c r="F43" s="97">
        <v>0.03</v>
      </c>
      <c r="G43" s="97">
        <v>0</v>
      </c>
      <c r="H43" s="97">
        <v>0.01</v>
      </c>
      <c r="I43" s="97">
        <v>0.1</v>
      </c>
      <c r="J43" s="97">
        <v>0.01</v>
      </c>
      <c r="K43" s="97">
        <v>0</v>
      </c>
      <c r="L43" s="97">
        <v>0.02</v>
      </c>
      <c r="M43" s="97">
        <v>0.03</v>
      </c>
      <c r="N43" s="97">
        <v>0.01</v>
      </c>
      <c r="O43" s="91">
        <f t="shared" si="3"/>
        <v>0.37000000000000011</v>
      </c>
    </row>
    <row r="44" spans="1:15" x14ac:dyDescent="0.2">
      <c r="B44" s="90" t="s">
        <v>52</v>
      </c>
      <c r="C44" s="97">
        <v>0</v>
      </c>
      <c r="D44" s="97">
        <v>0.05</v>
      </c>
      <c r="E44" s="97">
        <v>5.23</v>
      </c>
      <c r="F44" s="97">
        <v>0.09</v>
      </c>
      <c r="G44" s="97">
        <v>0.02</v>
      </c>
      <c r="H44" s="97">
        <v>0.97</v>
      </c>
      <c r="I44" s="97">
        <v>216.35</v>
      </c>
      <c r="J44" s="97">
        <v>0.26</v>
      </c>
      <c r="K44" s="97">
        <v>0.98</v>
      </c>
      <c r="L44" s="97">
        <v>6.72</v>
      </c>
      <c r="M44" s="97">
        <v>21.04</v>
      </c>
      <c r="N44" s="97">
        <v>0.05</v>
      </c>
      <c r="O44" s="91">
        <f t="shared" si="3"/>
        <v>251.75999999999996</v>
      </c>
    </row>
    <row r="45" spans="1:15" x14ac:dyDescent="0.2">
      <c r="B45" s="90" t="s">
        <v>53</v>
      </c>
      <c r="C45" s="97">
        <v>0.26</v>
      </c>
      <c r="D45" s="97">
        <v>0</v>
      </c>
      <c r="E45" s="97">
        <v>0</v>
      </c>
      <c r="F45" s="97">
        <v>0.46</v>
      </c>
      <c r="G45" s="97">
        <v>0</v>
      </c>
      <c r="H45" s="97">
        <v>0.1</v>
      </c>
      <c r="I45" s="97">
        <v>0.28999999999999998</v>
      </c>
      <c r="J45" s="97">
        <v>0.02</v>
      </c>
      <c r="K45" s="97">
        <v>0.37</v>
      </c>
      <c r="L45" s="97">
        <v>0.02</v>
      </c>
      <c r="M45" s="97">
        <v>0.5</v>
      </c>
      <c r="N45" s="97">
        <v>0.12</v>
      </c>
      <c r="O45" s="91">
        <f t="shared" si="3"/>
        <v>2.14</v>
      </c>
    </row>
    <row r="47" spans="1:15" s="95" customFormat="1" ht="15" x14ac:dyDescent="0.25">
      <c r="A47" s="94" t="s">
        <v>54</v>
      </c>
      <c r="C47" s="96">
        <f>SUM(C48:C62)</f>
        <v>95.899999999999977</v>
      </c>
      <c r="D47" s="96">
        <f t="shared" ref="D47:O47" si="4">SUM(D48:D62)</f>
        <v>69.179999999999993</v>
      </c>
      <c r="E47" s="96">
        <f t="shared" si="4"/>
        <v>57.489999999999995</v>
      </c>
      <c r="F47" s="96">
        <f t="shared" si="4"/>
        <v>57.400000000000006</v>
      </c>
      <c r="G47" s="96">
        <f t="shared" si="4"/>
        <v>55.850000000000009</v>
      </c>
      <c r="H47" s="96">
        <f t="shared" si="4"/>
        <v>59.67</v>
      </c>
      <c r="I47" s="96">
        <f t="shared" si="4"/>
        <v>66.3</v>
      </c>
      <c r="J47" s="96">
        <f t="shared" si="4"/>
        <v>55.67</v>
      </c>
      <c r="K47" s="96">
        <f t="shared" si="4"/>
        <v>62.28</v>
      </c>
      <c r="L47" s="96">
        <f t="shared" si="4"/>
        <v>59.809999999999988</v>
      </c>
      <c r="M47" s="96">
        <f t="shared" si="4"/>
        <v>46.97</v>
      </c>
      <c r="N47" s="96">
        <f t="shared" si="4"/>
        <v>53.000000000000007</v>
      </c>
      <c r="O47" s="96">
        <f t="shared" si="4"/>
        <v>739.52</v>
      </c>
    </row>
    <row r="48" spans="1:15" x14ac:dyDescent="0.2">
      <c r="B48" s="90" t="s">
        <v>55</v>
      </c>
      <c r="C48" s="97">
        <v>16.11</v>
      </c>
      <c r="D48" s="97">
        <v>7.48</v>
      </c>
      <c r="E48" s="97">
        <v>6.8</v>
      </c>
      <c r="F48" s="97">
        <v>7.43</v>
      </c>
      <c r="G48" s="97">
        <v>3.71</v>
      </c>
      <c r="H48" s="97">
        <v>2.81</v>
      </c>
      <c r="I48" s="97">
        <v>6.33</v>
      </c>
      <c r="J48" s="97">
        <v>3.21</v>
      </c>
      <c r="K48" s="97">
        <v>5.75</v>
      </c>
      <c r="L48" s="97">
        <v>4.99</v>
      </c>
      <c r="M48" s="97">
        <v>4.4400000000000004</v>
      </c>
      <c r="N48" s="97">
        <v>6.78</v>
      </c>
      <c r="O48" s="91">
        <f>SUM(C48:N48)</f>
        <v>75.84</v>
      </c>
    </row>
    <row r="49" spans="1:15" x14ac:dyDescent="0.2">
      <c r="B49" s="90" t="s">
        <v>56</v>
      </c>
      <c r="C49" s="97">
        <v>0</v>
      </c>
      <c r="D49" s="97">
        <v>0.15</v>
      </c>
      <c r="E49" s="97">
        <v>0.36</v>
      </c>
      <c r="F49" s="97">
        <v>0</v>
      </c>
      <c r="G49" s="97">
        <v>0.03</v>
      </c>
      <c r="H49" s="97">
        <v>0.03</v>
      </c>
      <c r="I49" s="97">
        <v>7.0000000000000007E-2</v>
      </c>
      <c r="J49" s="97">
        <v>0.01</v>
      </c>
      <c r="K49" s="97">
        <v>0.01</v>
      </c>
      <c r="L49" s="97">
        <v>0.04</v>
      </c>
      <c r="M49" s="97">
        <v>0.25</v>
      </c>
      <c r="N49" s="97">
        <v>0.1</v>
      </c>
      <c r="O49" s="91">
        <f t="shared" ref="O49:O62" si="5">SUM(C49:N49)</f>
        <v>1.0500000000000003</v>
      </c>
    </row>
    <row r="50" spans="1:15" x14ac:dyDescent="0.2">
      <c r="B50" s="90" t="s">
        <v>477</v>
      </c>
      <c r="C50" s="97">
        <v>0</v>
      </c>
      <c r="D50" s="97">
        <v>0</v>
      </c>
      <c r="E50" s="97">
        <v>0</v>
      </c>
      <c r="F50" s="97">
        <v>0</v>
      </c>
      <c r="G50" s="97">
        <v>0</v>
      </c>
      <c r="H50" s="97">
        <v>0</v>
      </c>
      <c r="I50" s="97">
        <v>0.06</v>
      </c>
      <c r="J50" s="97">
        <v>0.01</v>
      </c>
      <c r="K50" s="97">
        <v>0.05</v>
      </c>
      <c r="L50" s="97">
        <v>0.01</v>
      </c>
      <c r="M50" s="97">
        <v>0</v>
      </c>
      <c r="N50" s="97">
        <v>0</v>
      </c>
      <c r="O50" s="91">
        <f t="shared" si="5"/>
        <v>0.13</v>
      </c>
    </row>
    <row r="51" spans="1:15" x14ac:dyDescent="0.2">
      <c r="B51" s="90" t="s">
        <v>57</v>
      </c>
      <c r="C51" s="97">
        <v>30.6</v>
      </c>
      <c r="D51" s="97">
        <v>25.95</v>
      </c>
      <c r="E51" s="97">
        <v>16.829999999999998</v>
      </c>
      <c r="F51" s="97">
        <v>21.45</v>
      </c>
      <c r="G51" s="97">
        <v>21.21</v>
      </c>
      <c r="H51" s="97">
        <v>29.97</v>
      </c>
      <c r="I51" s="97">
        <v>21.53</v>
      </c>
      <c r="J51" s="97">
        <v>22.62</v>
      </c>
      <c r="K51" s="97">
        <v>25.6</v>
      </c>
      <c r="L51" s="97">
        <v>26.53</v>
      </c>
      <c r="M51" s="97">
        <v>18.989999999999998</v>
      </c>
      <c r="N51" s="97">
        <v>20.91</v>
      </c>
      <c r="O51" s="91">
        <f t="shared" si="5"/>
        <v>282.19</v>
      </c>
    </row>
    <row r="52" spans="1:15" x14ac:dyDescent="0.2">
      <c r="B52" s="90" t="s">
        <v>58</v>
      </c>
      <c r="C52" s="97">
        <v>20.09</v>
      </c>
      <c r="D52" s="97">
        <v>8.26</v>
      </c>
      <c r="E52" s="97">
        <v>7.4</v>
      </c>
      <c r="F52" s="97">
        <v>5.49</v>
      </c>
      <c r="G52" s="97">
        <v>4.72</v>
      </c>
      <c r="H52" s="97">
        <v>3.52</v>
      </c>
      <c r="I52" s="97">
        <v>5.64</v>
      </c>
      <c r="J52" s="97">
        <v>3.58</v>
      </c>
      <c r="K52" s="97">
        <v>2.69</v>
      </c>
      <c r="L52" s="97">
        <v>3.82</v>
      </c>
      <c r="M52" s="97">
        <v>3.02</v>
      </c>
      <c r="N52" s="97">
        <v>5.67</v>
      </c>
      <c r="O52" s="91">
        <f t="shared" si="5"/>
        <v>73.899999999999991</v>
      </c>
    </row>
    <row r="53" spans="1:15" x14ac:dyDescent="0.2">
      <c r="B53" s="90" t="s">
        <v>59</v>
      </c>
      <c r="C53" s="97">
        <v>3.63</v>
      </c>
      <c r="D53" s="97">
        <v>3.43</v>
      </c>
      <c r="E53" s="97">
        <v>2.48</v>
      </c>
      <c r="F53" s="97">
        <v>2.14</v>
      </c>
      <c r="G53" s="97">
        <v>2.84</v>
      </c>
      <c r="H53" s="97">
        <v>1.78</v>
      </c>
      <c r="I53" s="97">
        <v>6.78</v>
      </c>
      <c r="J53" s="97">
        <v>1.67</v>
      </c>
      <c r="K53" s="97">
        <v>4</v>
      </c>
      <c r="L53" s="97">
        <v>1.23</v>
      </c>
      <c r="M53" s="97">
        <v>2.46</v>
      </c>
      <c r="N53" s="97">
        <v>1.68</v>
      </c>
      <c r="O53" s="91">
        <f t="shared" si="5"/>
        <v>34.119999999999997</v>
      </c>
    </row>
    <row r="54" spans="1:15" x14ac:dyDescent="0.2">
      <c r="B54" s="90" t="s">
        <v>60</v>
      </c>
      <c r="C54" s="97">
        <v>0.46</v>
      </c>
      <c r="D54" s="97">
        <v>0.05</v>
      </c>
      <c r="E54" s="97">
        <v>0.03</v>
      </c>
      <c r="F54" s="97">
        <v>0.99</v>
      </c>
      <c r="G54" s="97">
        <v>0.09</v>
      </c>
      <c r="H54" s="97">
        <v>0.01</v>
      </c>
      <c r="I54" s="97">
        <v>0.19</v>
      </c>
      <c r="J54" s="97">
        <v>0.02</v>
      </c>
      <c r="K54" s="97">
        <v>0.02</v>
      </c>
      <c r="L54" s="97">
        <v>0.12</v>
      </c>
      <c r="M54" s="97">
        <v>0.02</v>
      </c>
      <c r="N54" s="97">
        <v>0</v>
      </c>
      <c r="O54" s="91">
        <f t="shared" si="5"/>
        <v>2</v>
      </c>
    </row>
    <row r="55" spans="1:15" x14ac:dyDescent="0.2">
      <c r="B55" s="90" t="s">
        <v>61</v>
      </c>
      <c r="C55" s="97">
        <v>0.08</v>
      </c>
      <c r="D55" s="97">
        <v>0.05</v>
      </c>
      <c r="E55" s="97">
        <v>0.05</v>
      </c>
      <c r="F55" s="97">
        <v>0.06</v>
      </c>
      <c r="G55" s="97">
        <v>0.03</v>
      </c>
      <c r="H55" s="97">
        <v>0.04</v>
      </c>
      <c r="I55" s="97">
        <v>0.05</v>
      </c>
      <c r="J55" s="97">
        <v>0.05</v>
      </c>
      <c r="K55" s="97">
        <v>0.34</v>
      </c>
      <c r="L55" s="97">
        <v>0.08</v>
      </c>
      <c r="M55" s="97">
        <v>0.25</v>
      </c>
      <c r="N55" s="97">
        <v>0.02</v>
      </c>
      <c r="O55" s="91">
        <f t="shared" si="5"/>
        <v>1.1000000000000001</v>
      </c>
    </row>
    <row r="56" spans="1:15" x14ac:dyDescent="0.2">
      <c r="B56" s="90" t="s">
        <v>62</v>
      </c>
      <c r="C56" s="97">
        <v>0</v>
      </c>
      <c r="D56" s="97">
        <v>0</v>
      </c>
      <c r="E56" s="97">
        <v>0</v>
      </c>
      <c r="F56" s="97">
        <v>0</v>
      </c>
      <c r="G56" s="97">
        <v>0</v>
      </c>
      <c r="H56" s="97">
        <v>0</v>
      </c>
      <c r="I56" s="97">
        <v>0</v>
      </c>
      <c r="J56" s="97">
        <v>0</v>
      </c>
      <c r="K56" s="97">
        <v>0</v>
      </c>
      <c r="L56" s="97">
        <v>0</v>
      </c>
      <c r="M56" s="97">
        <v>0</v>
      </c>
      <c r="N56" s="97">
        <v>0</v>
      </c>
      <c r="O56" s="91">
        <f t="shared" si="5"/>
        <v>0</v>
      </c>
    </row>
    <row r="57" spans="1:15" x14ac:dyDescent="0.2">
      <c r="B57" s="90" t="s">
        <v>63</v>
      </c>
      <c r="C57" s="97">
        <v>0.14000000000000001</v>
      </c>
      <c r="D57" s="97">
        <v>5</v>
      </c>
      <c r="E57" s="97">
        <v>6.04</v>
      </c>
      <c r="F57" s="97">
        <v>4.4800000000000004</v>
      </c>
      <c r="G57" s="97">
        <v>4.53</v>
      </c>
      <c r="H57" s="97">
        <v>6.12</v>
      </c>
      <c r="I57" s="97">
        <v>6.36</v>
      </c>
      <c r="J57" s="97">
        <v>5.29</v>
      </c>
      <c r="K57" s="97">
        <v>5.58</v>
      </c>
      <c r="L57" s="97">
        <v>5.58</v>
      </c>
      <c r="M57" s="97">
        <v>3.62</v>
      </c>
      <c r="N57" s="97">
        <v>4.3600000000000003</v>
      </c>
      <c r="O57" s="91">
        <f t="shared" si="5"/>
        <v>57.099999999999994</v>
      </c>
    </row>
    <row r="58" spans="1:15" x14ac:dyDescent="0.2">
      <c r="B58" s="90" t="s">
        <v>64</v>
      </c>
      <c r="C58" s="97">
        <v>0.31</v>
      </c>
      <c r="D58" s="97">
        <v>0.54</v>
      </c>
      <c r="E58" s="97">
        <v>0.19</v>
      </c>
      <c r="F58" s="97">
        <v>0.41</v>
      </c>
      <c r="G58" s="97">
        <v>0.34</v>
      </c>
      <c r="H58" s="97">
        <v>0.28000000000000003</v>
      </c>
      <c r="I58" s="97">
        <v>0.26</v>
      </c>
      <c r="J58" s="97">
        <v>0.18</v>
      </c>
      <c r="K58" s="97">
        <v>0.12</v>
      </c>
      <c r="L58" s="97">
        <v>0.21</v>
      </c>
      <c r="M58" s="97">
        <v>0.17</v>
      </c>
      <c r="N58" s="97">
        <v>0.15</v>
      </c>
      <c r="O58" s="91">
        <f t="shared" si="5"/>
        <v>3.16</v>
      </c>
    </row>
    <row r="59" spans="1:15" s="92" customFormat="1" x14ac:dyDescent="0.2">
      <c r="B59" s="105" t="s">
        <v>65</v>
      </c>
      <c r="C59" s="97">
        <v>0</v>
      </c>
      <c r="D59" s="97">
        <v>0.06</v>
      </c>
      <c r="E59" s="97">
        <v>0.05</v>
      </c>
      <c r="F59" s="97">
        <v>0</v>
      </c>
      <c r="G59" s="97">
        <v>0</v>
      </c>
      <c r="H59" s="97">
        <v>0</v>
      </c>
      <c r="I59" s="97">
        <v>0.01</v>
      </c>
      <c r="J59" s="97">
        <v>0</v>
      </c>
      <c r="K59" s="97">
        <v>0.01</v>
      </c>
      <c r="L59" s="97">
        <v>0</v>
      </c>
      <c r="M59" s="97">
        <v>0.01</v>
      </c>
      <c r="N59" s="97">
        <v>0</v>
      </c>
      <c r="O59" s="91">
        <f t="shared" si="5"/>
        <v>0.14000000000000001</v>
      </c>
    </row>
    <row r="60" spans="1:15" x14ac:dyDescent="0.2">
      <c r="B60" s="90" t="s">
        <v>66</v>
      </c>
      <c r="C60" s="97">
        <v>0.41</v>
      </c>
      <c r="D60" s="97">
        <v>0</v>
      </c>
      <c r="E60" s="97">
        <v>0</v>
      </c>
      <c r="F60" s="97">
        <v>0</v>
      </c>
      <c r="G60" s="97">
        <v>0</v>
      </c>
      <c r="H60" s="97">
        <v>0</v>
      </c>
      <c r="I60" s="97">
        <v>0</v>
      </c>
      <c r="J60" s="97">
        <v>0</v>
      </c>
      <c r="K60" s="97">
        <v>0</v>
      </c>
      <c r="L60" s="97">
        <v>0</v>
      </c>
      <c r="M60" s="97">
        <v>0</v>
      </c>
      <c r="N60" s="97">
        <v>0.03</v>
      </c>
      <c r="O60" s="91">
        <f t="shared" si="5"/>
        <v>0.43999999999999995</v>
      </c>
    </row>
    <row r="61" spans="1:15" x14ac:dyDescent="0.2">
      <c r="B61" s="90" t="s">
        <v>67</v>
      </c>
      <c r="C61" s="97">
        <v>24.07</v>
      </c>
      <c r="D61" s="97">
        <v>18.21</v>
      </c>
      <c r="E61" s="97">
        <v>17.260000000000002</v>
      </c>
      <c r="F61" s="97">
        <v>14.95</v>
      </c>
      <c r="G61" s="97">
        <v>18.350000000000001</v>
      </c>
      <c r="H61" s="97">
        <v>0</v>
      </c>
      <c r="I61" s="97">
        <v>19.02</v>
      </c>
      <c r="J61" s="97">
        <v>19.03</v>
      </c>
      <c r="K61" s="97">
        <v>18.11</v>
      </c>
      <c r="L61" s="97">
        <v>17.2</v>
      </c>
      <c r="M61" s="97">
        <v>13.74</v>
      </c>
      <c r="N61" s="97">
        <v>13.28</v>
      </c>
      <c r="O61" s="91">
        <f t="shared" si="5"/>
        <v>193.22</v>
      </c>
    </row>
    <row r="62" spans="1:15" x14ac:dyDescent="0.2">
      <c r="B62" s="90" t="s">
        <v>68</v>
      </c>
      <c r="C62" s="97">
        <v>0</v>
      </c>
      <c r="D62" s="97">
        <v>0</v>
      </c>
      <c r="E62" s="97">
        <v>0</v>
      </c>
      <c r="F62" s="97">
        <v>0</v>
      </c>
      <c r="G62" s="97">
        <v>0</v>
      </c>
      <c r="H62" s="97">
        <v>15.11</v>
      </c>
      <c r="I62" s="97">
        <v>0</v>
      </c>
      <c r="J62" s="97">
        <v>0</v>
      </c>
      <c r="K62" s="97">
        <v>0</v>
      </c>
      <c r="L62" s="97">
        <v>0</v>
      </c>
      <c r="M62" s="97">
        <v>0</v>
      </c>
      <c r="N62" s="97">
        <v>0.02</v>
      </c>
      <c r="O62" s="91">
        <f t="shared" si="5"/>
        <v>15.129999999999999</v>
      </c>
    </row>
    <row r="64" spans="1:15" s="95" customFormat="1" ht="15" x14ac:dyDescent="0.25">
      <c r="A64" s="94" t="s">
        <v>69</v>
      </c>
      <c r="C64" s="96">
        <f t="shared" ref="C64:O64" si="6">SUM(C65:C65)</f>
        <v>0.53</v>
      </c>
      <c r="D64" s="96">
        <f t="shared" si="6"/>
        <v>0.02</v>
      </c>
      <c r="E64" s="96">
        <f t="shared" si="6"/>
        <v>0.61</v>
      </c>
      <c r="F64" s="96">
        <f t="shared" si="6"/>
        <v>0.34</v>
      </c>
      <c r="G64" s="96">
        <f t="shared" si="6"/>
        <v>0.28000000000000003</v>
      </c>
      <c r="H64" s="96">
        <f t="shared" si="6"/>
        <v>11.25</v>
      </c>
      <c r="I64" s="96">
        <f t="shared" si="6"/>
        <v>49.09</v>
      </c>
      <c r="J64" s="96">
        <f t="shared" si="6"/>
        <v>0.56999999999999995</v>
      </c>
      <c r="K64" s="96">
        <f t="shared" si="6"/>
        <v>5.23</v>
      </c>
      <c r="L64" s="96">
        <f t="shared" si="6"/>
        <v>0.1</v>
      </c>
      <c r="M64" s="96">
        <f t="shared" si="6"/>
        <v>0.2</v>
      </c>
      <c r="N64" s="96">
        <f t="shared" si="6"/>
        <v>0.03</v>
      </c>
      <c r="O64" s="106">
        <f t="shared" si="6"/>
        <v>68.25</v>
      </c>
    </row>
    <row r="65" spans="1:15" x14ac:dyDescent="0.2">
      <c r="B65" s="90" t="s">
        <v>70</v>
      </c>
      <c r="C65" s="97">
        <v>0.53</v>
      </c>
      <c r="D65" s="97">
        <v>0.02</v>
      </c>
      <c r="E65" s="97">
        <v>0.61</v>
      </c>
      <c r="F65" s="97">
        <v>0.34</v>
      </c>
      <c r="G65" s="97">
        <v>0.28000000000000003</v>
      </c>
      <c r="H65" s="97">
        <v>11.25</v>
      </c>
      <c r="I65" s="97">
        <v>49.09</v>
      </c>
      <c r="J65" s="97">
        <v>0.56999999999999995</v>
      </c>
      <c r="K65" s="97">
        <v>5.23</v>
      </c>
      <c r="L65" s="97">
        <v>0.1</v>
      </c>
      <c r="M65" s="97">
        <v>0.2</v>
      </c>
      <c r="N65" s="97">
        <v>0.03</v>
      </c>
      <c r="O65" s="91">
        <f>SUM(C65:N65)</f>
        <v>68.25</v>
      </c>
    </row>
    <row r="66" spans="1:15" ht="12.75" customHeight="1" x14ac:dyDescent="0.2">
      <c r="C66" s="97"/>
      <c r="D66" s="97"/>
      <c r="E66" s="97"/>
      <c r="F66" s="97"/>
      <c r="G66" s="97"/>
      <c r="H66" s="97"/>
      <c r="I66" s="97"/>
      <c r="J66" s="97"/>
      <c r="K66" s="97"/>
      <c r="L66" s="97"/>
      <c r="M66" s="97"/>
      <c r="N66" s="97"/>
    </row>
    <row r="67" spans="1:15" s="95" customFormat="1" ht="15" x14ac:dyDescent="0.25">
      <c r="A67" s="94" t="s">
        <v>71</v>
      </c>
      <c r="C67" s="96">
        <f>SUM(C68:C70)</f>
        <v>26.31</v>
      </c>
      <c r="D67" s="96">
        <f t="shared" ref="D67:O67" si="7">SUM(D68:D70)</f>
        <v>12.75</v>
      </c>
      <c r="E67" s="96">
        <f t="shared" si="7"/>
        <v>14.02</v>
      </c>
      <c r="F67" s="96">
        <f t="shared" si="7"/>
        <v>12.31</v>
      </c>
      <c r="G67" s="96">
        <f t="shared" si="7"/>
        <v>8.43</v>
      </c>
      <c r="H67" s="96">
        <f t="shared" si="7"/>
        <v>7.22</v>
      </c>
      <c r="I67" s="96">
        <f t="shared" si="7"/>
        <v>17.059999999999999</v>
      </c>
      <c r="J67" s="96">
        <f t="shared" si="7"/>
        <v>8.49</v>
      </c>
      <c r="K67" s="96">
        <f t="shared" si="7"/>
        <v>8.9600000000000009</v>
      </c>
      <c r="L67" s="96">
        <f t="shared" si="7"/>
        <v>7.3500000000000005</v>
      </c>
      <c r="M67" s="96">
        <f t="shared" si="7"/>
        <v>5.47</v>
      </c>
      <c r="N67" s="96">
        <f t="shared" si="7"/>
        <v>4.34</v>
      </c>
      <c r="O67" s="96">
        <f t="shared" si="7"/>
        <v>132.70999999999998</v>
      </c>
    </row>
    <row r="68" spans="1:15" x14ac:dyDescent="0.2">
      <c r="B68" s="90" t="s">
        <v>72</v>
      </c>
      <c r="C68" s="97">
        <v>26.25</v>
      </c>
      <c r="D68" s="97">
        <v>11.65</v>
      </c>
      <c r="E68" s="97">
        <v>14</v>
      </c>
      <c r="F68" s="97">
        <v>8.41</v>
      </c>
      <c r="G68" s="97">
        <v>8.32</v>
      </c>
      <c r="H68" s="97">
        <v>7.18</v>
      </c>
      <c r="I68" s="97">
        <v>17</v>
      </c>
      <c r="J68" s="97">
        <v>8.4600000000000009</v>
      </c>
      <c r="K68" s="97">
        <v>8.91</v>
      </c>
      <c r="L68" s="97">
        <v>7.32</v>
      </c>
      <c r="M68" s="97">
        <v>5.46</v>
      </c>
      <c r="N68" s="97">
        <v>4.25</v>
      </c>
      <c r="O68" s="91">
        <f>SUM(C68:N68)</f>
        <v>127.21</v>
      </c>
    </row>
    <row r="69" spans="1:15" x14ac:dyDescent="0.2">
      <c r="B69" s="90" t="s">
        <v>73</v>
      </c>
      <c r="C69" s="97">
        <v>0.06</v>
      </c>
      <c r="D69" s="97">
        <v>1.1000000000000001</v>
      </c>
      <c r="E69" s="97">
        <v>0.02</v>
      </c>
      <c r="F69" s="97">
        <v>3.9</v>
      </c>
      <c r="G69" s="97">
        <v>0.11</v>
      </c>
      <c r="H69" s="97">
        <v>0.04</v>
      </c>
      <c r="I69" s="97">
        <v>0.06</v>
      </c>
      <c r="J69" s="97">
        <v>0.03</v>
      </c>
      <c r="K69" s="97">
        <v>0.05</v>
      </c>
      <c r="L69" s="97">
        <v>0.03</v>
      </c>
      <c r="M69" s="97">
        <v>0.01</v>
      </c>
      <c r="N69" s="97">
        <v>0.09</v>
      </c>
      <c r="O69" s="91">
        <f t="shared" ref="O69:O70" si="8">SUM(C69:N69)</f>
        <v>5.5</v>
      </c>
    </row>
    <row r="70" spans="1:15" x14ac:dyDescent="0.2">
      <c r="B70" s="90" t="s">
        <v>74</v>
      </c>
      <c r="C70" s="97">
        <v>0</v>
      </c>
      <c r="D70" s="97">
        <v>0</v>
      </c>
      <c r="E70" s="97">
        <v>0</v>
      </c>
      <c r="F70" s="97">
        <v>0</v>
      </c>
      <c r="G70" s="97">
        <v>0</v>
      </c>
      <c r="H70" s="97">
        <v>0</v>
      </c>
      <c r="I70" s="97">
        <v>0</v>
      </c>
      <c r="J70" s="97">
        <v>0</v>
      </c>
      <c r="K70" s="97">
        <v>0</v>
      </c>
      <c r="L70" s="97">
        <v>0</v>
      </c>
      <c r="M70" s="97">
        <v>0</v>
      </c>
      <c r="N70" s="97">
        <v>0</v>
      </c>
      <c r="O70" s="91">
        <f t="shared" si="8"/>
        <v>0</v>
      </c>
    </row>
    <row r="71" spans="1:15" ht="12.75" customHeight="1" x14ac:dyDescent="0.2">
      <c r="C71" s="97"/>
      <c r="D71" s="97"/>
      <c r="E71" s="97"/>
      <c r="F71" s="97"/>
      <c r="G71" s="97"/>
      <c r="H71" s="97"/>
      <c r="I71" s="97"/>
      <c r="J71" s="97"/>
      <c r="K71" s="97"/>
      <c r="L71" s="97"/>
      <c r="M71" s="97"/>
      <c r="N71" s="97"/>
    </row>
    <row r="72" spans="1:15" s="95" customFormat="1" ht="15" x14ac:dyDescent="0.25">
      <c r="A72" s="94" t="s">
        <v>75</v>
      </c>
      <c r="C72" s="96">
        <f>SUM(C73:C74)</f>
        <v>39.93</v>
      </c>
      <c r="D72" s="96">
        <f t="shared" ref="D72:O72" si="9">SUM(D73:D74)</f>
        <v>0.78</v>
      </c>
      <c r="E72" s="96">
        <f t="shared" si="9"/>
        <v>263.23</v>
      </c>
      <c r="F72" s="96">
        <f t="shared" si="9"/>
        <v>0.33</v>
      </c>
      <c r="G72" s="96">
        <f t="shared" si="9"/>
        <v>0</v>
      </c>
      <c r="H72" s="96">
        <f t="shared" si="9"/>
        <v>0.11</v>
      </c>
      <c r="I72" s="96">
        <f t="shared" si="9"/>
        <v>0.19</v>
      </c>
      <c r="J72" s="96">
        <f t="shared" si="9"/>
        <v>0</v>
      </c>
      <c r="K72" s="96">
        <f t="shared" si="9"/>
        <v>1.62</v>
      </c>
      <c r="L72" s="96">
        <f t="shared" si="9"/>
        <v>1.68</v>
      </c>
      <c r="M72" s="96">
        <f t="shared" si="9"/>
        <v>0.01</v>
      </c>
      <c r="N72" s="96">
        <f t="shared" si="9"/>
        <v>0</v>
      </c>
      <c r="O72" s="96">
        <f t="shared" si="9"/>
        <v>307.88</v>
      </c>
    </row>
    <row r="73" spans="1:15" x14ac:dyDescent="0.2">
      <c r="B73" s="90" t="s">
        <v>76</v>
      </c>
      <c r="C73" s="97">
        <v>0</v>
      </c>
      <c r="D73" s="97">
        <v>0</v>
      </c>
      <c r="E73" s="97">
        <v>0</v>
      </c>
      <c r="F73" s="97">
        <v>0</v>
      </c>
      <c r="G73" s="97">
        <v>0</v>
      </c>
      <c r="H73" s="97">
        <v>0</v>
      </c>
      <c r="I73" s="97">
        <v>0</v>
      </c>
      <c r="J73" s="97">
        <v>0</v>
      </c>
      <c r="K73" s="97">
        <v>1.62</v>
      </c>
      <c r="L73" s="97">
        <v>0</v>
      </c>
      <c r="M73" s="97">
        <v>0</v>
      </c>
      <c r="N73" s="97">
        <v>0</v>
      </c>
      <c r="O73" s="91">
        <f>SUM(C73:N73)</f>
        <v>1.62</v>
      </c>
    </row>
    <row r="74" spans="1:15" x14ac:dyDescent="0.2">
      <c r="B74" s="90" t="s">
        <v>77</v>
      </c>
      <c r="C74" s="97">
        <v>39.93</v>
      </c>
      <c r="D74" s="97">
        <v>0.78</v>
      </c>
      <c r="E74" s="97">
        <v>263.23</v>
      </c>
      <c r="F74" s="97">
        <v>0.33</v>
      </c>
      <c r="G74" s="97">
        <v>0</v>
      </c>
      <c r="H74" s="97">
        <v>0.11</v>
      </c>
      <c r="I74" s="97">
        <v>0.19</v>
      </c>
      <c r="J74" s="97">
        <v>0</v>
      </c>
      <c r="K74" s="97">
        <v>0</v>
      </c>
      <c r="L74" s="97">
        <v>1.68</v>
      </c>
      <c r="M74" s="97">
        <v>0.01</v>
      </c>
      <c r="N74" s="97">
        <v>0</v>
      </c>
      <c r="O74" s="91">
        <f>SUM(C74:N74)</f>
        <v>306.26</v>
      </c>
    </row>
    <row r="75" spans="1:15" x14ac:dyDescent="0.2">
      <c r="C75" s="97"/>
      <c r="D75" s="97"/>
      <c r="E75" s="97"/>
      <c r="F75" s="97"/>
      <c r="G75" s="97"/>
      <c r="H75" s="97"/>
      <c r="I75" s="97"/>
      <c r="J75" s="97"/>
      <c r="K75" s="97"/>
      <c r="L75" s="97"/>
      <c r="M75" s="97"/>
      <c r="N75" s="97"/>
    </row>
    <row r="76" spans="1:15" s="95" customFormat="1" ht="15" x14ac:dyDescent="0.25">
      <c r="A76" s="94" t="s">
        <v>78</v>
      </c>
      <c r="C76" s="96">
        <f>SUM(C77:C85)</f>
        <v>253.66000000000003</v>
      </c>
      <c r="D76" s="96">
        <f t="shared" ref="D76:O76" si="10">SUM(D77:D85)</f>
        <v>85.960000000000008</v>
      </c>
      <c r="E76" s="96">
        <f t="shared" si="10"/>
        <v>55.839999999999996</v>
      </c>
      <c r="F76" s="96">
        <f t="shared" si="10"/>
        <v>83.01</v>
      </c>
      <c r="G76" s="96">
        <f t="shared" si="10"/>
        <v>85.450000000000017</v>
      </c>
      <c r="H76" s="96">
        <f t="shared" si="10"/>
        <v>56.579999999999991</v>
      </c>
      <c r="I76" s="96">
        <f t="shared" si="10"/>
        <v>116.32999999999998</v>
      </c>
      <c r="J76" s="96">
        <f t="shared" si="10"/>
        <v>60.48</v>
      </c>
      <c r="K76" s="96">
        <f t="shared" si="10"/>
        <v>154.79999999999998</v>
      </c>
      <c r="L76" s="96">
        <f t="shared" si="10"/>
        <v>70.679999999999993</v>
      </c>
      <c r="M76" s="96">
        <f t="shared" si="10"/>
        <v>59.89</v>
      </c>
      <c r="N76" s="96">
        <f t="shared" si="10"/>
        <v>55.53</v>
      </c>
      <c r="O76" s="96">
        <f t="shared" si="10"/>
        <v>1138.21</v>
      </c>
    </row>
    <row r="77" spans="1:15" x14ac:dyDescent="0.2">
      <c r="B77" s="90" t="s">
        <v>79</v>
      </c>
      <c r="C77" s="97">
        <v>87.06</v>
      </c>
      <c r="D77" s="97">
        <v>56.33</v>
      </c>
      <c r="E77" s="97">
        <v>30.04</v>
      </c>
      <c r="F77" s="97">
        <v>50.14</v>
      </c>
      <c r="G77" s="97">
        <v>68.61</v>
      </c>
      <c r="H77" s="97">
        <v>34.53</v>
      </c>
      <c r="I77" s="97">
        <v>78.959999999999994</v>
      </c>
      <c r="J77" s="97">
        <v>34.130000000000003</v>
      </c>
      <c r="K77" s="97">
        <v>41.56</v>
      </c>
      <c r="L77" s="97">
        <v>36.450000000000003</v>
      </c>
      <c r="M77" s="97">
        <v>46.41</v>
      </c>
      <c r="N77" s="97">
        <v>42.93</v>
      </c>
      <c r="O77" s="91">
        <f>SUM(C77:N77)</f>
        <v>607.15</v>
      </c>
    </row>
    <row r="78" spans="1:15" x14ac:dyDescent="0.2">
      <c r="B78" s="90" t="s">
        <v>80</v>
      </c>
      <c r="C78" s="97">
        <v>0.01</v>
      </c>
      <c r="D78" s="97">
        <v>0.01</v>
      </c>
      <c r="E78" s="97">
        <v>0.48</v>
      </c>
      <c r="F78" s="97">
        <v>0.01</v>
      </c>
      <c r="G78" s="97">
        <v>0.48</v>
      </c>
      <c r="H78" s="97">
        <v>0</v>
      </c>
      <c r="I78" s="97">
        <v>0</v>
      </c>
      <c r="J78" s="97">
        <v>0</v>
      </c>
      <c r="K78" s="97">
        <v>0</v>
      </c>
      <c r="L78" s="97">
        <v>0</v>
      </c>
      <c r="M78" s="97">
        <v>0</v>
      </c>
      <c r="N78" s="97">
        <v>0</v>
      </c>
      <c r="O78" s="91">
        <f t="shared" ref="O78:O85" si="11">SUM(C78:N78)</f>
        <v>0.99</v>
      </c>
    </row>
    <row r="79" spans="1:15" x14ac:dyDescent="0.2">
      <c r="B79" s="90" t="s">
        <v>81</v>
      </c>
      <c r="C79" s="97">
        <v>0</v>
      </c>
      <c r="D79" s="97">
        <v>0.19</v>
      </c>
      <c r="E79" s="97">
        <v>0.2</v>
      </c>
      <c r="F79" s="97">
        <v>0.91</v>
      </c>
      <c r="G79" s="97">
        <v>0.04</v>
      </c>
      <c r="H79" s="97">
        <v>0.01</v>
      </c>
      <c r="I79" s="97">
        <v>0.03</v>
      </c>
      <c r="J79" s="97">
        <v>0.01</v>
      </c>
      <c r="K79" s="97">
        <v>0.01</v>
      </c>
      <c r="L79" s="97">
        <v>0.28000000000000003</v>
      </c>
      <c r="M79" s="97">
        <v>0.03</v>
      </c>
      <c r="N79" s="97">
        <v>0.16</v>
      </c>
      <c r="O79" s="91">
        <f t="shared" si="11"/>
        <v>1.87</v>
      </c>
    </row>
    <row r="80" spans="1:15" x14ac:dyDescent="0.2">
      <c r="B80" s="90" t="s">
        <v>82</v>
      </c>
      <c r="C80" s="97">
        <v>17.72</v>
      </c>
      <c r="D80" s="97">
        <v>15.07</v>
      </c>
      <c r="E80" s="97">
        <v>10.87</v>
      </c>
      <c r="F80" s="97">
        <v>14.43</v>
      </c>
      <c r="G80" s="97">
        <v>7.14</v>
      </c>
      <c r="H80" s="97">
        <v>12.94</v>
      </c>
      <c r="I80" s="97">
        <v>15.72</v>
      </c>
      <c r="J80" s="97">
        <v>10.37</v>
      </c>
      <c r="K80" s="97">
        <v>11.96</v>
      </c>
      <c r="L80" s="97">
        <v>26.76</v>
      </c>
      <c r="M80" s="97">
        <v>7.43</v>
      </c>
      <c r="N80" s="97">
        <v>4.7699999999999996</v>
      </c>
      <c r="O80" s="91">
        <f t="shared" si="11"/>
        <v>155.18</v>
      </c>
    </row>
    <row r="81" spans="1:15" x14ac:dyDescent="0.2">
      <c r="B81" s="90" t="s">
        <v>83</v>
      </c>
      <c r="C81" s="97">
        <v>139.88999999999999</v>
      </c>
      <c r="D81" s="97">
        <v>0.23</v>
      </c>
      <c r="E81" s="97">
        <v>7.0000000000000007E-2</v>
      </c>
      <c r="F81" s="97">
        <v>0.2</v>
      </c>
      <c r="G81" s="97">
        <v>1.02</v>
      </c>
      <c r="H81" s="97">
        <v>0.1</v>
      </c>
      <c r="I81" s="97">
        <v>0.08</v>
      </c>
      <c r="J81" s="97">
        <v>0.45</v>
      </c>
      <c r="K81" s="97">
        <v>86.29</v>
      </c>
      <c r="L81" s="97">
        <v>0.28000000000000003</v>
      </c>
      <c r="M81" s="97">
        <v>0.04</v>
      </c>
      <c r="N81" s="97">
        <v>0.17</v>
      </c>
      <c r="O81" s="91">
        <f t="shared" si="11"/>
        <v>228.81999999999996</v>
      </c>
    </row>
    <row r="82" spans="1:15" x14ac:dyDescent="0.2">
      <c r="B82" s="90" t="s">
        <v>84</v>
      </c>
      <c r="C82" s="97">
        <v>7.78</v>
      </c>
      <c r="D82" s="97">
        <v>13.01</v>
      </c>
      <c r="E82" s="97">
        <v>13.47</v>
      </c>
      <c r="F82" s="97">
        <v>16.7</v>
      </c>
      <c r="G82" s="97">
        <v>6.09</v>
      </c>
      <c r="H82" s="97">
        <v>7.8</v>
      </c>
      <c r="I82" s="97">
        <v>20.41</v>
      </c>
      <c r="J82" s="97">
        <v>14.76</v>
      </c>
      <c r="K82" s="97">
        <v>13.77</v>
      </c>
      <c r="L82" s="97">
        <v>6.41</v>
      </c>
      <c r="M82" s="97">
        <v>4.5599999999999996</v>
      </c>
      <c r="N82" s="97">
        <v>7.01</v>
      </c>
      <c r="O82" s="91">
        <f t="shared" si="11"/>
        <v>131.76999999999998</v>
      </c>
    </row>
    <row r="83" spans="1:15" x14ac:dyDescent="0.2">
      <c r="B83" s="90" t="s">
        <v>85</v>
      </c>
      <c r="C83" s="97">
        <v>0.99</v>
      </c>
      <c r="D83" s="97">
        <v>1.01</v>
      </c>
      <c r="E83" s="97">
        <v>0.64</v>
      </c>
      <c r="F83" s="97">
        <v>0.57999999999999996</v>
      </c>
      <c r="G83" s="97">
        <v>0.62</v>
      </c>
      <c r="H83" s="97">
        <v>0.41</v>
      </c>
      <c r="I83" s="97">
        <v>0.94</v>
      </c>
      <c r="J83" s="97">
        <v>0.69</v>
      </c>
      <c r="K83" s="97">
        <v>0.51</v>
      </c>
      <c r="L83" s="97">
        <v>0.38</v>
      </c>
      <c r="M83" s="97">
        <v>0.56000000000000005</v>
      </c>
      <c r="N83" s="97">
        <v>0.34</v>
      </c>
      <c r="O83" s="91">
        <f t="shared" si="11"/>
        <v>7.6699999999999982</v>
      </c>
    </row>
    <row r="84" spans="1:15" x14ac:dyDescent="0.2">
      <c r="B84" s="90" t="s">
        <v>86</v>
      </c>
      <c r="C84" s="97">
        <v>0.02</v>
      </c>
      <c r="D84" s="97">
        <v>0.01</v>
      </c>
      <c r="E84" s="97">
        <v>0</v>
      </c>
      <c r="F84" s="97">
        <v>0.01</v>
      </c>
      <c r="G84" s="97">
        <v>0.01</v>
      </c>
      <c r="H84" s="97">
        <v>0</v>
      </c>
      <c r="I84" s="97">
        <v>7.0000000000000007E-2</v>
      </c>
      <c r="J84" s="97">
        <v>0.02</v>
      </c>
      <c r="K84" s="97">
        <v>0.01</v>
      </c>
      <c r="L84" s="97">
        <v>0.02</v>
      </c>
      <c r="M84" s="97">
        <v>0.83</v>
      </c>
      <c r="N84" s="97">
        <v>0.01</v>
      </c>
      <c r="O84" s="91">
        <f t="shared" si="11"/>
        <v>1.01</v>
      </c>
    </row>
    <row r="85" spans="1:15" x14ac:dyDescent="0.2">
      <c r="B85" s="90" t="s">
        <v>87</v>
      </c>
      <c r="C85" s="97">
        <v>0.19</v>
      </c>
      <c r="D85" s="97">
        <v>0.1</v>
      </c>
      <c r="E85" s="97">
        <v>7.0000000000000007E-2</v>
      </c>
      <c r="F85" s="97">
        <v>0.03</v>
      </c>
      <c r="G85" s="97">
        <v>1.44</v>
      </c>
      <c r="H85" s="97">
        <v>0.79</v>
      </c>
      <c r="I85" s="97">
        <v>0.12</v>
      </c>
      <c r="J85" s="97">
        <v>0.05</v>
      </c>
      <c r="K85" s="97">
        <v>0.69</v>
      </c>
      <c r="L85" s="97">
        <v>0.1</v>
      </c>
      <c r="M85" s="97">
        <v>0.03</v>
      </c>
      <c r="N85" s="97">
        <v>0.14000000000000001</v>
      </c>
      <c r="O85" s="91">
        <f t="shared" si="11"/>
        <v>3.75</v>
      </c>
    </row>
    <row r="86" spans="1:15" ht="12.75" customHeight="1" x14ac:dyDescent="0.2">
      <c r="C86" s="97"/>
      <c r="D86" s="97"/>
      <c r="E86" s="97"/>
      <c r="F86" s="97"/>
      <c r="G86" s="97"/>
      <c r="H86" s="97"/>
      <c r="I86" s="97"/>
      <c r="J86" s="97"/>
      <c r="K86" s="97"/>
      <c r="L86" s="97"/>
      <c r="M86" s="97"/>
      <c r="N86" s="97"/>
    </row>
    <row r="87" spans="1:15" s="95" customFormat="1" ht="15" x14ac:dyDescent="0.25">
      <c r="A87" s="94" t="s">
        <v>88</v>
      </c>
      <c r="C87" s="96">
        <f>SUM(C88:C99)</f>
        <v>517.84</v>
      </c>
      <c r="D87" s="96">
        <f t="shared" ref="D87:O87" si="12">SUM(D88:D99)</f>
        <v>233.87</v>
      </c>
      <c r="E87" s="96">
        <f t="shared" si="12"/>
        <v>121.71</v>
      </c>
      <c r="F87" s="96">
        <f t="shared" si="12"/>
        <v>9.24</v>
      </c>
      <c r="G87" s="96">
        <f t="shared" si="12"/>
        <v>20.16</v>
      </c>
      <c r="H87" s="96">
        <f t="shared" si="12"/>
        <v>21.110000000000003</v>
      </c>
      <c r="I87" s="96">
        <f t="shared" si="12"/>
        <v>12.67</v>
      </c>
      <c r="J87" s="96">
        <f t="shared" si="12"/>
        <v>108.59</v>
      </c>
      <c r="K87" s="96">
        <f t="shared" si="12"/>
        <v>24.18</v>
      </c>
      <c r="L87" s="96">
        <f t="shared" si="12"/>
        <v>16.740000000000002</v>
      </c>
      <c r="M87" s="96">
        <f t="shared" si="12"/>
        <v>31.76</v>
      </c>
      <c r="N87" s="96">
        <f t="shared" si="12"/>
        <v>66.16</v>
      </c>
      <c r="O87" s="96">
        <f t="shared" si="12"/>
        <v>1184.03</v>
      </c>
    </row>
    <row r="88" spans="1:15" x14ac:dyDescent="0.2">
      <c r="B88" s="105" t="s">
        <v>89</v>
      </c>
      <c r="C88" s="97">
        <v>0.27</v>
      </c>
      <c r="D88" s="97">
        <v>0.06</v>
      </c>
      <c r="E88" s="97">
        <v>2.63</v>
      </c>
      <c r="F88" s="97">
        <v>0.01</v>
      </c>
      <c r="G88" s="97">
        <v>0.01</v>
      </c>
      <c r="H88" s="97">
        <v>0.51</v>
      </c>
      <c r="I88" s="97">
        <v>0.09</v>
      </c>
      <c r="J88" s="97">
        <v>0.09</v>
      </c>
      <c r="K88" s="97">
        <v>0.01</v>
      </c>
      <c r="L88" s="97">
        <v>0.01</v>
      </c>
      <c r="M88" s="97">
        <v>0</v>
      </c>
      <c r="N88" s="97">
        <v>0.01</v>
      </c>
      <c r="O88" s="91">
        <f>SUM(C88:N88)</f>
        <v>3.6999999999999984</v>
      </c>
    </row>
    <row r="89" spans="1:15" x14ac:dyDescent="0.2">
      <c r="B89" s="105" t="s">
        <v>90</v>
      </c>
      <c r="C89" s="97">
        <v>0</v>
      </c>
      <c r="D89" s="97">
        <v>0</v>
      </c>
      <c r="E89" s="97">
        <v>0</v>
      </c>
      <c r="F89" s="97">
        <v>0</v>
      </c>
      <c r="G89" s="97">
        <v>0</v>
      </c>
      <c r="H89" s="97">
        <v>0</v>
      </c>
      <c r="I89" s="97">
        <v>0</v>
      </c>
      <c r="J89" s="97">
        <v>0</v>
      </c>
      <c r="K89" s="97">
        <v>9.64</v>
      </c>
      <c r="L89" s="97">
        <v>0.35</v>
      </c>
      <c r="M89" s="97">
        <v>8.01</v>
      </c>
      <c r="N89" s="97">
        <v>0.27</v>
      </c>
      <c r="O89" s="91">
        <f t="shared" ref="O89:O99" si="13">SUM(C89:N89)</f>
        <v>18.27</v>
      </c>
    </row>
    <row r="90" spans="1:15" x14ac:dyDescent="0.2">
      <c r="B90" s="105" t="s">
        <v>666</v>
      </c>
      <c r="C90" s="97">
        <v>0</v>
      </c>
      <c r="D90" s="97">
        <v>0</v>
      </c>
      <c r="E90" s="97">
        <v>0</v>
      </c>
      <c r="F90" s="97">
        <v>0</v>
      </c>
      <c r="G90" s="97">
        <v>0</v>
      </c>
      <c r="H90" s="97">
        <v>0</v>
      </c>
      <c r="I90" s="97">
        <v>0</v>
      </c>
      <c r="J90" s="97">
        <v>0</v>
      </c>
      <c r="K90" s="97">
        <v>0</v>
      </c>
      <c r="L90" s="97">
        <v>0</v>
      </c>
      <c r="M90" s="97">
        <v>0</v>
      </c>
      <c r="N90" s="97">
        <v>0</v>
      </c>
      <c r="O90" s="91">
        <f t="shared" si="13"/>
        <v>0</v>
      </c>
    </row>
    <row r="91" spans="1:15" x14ac:dyDescent="0.2">
      <c r="B91" s="105" t="s">
        <v>91</v>
      </c>
      <c r="C91" s="97">
        <v>517.57000000000005</v>
      </c>
      <c r="D91" s="97">
        <v>233.81</v>
      </c>
      <c r="E91" s="97">
        <v>119.08</v>
      </c>
      <c r="F91" s="97">
        <v>9.23</v>
      </c>
      <c r="G91" s="97">
        <v>20.149999999999999</v>
      </c>
      <c r="H91" s="97">
        <v>20.6</v>
      </c>
      <c r="I91" s="97">
        <v>12.58</v>
      </c>
      <c r="J91" s="97">
        <v>108.5</v>
      </c>
      <c r="K91" s="97">
        <v>14.53</v>
      </c>
      <c r="L91" s="97">
        <v>11.65</v>
      </c>
      <c r="M91" s="97">
        <v>22.6</v>
      </c>
      <c r="N91" s="97">
        <v>65.69</v>
      </c>
      <c r="O91" s="91">
        <f t="shared" si="13"/>
        <v>1155.9900000000002</v>
      </c>
    </row>
    <row r="92" spans="1:15" x14ac:dyDescent="0.2">
      <c r="B92" s="105" t="s">
        <v>679</v>
      </c>
      <c r="C92" s="97">
        <v>0</v>
      </c>
      <c r="D92" s="97">
        <v>0</v>
      </c>
      <c r="E92" s="97">
        <v>0</v>
      </c>
      <c r="F92" s="97">
        <v>0</v>
      </c>
      <c r="G92" s="97">
        <v>0</v>
      </c>
      <c r="H92" s="97">
        <v>0</v>
      </c>
      <c r="I92" s="97">
        <v>0</v>
      </c>
      <c r="J92" s="97">
        <v>0</v>
      </c>
      <c r="K92" s="97">
        <v>0</v>
      </c>
      <c r="L92" s="97">
        <v>4.6100000000000003</v>
      </c>
      <c r="M92" s="97">
        <v>0</v>
      </c>
      <c r="N92" s="97">
        <v>0</v>
      </c>
      <c r="O92" s="91">
        <f t="shared" si="13"/>
        <v>4.6100000000000003</v>
      </c>
    </row>
    <row r="93" spans="1:15" x14ac:dyDescent="0.2">
      <c r="B93" s="105" t="s">
        <v>680</v>
      </c>
      <c r="C93" s="97">
        <v>0</v>
      </c>
      <c r="D93" s="97">
        <v>0</v>
      </c>
      <c r="E93" s="97">
        <v>0</v>
      </c>
      <c r="F93" s="97">
        <v>0</v>
      </c>
      <c r="G93" s="97">
        <v>0</v>
      </c>
      <c r="H93" s="97">
        <v>0</v>
      </c>
      <c r="I93" s="97">
        <v>0</v>
      </c>
      <c r="J93" s="97">
        <v>0</v>
      </c>
      <c r="K93" s="97">
        <v>0</v>
      </c>
      <c r="L93" s="97">
        <v>7.0000000000000007E-2</v>
      </c>
      <c r="M93" s="97">
        <v>0.73</v>
      </c>
      <c r="N93" s="97">
        <v>0.04</v>
      </c>
      <c r="O93" s="91">
        <f t="shared" si="13"/>
        <v>0.84000000000000008</v>
      </c>
    </row>
    <row r="94" spans="1:15" x14ac:dyDescent="0.2">
      <c r="B94" s="105" t="s">
        <v>681</v>
      </c>
      <c r="C94" s="97">
        <v>0</v>
      </c>
      <c r="D94" s="97">
        <v>0</v>
      </c>
      <c r="E94" s="97">
        <v>0</v>
      </c>
      <c r="F94" s="97">
        <v>0</v>
      </c>
      <c r="G94" s="97">
        <v>0</v>
      </c>
      <c r="H94" s="97">
        <v>0</v>
      </c>
      <c r="I94" s="97">
        <v>0</v>
      </c>
      <c r="J94" s="97">
        <v>0</v>
      </c>
      <c r="K94" s="97">
        <v>0</v>
      </c>
      <c r="L94" s="97">
        <v>0</v>
      </c>
      <c r="M94" s="97">
        <v>0.01</v>
      </c>
      <c r="N94" s="97">
        <v>7.0000000000000007E-2</v>
      </c>
      <c r="O94" s="91">
        <f t="shared" si="13"/>
        <v>0.08</v>
      </c>
    </row>
    <row r="95" spans="1:15" x14ac:dyDescent="0.2">
      <c r="B95" s="105" t="s">
        <v>682</v>
      </c>
      <c r="C95" s="97">
        <v>0</v>
      </c>
      <c r="D95" s="97">
        <v>0</v>
      </c>
      <c r="E95" s="97">
        <v>0</v>
      </c>
      <c r="F95" s="97">
        <v>0</v>
      </c>
      <c r="G95" s="97">
        <v>0</v>
      </c>
      <c r="H95" s="97">
        <v>0</v>
      </c>
      <c r="I95" s="97">
        <v>0</v>
      </c>
      <c r="J95" s="97">
        <v>0</v>
      </c>
      <c r="K95" s="97">
        <v>0</v>
      </c>
      <c r="L95" s="97">
        <v>0</v>
      </c>
      <c r="M95" s="97">
        <v>0.06</v>
      </c>
      <c r="N95" s="97">
        <v>0.02</v>
      </c>
      <c r="O95" s="91">
        <f t="shared" si="13"/>
        <v>0.08</v>
      </c>
    </row>
    <row r="96" spans="1:15" x14ac:dyDescent="0.2">
      <c r="B96" s="105" t="s">
        <v>683</v>
      </c>
      <c r="C96" s="97">
        <v>0</v>
      </c>
      <c r="D96" s="97">
        <v>0</v>
      </c>
      <c r="E96" s="97">
        <v>0</v>
      </c>
      <c r="F96" s="97">
        <v>0</v>
      </c>
      <c r="G96" s="97">
        <v>0</v>
      </c>
      <c r="H96" s="97">
        <v>0</v>
      </c>
      <c r="I96" s="97">
        <v>0</v>
      </c>
      <c r="J96" s="97">
        <v>0</v>
      </c>
      <c r="K96" s="97">
        <v>0</v>
      </c>
      <c r="L96" s="97">
        <v>0</v>
      </c>
      <c r="M96" s="97">
        <v>0.2</v>
      </c>
      <c r="N96" s="97">
        <v>0</v>
      </c>
      <c r="O96" s="91">
        <f t="shared" si="13"/>
        <v>0.2</v>
      </c>
    </row>
    <row r="97" spans="1:15" x14ac:dyDescent="0.2">
      <c r="B97" s="105" t="s">
        <v>684</v>
      </c>
      <c r="C97" s="97">
        <v>0</v>
      </c>
      <c r="D97" s="97">
        <v>0</v>
      </c>
      <c r="E97" s="97">
        <v>0</v>
      </c>
      <c r="F97" s="97">
        <v>0</v>
      </c>
      <c r="G97" s="97">
        <v>0</v>
      </c>
      <c r="H97" s="97">
        <v>0</v>
      </c>
      <c r="I97" s="97">
        <v>0</v>
      </c>
      <c r="J97" s="97">
        <v>0</v>
      </c>
      <c r="K97" s="97">
        <v>0</v>
      </c>
      <c r="L97" s="97">
        <v>0.04</v>
      </c>
      <c r="M97" s="97">
        <v>0.12</v>
      </c>
      <c r="N97" s="97">
        <v>0.01</v>
      </c>
      <c r="O97" s="91">
        <f t="shared" si="13"/>
        <v>0.17</v>
      </c>
    </row>
    <row r="98" spans="1:15" x14ac:dyDescent="0.2">
      <c r="B98" s="105" t="s">
        <v>685</v>
      </c>
      <c r="C98" s="97">
        <v>0</v>
      </c>
      <c r="D98" s="97">
        <v>0</v>
      </c>
      <c r="E98" s="97">
        <v>0</v>
      </c>
      <c r="F98" s="97">
        <v>0</v>
      </c>
      <c r="G98" s="97">
        <v>0</v>
      </c>
      <c r="H98" s="97">
        <v>0</v>
      </c>
      <c r="I98" s="97">
        <v>0</v>
      </c>
      <c r="J98" s="97">
        <v>0</v>
      </c>
      <c r="K98" s="97">
        <v>0</v>
      </c>
      <c r="L98" s="97">
        <v>0</v>
      </c>
      <c r="M98" s="97">
        <v>0.02</v>
      </c>
      <c r="N98" s="97">
        <v>0</v>
      </c>
      <c r="O98" s="91">
        <f t="shared" si="13"/>
        <v>0.02</v>
      </c>
    </row>
    <row r="99" spans="1:15" x14ac:dyDescent="0.2">
      <c r="B99" s="105" t="s">
        <v>686</v>
      </c>
      <c r="C99" s="97">
        <v>0</v>
      </c>
      <c r="D99" s="97">
        <v>0</v>
      </c>
      <c r="E99" s="97">
        <v>0</v>
      </c>
      <c r="F99" s="97">
        <v>0</v>
      </c>
      <c r="G99" s="97">
        <v>0</v>
      </c>
      <c r="H99" s="97">
        <v>0</v>
      </c>
      <c r="I99" s="97">
        <v>0</v>
      </c>
      <c r="J99" s="97">
        <v>0</v>
      </c>
      <c r="K99" s="97">
        <v>0</v>
      </c>
      <c r="L99" s="97">
        <v>0.01</v>
      </c>
      <c r="M99" s="97">
        <v>0.01</v>
      </c>
      <c r="N99" s="97">
        <v>0.05</v>
      </c>
      <c r="O99" s="91">
        <f t="shared" si="13"/>
        <v>7.0000000000000007E-2</v>
      </c>
    </row>
    <row r="100" spans="1:15" ht="12.75" customHeight="1" x14ac:dyDescent="0.2">
      <c r="C100" s="97"/>
      <c r="D100" s="97"/>
      <c r="E100" s="97"/>
      <c r="F100" s="97"/>
      <c r="G100" s="97"/>
      <c r="H100" s="97"/>
      <c r="I100" s="97"/>
      <c r="J100" s="97"/>
      <c r="K100" s="97"/>
      <c r="L100" s="97"/>
      <c r="M100" s="97"/>
      <c r="N100" s="97"/>
    </row>
    <row r="101" spans="1:15" s="95" customFormat="1" ht="15" x14ac:dyDescent="0.25">
      <c r="A101" s="94" t="s">
        <v>92</v>
      </c>
      <c r="C101" s="96">
        <f>SUM(C102:C104)</f>
        <v>328.84000000000003</v>
      </c>
      <c r="D101" s="96">
        <f t="shared" ref="D101:O101" si="14">SUM(D102:D104)</f>
        <v>313.96999999999997</v>
      </c>
      <c r="E101" s="96">
        <f t="shared" si="14"/>
        <v>233.54</v>
      </c>
      <c r="F101" s="96">
        <f t="shared" si="14"/>
        <v>221.38</v>
      </c>
      <c r="G101" s="96">
        <f t="shared" si="14"/>
        <v>225.99</v>
      </c>
      <c r="H101" s="96">
        <f t="shared" si="14"/>
        <v>313.02</v>
      </c>
      <c r="I101" s="96">
        <f t="shared" si="14"/>
        <v>244.07</v>
      </c>
      <c r="J101" s="96">
        <f t="shared" si="14"/>
        <v>505.51</v>
      </c>
      <c r="K101" s="96">
        <f t="shared" si="14"/>
        <v>267.79000000000002</v>
      </c>
      <c r="L101" s="96">
        <f t="shared" si="14"/>
        <v>240.23000000000002</v>
      </c>
      <c r="M101" s="96">
        <f t="shared" si="14"/>
        <v>268.76</v>
      </c>
      <c r="N101" s="96">
        <f t="shared" si="14"/>
        <v>220.11</v>
      </c>
      <c r="O101" s="96">
        <f t="shared" si="14"/>
        <v>3383.2099999999996</v>
      </c>
    </row>
    <row r="102" spans="1:15" x14ac:dyDescent="0.2">
      <c r="B102" s="90" t="s">
        <v>93</v>
      </c>
      <c r="C102" s="97">
        <v>325.86</v>
      </c>
      <c r="D102" s="97">
        <v>311.64999999999998</v>
      </c>
      <c r="E102" s="97">
        <v>231.67</v>
      </c>
      <c r="F102" s="97">
        <v>218.88</v>
      </c>
      <c r="G102" s="97">
        <v>223.68</v>
      </c>
      <c r="H102" s="97">
        <v>309.89999999999998</v>
      </c>
      <c r="I102" s="97">
        <v>241.38</v>
      </c>
      <c r="J102" s="97">
        <v>502.75</v>
      </c>
      <c r="K102" s="97">
        <v>265.37</v>
      </c>
      <c r="L102" s="97">
        <v>237.9</v>
      </c>
      <c r="M102" s="97">
        <v>267.24</v>
      </c>
      <c r="N102" s="97">
        <v>218.21</v>
      </c>
      <c r="O102" s="91">
        <f>SUM(C102:N102)</f>
        <v>3354.49</v>
      </c>
    </row>
    <row r="103" spans="1:15" x14ac:dyDescent="0.2">
      <c r="B103" s="90" t="s">
        <v>94</v>
      </c>
      <c r="C103" s="97">
        <v>2.98</v>
      </c>
      <c r="D103" s="97">
        <v>2.31</v>
      </c>
      <c r="E103" s="97">
        <v>1.87</v>
      </c>
      <c r="F103" s="97">
        <v>2.5</v>
      </c>
      <c r="G103" s="97">
        <v>2.25</v>
      </c>
      <c r="H103" s="97">
        <v>3.12</v>
      </c>
      <c r="I103" s="97">
        <v>2.68</v>
      </c>
      <c r="J103" s="97">
        <v>2.75</v>
      </c>
      <c r="K103" s="97">
        <v>2.42</v>
      </c>
      <c r="L103" s="97">
        <v>2.2999999999999998</v>
      </c>
      <c r="M103" s="97">
        <v>1.52</v>
      </c>
      <c r="N103" s="97">
        <v>1.9</v>
      </c>
      <c r="O103" s="91">
        <f t="shared" ref="O103:O104" si="15">SUM(C103:N103)</f>
        <v>28.6</v>
      </c>
    </row>
    <row r="104" spans="1:15" x14ac:dyDescent="0.2">
      <c r="B104" s="90" t="s">
        <v>95</v>
      </c>
      <c r="C104" s="97">
        <v>0</v>
      </c>
      <c r="D104" s="97">
        <v>0.01</v>
      </c>
      <c r="E104" s="97">
        <v>0</v>
      </c>
      <c r="F104" s="97">
        <v>0</v>
      </c>
      <c r="G104" s="97">
        <v>0.06</v>
      </c>
      <c r="H104" s="97">
        <v>0</v>
      </c>
      <c r="I104" s="97">
        <v>0.01</v>
      </c>
      <c r="J104" s="97">
        <v>0.01</v>
      </c>
      <c r="K104" s="97">
        <v>0</v>
      </c>
      <c r="L104" s="97">
        <v>0.03</v>
      </c>
      <c r="M104" s="97">
        <v>0</v>
      </c>
      <c r="N104" s="97">
        <v>0</v>
      </c>
      <c r="O104" s="91">
        <f t="shared" si="15"/>
        <v>0.11999999999999998</v>
      </c>
    </row>
    <row r="105" spans="1:15" ht="12.75" customHeight="1" x14ac:dyDescent="0.2">
      <c r="C105" s="97"/>
      <c r="D105" s="97"/>
      <c r="E105" s="97"/>
      <c r="F105" s="97"/>
      <c r="G105" s="97"/>
      <c r="H105" s="97"/>
      <c r="I105" s="97"/>
      <c r="J105" s="97"/>
      <c r="K105" s="97"/>
      <c r="L105" s="97"/>
      <c r="M105" s="97"/>
      <c r="N105" s="97"/>
    </row>
    <row r="106" spans="1:15" s="95" customFormat="1" ht="15" x14ac:dyDescent="0.25">
      <c r="A106" s="94" t="s">
        <v>96</v>
      </c>
      <c r="C106" s="96">
        <f>SUM(C107:C111)</f>
        <v>32.15</v>
      </c>
      <c r="D106" s="96">
        <f t="shared" ref="D106:O106" si="16">SUM(D107:D111)</f>
        <v>20.07</v>
      </c>
      <c r="E106" s="96">
        <f t="shared" si="16"/>
        <v>10.89</v>
      </c>
      <c r="F106" s="96">
        <f t="shared" si="16"/>
        <v>12.15</v>
      </c>
      <c r="G106" s="96">
        <f t="shared" si="16"/>
        <v>11.469999999999999</v>
      </c>
      <c r="H106" s="96">
        <f t="shared" si="16"/>
        <v>10.81</v>
      </c>
      <c r="I106" s="96">
        <f t="shared" si="16"/>
        <v>193.39000000000001</v>
      </c>
      <c r="J106" s="96">
        <f t="shared" si="16"/>
        <v>6.38</v>
      </c>
      <c r="K106" s="96">
        <f t="shared" si="16"/>
        <v>38.090000000000003</v>
      </c>
      <c r="L106" s="96">
        <f t="shared" si="16"/>
        <v>78.09</v>
      </c>
      <c r="M106" s="96">
        <f t="shared" si="16"/>
        <v>21.41</v>
      </c>
      <c r="N106" s="96">
        <f t="shared" si="16"/>
        <v>38.1</v>
      </c>
      <c r="O106" s="96">
        <f t="shared" si="16"/>
        <v>473.00000000000006</v>
      </c>
    </row>
    <row r="107" spans="1:15" x14ac:dyDescent="0.2">
      <c r="B107" s="90" t="s">
        <v>97</v>
      </c>
      <c r="C107" s="97">
        <v>29.12</v>
      </c>
      <c r="D107" s="97">
        <v>18.3</v>
      </c>
      <c r="E107" s="97">
        <v>9.2899999999999991</v>
      </c>
      <c r="F107" s="97">
        <v>10.86</v>
      </c>
      <c r="G107" s="97">
        <v>9.9499999999999993</v>
      </c>
      <c r="H107" s="97">
        <v>9.6999999999999993</v>
      </c>
      <c r="I107" s="97">
        <v>10.34</v>
      </c>
      <c r="J107" s="97">
        <v>5.08</v>
      </c>
      <c r="K107" s="97">
        <v>36.61</v>
      </c>
      <c r="L107" s="97">
        <v>76.84</v>
      </c>
      <c r="M107" s="97">
        <v>20.079999999999998</v>
      </c>
      <c r="N107" s="97">
        <v>36.54</v>
      </c>
      <c r="O107" s="91">
        <f>SUM(C107:N107)</f>
        <v>272.71000000000004</v>
      </c>
    </row>
    <row r="108" spans="1:15" x14ac:dyDescent="0.2">
      <c r="B108" s="90" t="s">
        <v>98</v>
      </c>
      <c r="C108" s="97">
        <v>2.29</v>
      </c>
      <c r="D108" s="97">
        <v>1.0900000000000001</v>
      </c>
      <c r="E108" s="97">
        <v>1.06</v>
      </c>
      <c r="F108" s="97">
        <v>0.66</v>
      </c>
      <c r="G108" s="97">
        <v>0.84</v>
      </c>
      <c r="H108" s="97">
        <v>0.47</v>
      </c>
      <c r="I108" s="97">
        <v>182.37</v>
      </c>
      <c r="J108" s="97">
        <v>0.66</v>
      </c>
      <c r="K108" s="97">
        <v>0.7</v>
      </c>
      <c r="L108" s="97">
        <v>0.54</v>
      </c>
      <c r="M108" s="97">
        <v>0.73</v>
      </c>
      <c r="N108" s="97">
        <v>0.47</v>
      </c>
      <c r="O108" s="91">
        <f t="shared" ref="O108:O111" si="17">SUM(C108:N108)</f>
        <v>191.87999999999997</v>
      </c>
    </row>
    <row r="109" spans="1:15" x14ac:dyDescent="0.2">
      <c r="B109" s="90" t="s">
        <v>99</v>
      </c>
      <c r="C109" s="97">
        <v>0.74</v>
      </c>
      <c r="D109" s="97">
        <v>0.68</v>
      </c>
      <c r="E109" s="97">
        <v>0.54</v>
      </c>
      <c r="F109" s="97">
        <v>0.63</v>
      </c>
      <c r="G109" s="97">
        <v>0.68</v>
      </c>
      <c r="H109" s="97">
        <v>0.64</v>
      </c>
      <c r="I109" s="97">
        <v>0.68</v>
      </c>
      <c r="J109" s="97">
        <v>0.64</v>
      </c>
      <c r="K109" s="97">
        <v>0.78</v>
      </c>
      <c r="L109" s="97">
        <v>0.71</v>
      </c>
      <c r="M109" s="97">
        <v>0.6</v>
      </c>
      <c r="N109" s="97">
        <v>1.0900000000000001</v>
      </c>
      <c r="O109" s="91">
        <f t="shared" si="17"/>
        <v>8.41</v>
      </c>
    </row>
    <row r="110" spans="1:15" x14ac:dyDescent="0.2">
      <c r="B110" s="90" t="s">
        <v>100</v>
      </c>
      <c r="C110" s="97">
        <v>0</v>
      </c>
      <c r="D110" s="97">
        <v>0</v>
      </c>
      <c r="E110" s="97">
        <v>0</v>
      </c>
      <c r="F110" s="97">
        <v>0</v>
      </c>
      <c r="G110" s="97">
        <v>0</v>
      </c>
      <c r="H110" s="97">
        <v>0</v>
      </c>
      <c r="I110" s="97">
        <v>0</v>
      </c>
      <c r="J110" s="97">
        <v>0</v>
      </c>
      <c r="K110" s="97">
        <v>0</v>
      </c>
      <c r="L110" s="97">
        <v>0</v>
      </c>
      <c r="M110" s="97">
        <v>0</v>
      </c>
      <c r="N110" s="97">
        <v>0</v>
      </c>
      <c r="O110" s="91">
        <f t="shared" si="17"/>
        <v>0</v>
      </c>
    </row>
    <row r="111" spans="1:15" x14ac:dyDescent="0.2">
      <c r="B111" s="90" t="s">
        <v>101</v>
      </c>
      <c r="C111" s="97">
        <v>0</v>
      </c>
      <c r="D111" s="97">
        <v>0</v>
      </c>
      <c r="E111" s="97">
        <v>0</v>
      </c>
      <c r="F111" s="97">
        <v>0</v>
      </c>
      <c r="G111" s="97">
        <v>0</v>
      </c>
      <c r="H111" s="97">
        <v>0</v>
      </c>
      <c r="I111" s="97">
        <v>0</v>
      </c>
      <c r="J111" s="97">
        <v>0</v>
      </c>
      <c r="K111" s="97">
        <v>0</v>
      </c>
      <c r="L111" s="97">
        <v>0</v>
      </c>
      <c r="M111" s="97">
        <v>0</v>
      </c>
      <c r="N111" s="97">
        <v>0</v>
      </c>
      <c r="O111" s="91">
        <f t="shared" si="17"/>
        <v>0</v>
      </c>
    </row>
    <row r="112" spans="1:15" ht="12.75" customHeight="1" x14ac:dyDescent="0.2">
      <c r="C112" s="97"/>
      <c r="D112" s="97"/>
      <c r="E112" s="97"/>
      <c r="F112" s="97"/>
      <c r="G112" s="97"/>
      <c r="H112" s="97"/>
      <c r="I112" s="97"/>
      <c r="J112" s="97"/>
      <c r="K112" s="97"/>
      <c r="L112" s="97"/>
      <c r="M112" s="97"/>
      <c r="N112" s="97"/>
    </row>
    <row r="113" spans="1:15" s="95" customFormat="1" ht="15" x14ac:dyDescent="0.25">
      <c r="A113" s="94" t="s">
        <v>102</v>
      </c>
      <c r="C113" s="96">
        <f>SUM(C114:C117)</f>
        <v>7.3699999999999992</v>
      </c>
      <c r="D113" s="96">
        <f t="shared" ref="D113:O113" si="18">SUM(D114:D117)</f>
        <v>6.5</v>
      </c>
      <c r="E113" s="96">
        <f t="shared" si="18"/>
        <v>16.850000000000001</v>
      </c>
      <c r="F113" s="96">
        <f t="shared" si="18"/>
        <v>7.26</v>
      </c>
      <c r="G113" s="96">
        <f t="shared" si="18"/>
        <v>2.6</v>
      </c>
      <c r="H113" s="96">
        <f t="shared" si="18"/>
        <v>3.34</v>
      </c>
      <c r="I113" s="96">
        <f t="shared" si="18"/>
        <v>5.91</v>
      </c>
      <c r="J113" s="96">
        <f t="shared" si="18"/>
        <v>5.43</v>
      </c>
      <c r="K113" s="96">
        <f t="shared" si="18"/>
        <v>14.36</v>
      </c>
      <c r="L113" s="96">
        <f t="shared" si="18"/>
        <v>5.5299999999999994</v>
      </c>
      <c r="M113" s="96">
        <f t="shared" si="18"/>
        <v>2.46</v>
      </c>
      <c r="N113" s="96">
        <f t="shared" si="18"/>
        <v>1.94</v>
      </c>
      <c r="O113" s="96">
        <f t="shared" si="18"/>
        <v>79.55</v>
      </c>
    </row>
    <row r="114" spans="1:15" x14ac:dyDescent="0.2">
      <c r="B114" s="90" t="s">
        <v>103</v>
      </c>
      <c r="C114" s="97">
        <v>0.24</v>
      </c>
      <c r="D114" s="97">
        <v>0.72</v>
      </c>
      <c r="E114" s="97">
        <v>0.57999999999999996</v>
      </c>
      <c r="F114" s="97">
        <v>0.26</v>
      </c>
      <c r="G114" s="97">
        <v>0.28999999999999998</v>
      </c>
      <c r="H114" s="97">
        <v>0.05</v>
      </c>
      <c r="I114" s="97">
        <v>0.56999999999999995</v>
      </c>
      <c r="J114" s="97">
        <v>1.1100000000000001</v>
      </c>
      <c r="K114" s="97">
        <v>0.42</v>
      </c>
      <c r="L114" s="97">
        <v>0.72</v>
      </c>
      <c r="M114" s="97">
        <v>0.31</v>
      </c>
      <c r="N114" s="97">
        <v>0.53</v>
      </c>
      <c r="O114" s="91">
        <f>SUM(C114:N114)</f>
        <v>5.7999999999999989</v>
      </c>
    </row>
    <row r="115" spans="1:15" x14ac:dyDescent="0.2">
      <c r="B115" s="90" t="s">
        <v>104</v>
      </c>
      <c r="C115" s="97">
        <v>2.14</v>
      </c>
      <c r="D115" s="97">
        <v>0.38</v>
      </c>
      <c r="E115" s="97">
        <v>0.33</v>
      </c>
      <c r="F115" s="97">
        <v>0.36</v>
      </c>
      <c r="G115" s="97">
        <v>0.52</v>
      </c>
      <c r="H115" s="97">
        <v>1.28</v>
      </c>
      <c r="I115" s="97">
        <v>0.04</v>
      </c>
      <c r="J115" s="97">
        <v>0.12</v>
      </c>
      <c r="K115" s="97">
        <v>0.2</v>
      </c>
      <c r="L115" s="97">
        <v>0.01</v>
      </c>
      <c r="M115" s="97">
        <v>0.89</v>
      </c>
      <c r="N115" s="97">
        <v>0</v>
      </c>
      <c r="O115" s="91">
        <f t="shared" ref="O115:O117" si="19">SUM(C115:N115)</f>
        <v>6.27</v>
      </c>
    </row>
    <row r="116" spans="1:15" x14ac:dyDescent="0.2">
      <c r="B116" s="90" t="s">
        <v>105</v>
      </c>
      <c r="C116" s="97">
        <v>2.21</v>
      </c>
      <c r="D116" s="97">
        <v>3.27</v>
      </c>
      <c r="E116" s="97">
        <v>13.71</v>
      </c>
      <c r="F116" s="97">
        <v>4.63</v>
      </c>
      <c r="G116" s="97">
        <v>0.51</v>
      </c>
      <c r="H116" s="97">
        <v>0.94</v>
      </c>
      <c r="I116" s="97">
        <v>1.77</v>
      </c>
      <c r="J116" s="97">
        <v>3.63</v>
      </c>
      <c r="K116" s="97">
        <v>12.61</v>
      </c>
      <c r="L116" s="97">
        <v>3.8</v>
      </c>
      <c r="M116" s="97">
        <v>0.56999999999999995</v>
      </c>
      <c r="N116" s="97">
        <v>0.36</v>
      </c>
      <c r="O116" s="91">
        <f t="shared" si="19"/>
        <v>48.01</v>
      </c>
    </row>
    <row r="117" spans="1:15" x14ac:dyDescent="0.2">
      <c r="B117" s="90" t="s">
        <v>106</v>
      </c>
      <c r="C117" s="97">
        <v>2.78</v>
      </c>
      <c r="D117" s="97">
        <v>2.13</v>
      </c>
      <c r="E117" s="97">
        <v>2.23</v>
      </c>
      <c r="F117" s="97">
        <v>2.0099999999999998</v>
      </c>
      <c r="G117" s="97">
        <v>1.28</v>
      </c>
      <c r="H117" s="97">
        <v>1.07</v>
      </c>
      <c r="I117" s="97">
        <v>3.53</v>
      </c>
      <c r="J117" s="97">
        <v>0.56999999999999995</v>
      </c>
      <c r="K117" s="97">
        <v>1.1299999999999999</v>
      </c>
      <c r="L117" s="97">
        <v>1</v>
      </c>
      <c r="M117" s="97">
        <v>0.69</v>
      </c>
      <c r="N117" s="97">
        <v>1.05</v>
      </c>
      <c r="O117" s="91">
        <f t="shared" si="19"/>
        <v>19.470000000000002</v>
      </c>
    </row>
    <row r="118" spans="1:15" ht="12.75" customHeight="1" x14ac:dyDescent="0.2">
      <c r="C118" s="97"/>
      <c r="D118" s="97"/>
      <c r="E118" s="97"/>
      <c r="F118" s="97"/>
      <c r="G118" s="97"/>
      <c r="H118" s="97"/>
      <c r="I118" s="97"/>
      <c r="J118" s="97"/>
      <c r="K118" s="97"/>
      <c r="L118" s="97"/>
      <c r="M118" s="97"/>
      <c r="N118" s="97"/>
    </row>
    <row r="119" spans="1:15" s="95" customFormat="1" ht="15" x14ac:dyDescent="0.25">
      <c r="A119" s="94" t="s">
        <v>107</v>
      </c>
      <c r="C119" s="19">
        <f>SUM(C120:C124)</f>
        <v>1809.94</v>
      </c>
      <c r="D119" s="19">
        <f t="shared" ref="D119:O119" si="20">SUM(D120:D124)</f>
        <v>1339.8200000000002</v>
      </c>
      <c r="E119" s="19">
        <f t="shared" si="20"/>
        <v>1564.55</v>
      </c>
      <c r="F119" s="19">
        <f t="shared" si="20"/>
        <v>1495.72</v>
      </c>
      <c r="G119" s="19">
        <f t="shared" si="20"/>
        <v>1391.2099999999998</v>
      </c>
      <c r="H119" s="19">
        <f t="shared" si="20"/>
        <v>1406.3200000000002</v>
      </c>
      <c r="I119" s="19">
        <f t="shared" si="20"/>
        <v>1978.6599999999999</v>
      </c>
      <c r="J119" s="19">
        <f t="shared" si="20"/>
        <v>1488.21</v>
      </c>
      <c r="K119" s="19">
        <f t="shared" si="20"/>
        <v>1573.3899999999999</v>
      </c>
      <c r="L119" s="19">
        <f t="shared" si="20"/>
        <v>1538.9099999999999</v>
      </c>
      <c r="M119" s="19">
        <f t="shared" si="20"/>
        <v>1358.1899999999998</v>
      </c>
      <c r="N119" s="19">
        <f t="shared" si="20"/>
        <v>1125.43</v>
      </c>
      <c r="O119" s="19">
        <f t="shared" si="20"/>
        <v>18070.349999999999</v>
      </c>
    </row>
    <row r="120" spans="1:15" x14ac:dyDescent="0.2">
      <c r="B120" s="90" t="s">
        <v>108</v>
      </c>
      <c r="C120" s="97">
        <v>5.42</v>
      </c>
      <c r="D120" s="97">
        <v>8.2899999999999991</v>
      </c>
      <c r="E120" s="97">
        <v>5.46</v>
      </c>
      <c r="F120" s="97">
        <v>4.9000000000000004</v>
      </c>
      <c r="G120" s="97">
        <v>6.54</v>
      </c>
      <c r="H120" s="97">
        <v>6.11</v>
      </c>
      <c r="I120" s="97">
        <v>7.77</v>
      </c>
      <c r="J120" s="97">
        <v>5.5</v>
      </c>
      <c r="K120" s="97">
        <v>6.03</v>
      </c>
      <c r="L120" s="97">
        <v>6.47</v>
      </c>
      <c r="M120" s="97">
        <v>3.77</v>
      </c>
      <c r="N120" s="97">
        <v>10.08</v>
      </c>
      <c r="O120" s="91">
        <f>SUM(C120:N120)</f>
        <v>76.339999999999989</v>
      </c>
    </row>
    <row r="121" spans="1:15" x14ac:dyDescent="0.2">
      <c r="B121" s="90" t="s">
        <v>109</v>
      </c>
      <c r="C121" s="97">
        <v>0.74</v>
      </c>
      <c r="D121" s="97">
        <v>0.72</v>
      </c>
      <c r="E121" s="97">
        <v>0.26</v>
      </c>
      <c r="F121" s="97">
        <v>0.43</v>
      </c>
      <c r="G121" s="97">
        <v>2.5299999999999998</v>
      </c>
      <c r="H121" s="97">
        <v>0.46</v>
      </c>
      <c r="I121" s="97">
        <v>1.75</v>
      </c>
      <c r="J121" s="97">
        <v>1.25</v>
      </c>
      <c r="K121" s="97">
        <v>0.71</v>
      </c>
      <c r="L121" s="97">
        <v>0.12</v>
      </c>
      <c r="M121" s="97">
        <v>0.37</v>
      </c>
      <c r="N121" s="97">
        <v>0.25</v>
      </c>
      <c r="O121" s="91">
        <f t="shared" ref="O121:O124" si="21">SUM(C121:N121)</f>
        <v>9.59</v>
      </c>
    </row>
    <row r="122" spans="1:15" x14ac:dyDescent="0.2">
      <c r="B122" s="90" t="s">
        <v>110</v>
      </c>
      <c r="C122" s="97">
        <v>971.07</v>
      </c>
      <c r="D122" s="97">
        <v>785.89</v>
      </c>
      <c r="E122" s="97">
        <v>760.56</v>
      </c>
      <c r="F122" s="97">
        <v>886.23</v>
      </c>
      <c r="G122" s="97">
        <v>849.81</v>
      </c>
      <c r="H122" s="97">
        <v>902.31</v>
      </c>
      <c r="I122" s="97">
        <v>1147.44</v>
      </c>
      <c r="J122" s="97">
        <v>810.46</v>
      </c>
      <c r="K122" s="97">
        <v>904.93</v>
      </c>
      <c r="L122" s="97">
        <v>780.65</v>
      </c>
      <c r="M122" s="97">
        <v>707.82</v>
      </c>
      <c r="N122" s="97">
        <v>685.32</v>
      </c>
      <c r="O122" s="91">
        <f t="shared" si="21"/>
        <v>10192.49</v>
      </c>
    </row>
    <row r="123" spans="1:15" x14ac:dyDescent="0.2">
      <c r="B123" s="90" t="s">
        <v>111</v>
      </c>
      <c r="C123" s="97">
        <v>800.75</v>
      </c>
      <c r="D123" s="97">
        <v>522.52</v>
      </c>
      <c r="E123" s="97">
        <v>679.2</v>
      </c>
      <c r="F123" s="97">
        <v>586.58000000000004</v>
      </c>
      <c r="G123" s="97">
        <v>515.28</v>
      </c>
      <c r="H123" s="97">
        <v>480.48</v>
      </c>
      <c r="I123" s="97">
        <v>796.41</v>
      </c>
      <c r="J123" s="97">
        <v>650.69000000000005</v>
      </c>
      <c r="K123" s="97">
        <v>641.62</v>
      </c>
      <c r="L123" s="97">
        <v>672.06</v>
      </c>
      <c r="M123" s="97">
        <v>633.37</v>
      </c>
      <c r="N123" s="97">
        <v>417.8</v>
      </c>
      <c r="O123" s="91">
        <f t="shared" si="21"/>
        <v>7396.76</v>
      </c>
    </row>
    <row r="124" spans="1:15" x14ac:dyDescent="0.2">
      <c r="B124" s="90" t="s">
        <v>112</v>
      </c>
      <c r="C124" s="97">
        <v>31.96</v>
      </c>
      <c r="D124" s="97">
        <v>22.4</v>
      </c>
      <c r="E124" s="97">
        <v>119.07</v>
      </c>
      <c r="F124" s="97">
        <v>17.579999999999998</v>
      </c>
      <c r="G124" s="97">
        <v>17.05</v>
      </c>
      <c r="H124" s="97">
        <v>16.96</v>
      </c>
      <c r="I124" s="97">
        <v>25.29</v>
      </c>
      <c r="J124" s="97">
        <v>20.309999999999999</v>
      </c>
      <c r="K124" s="97">
        <v>20.100000000000001</v>
      </c>
      <c r="L124" s="97">
        <v>79.61</v>
      </c>
      <c r="M124" s="97">
        <v>12.86</v>
      </c>
      <c r="N124" s="97">
        <v>11.98</v>
      </c>
      <c r="O124" s="91">
        <f t="shared" si="21"/>
        <v>395.17000000000007</v>
      </c>
    </row>
    <row r="125" spans="1:15" x14ac:dyDescent="0.2">
      <c r="C125" s="97"/>
      <c r="D125" s="97"/>
      <c r="E125" s="97"/>
      <c r="F125" s="97"/>
      <c r="G125" s="97"/>
      <c r="H125" s="97"/>
      <c r="I125" s="97"/>
      <c r="J125" s="97"/>
      <c r="K125" s="97"/>
      <c r="L125" s="97"/>
      <c r="M125" s="97"/>
      <c r="N125" s="97"/>
    </row>
    <row r="126" spans="1:15" s="95" customFormat="1" ht="15" x14ac:dyDescent="0.25">
      <c r="A126" s="94" t="s">
        <v>113</v>
      </c>
      <c r="C126" s="96">
        <f>SUM(C127:C134)</f>
        <v>354.08999999999992</v>
      </c>
      <c r="D126" s="96">
        <f t="shared" ref="D126:O126" si="22">SUM(D127:D134)</f>
        <v>125.31</v>
      </c>
      <c r="E126" s="96">
        <f t="shared" si="22"/>
        <v>113.18</v>
      </c>
      <c r="F126" s="96">
        <f t="shared" si="22"/>
        <v>153.09000000000003</v>
      </c>
      <c r="G126" s="96">
        <f t="shared" si="22"/>
        <v>149.19</v>
      </c>
      <c r="H126" s="96">
        <f t="shared" si="22"/>
        <v>172.95999999999998</v>
      </c>
      <c r="I126" s="96">
        <f t="shared" si="22"/>
        <v>240.06</v>
      </c>
      <c r="J126" s="96">
        <f t="shared" si="22"/>
        <v>201.59</v>
      </c>
      <c r="K126" s="96">
        <f t="shared" si="22"/>
        <v>267.63999999999993</v>
      </c>
      <c r="L126" s="96">
        <f t="shared" si="22"/>
        <v>378.42</v>
      </c>
      <c r="M126" s="96">
        <f t="shared" si="22"/>
        <v>229.83999999999997</v>
      </c>
      <c r="N126" s="96">
        <f t="shared" si="22"/>
        <v>284.3</v>
      </c>
      <c r="O126" s="96">
        <f t="shared" si="22"/>
        <v>2669.67</v>
      </c>
    </row>
    <row r="127" spans="1:15" x14ac:dyDescent="0.2">
      <c r="B127" s="90" t="s">
        <v>108</v>
      </c>
      <c r="C127" s="97">
        <v>313.58999999999997</v>
      </c>
      <c r="D127" s="97">
        <v>82.47</v>
      </c>
      <c r="E127" s="97">
        <v>81.040000000000006</v>
      </c>
      <c r="F127" s="97">
        <v>138.61000000000001</v>
      </c>
      <c r="G127" s="97">
        <v>130.53</v>
      </c>
      <c r="H127" s="97">
        <v>147.78</v>
      </c>
      <c r="I127" s="97">
        <v>213.62</v>
      </c>
      <c r="J127" s="97">
        <v>181.62</v>
      </c>
      <c r="K127" s="97">
        <v>243.69</v>
      </c>
      <c r="L127" s="97">
        <v>353.6</v>
      </c>
      <c r="M127" s="97">
        <v>217.63</v>
      </c>
      <c r="N127" s="97">
        <v>265.45999999999998</v>
      </c>
      <c r="O127" s="91">
        <f>SUM(C127:N127)</f>
        <v>2369.64</v>
      </c>
    </row>
    <row r="128" spans="1:15" x14ac:dyDescent="0.2">
      <c r="B128" s="90" t="s">
        <v>114</v>
      </c>
      <c r="C128" s="97">
        <v>0.01</v>
      </c>
      <c r="D128" s="97">
        <v>0.21</v>
      </c>
      <c r="E128" s="97">
        <v>0.02</v>
      </c>
      <c r="F128" s="97">
        <v>0.01</v>
      </c>
      <c r="G128" s="97">
        <v>0.05</v>
      </c>
      <c r="H128" s="97">
        <v>0.01</v>
      </c>
      <c r="I128" s="97">
        <v>0</v>
      </c>
      <c r="J128" s="97">
        <v>0</v>
      </c>
      <c r="K128" s="97">
        <v>0.01</v>
      </c>
      <c r="L128" s="97">
        <v>0.01</v>
      </c>
      <c r="M128" s="97">
        <v>0</v>
      </c>
      <c r="N128" s="97">
        <v>0.01</v>
      </c>
      <c r="O128" s="91">
        <f t="shared" ref="O128:O134" si="23">SUM(C128:N128)</f>
        <v>0.34</v>
      </c>
    </row>
    <row r="129" spans="1:15" x14ac:dyDescent="0.2">
      <c r="B129" s="90" t="s">
        <v>115</v>
      </c>
      <c r="C129" s="97">
        <v>0.27</v>
      </c>
      <c r="D129" s="97">
        <v>7.0000000000000007E-2</v>
      </c>
      <c r="E129" s="97">
        <v>0.13</v>
      </c>
      <c r="F129" s="97">
        <v>0.05</v>
      </c>
      <c r="G129" s="97">
        <v>0.14000000000000001</v>
      </c>
      <c r="H129" s="97">
        <v>0.02</v>
      </c>
      <c r="I129" s="97">
        <v>0.16</v>
      </c>
      <c r="J129" s="97">
        <v>0.27</v>
      </c>
      <c r="K129" s="97">
        <v>0.09</v>
      </c>
      <c r="L129" s="97">
        <v>0.21</v>
      </c>
      <c r="M129" s="97">
        <v>0.1</v>
      </c>
      <c r="N129" s="97">
        <v>7.0000000000000007E-2</v>
      </c>
      <c r="O129" s="91">
        <f t="shared" si="23"/>
        <v>1.5800000000000003</v>
      </c>
    </row>
    <row r="130" spans="1:15" x14ac:dyDescent="0.2">
      <c r="B130" s="90" t="s">
        <v>116</v>
      </c>
      <c r="C130" s="97">
        <v>0.05</v>
      </c>
      <c r="D130" s="97">
        <v>0.01</v>
      </c>
      <c r="E130" s="97">
        <v>0.01</v>
      </c>
      <c r="F130" s="97">
        <v>0.27</v>
      </c>
      <c r="G130" s="97">
        <v>0.4</v>
      </c>
      <c r="H130" s="97">
        <v>0.14000000000000001</v>
      </c>
      <c r="I130" s="97">
        <v>0.24</v>
      </c>
      <c r="J130" s="97">
        <v>1.24</v>
      </c>
      <c r="K130" s="97">
        <v>0.01</v>
      </c>
      <c r="L130" s="97">
        <v>0.74</v>
      </c>
      <c r="M130" s="97">
        <v>0</v>
      </c>
      <c r="N130" s="97">
        <v>0.01</v>
      </c>
      <c r="O130" s="91">
        <f t="shared" si="23"/>
        <v>3.12</v>
      </c>
    </row>
    <row r="131" spans="1:15" ht="12.75" customHeight="1" x14ac:dyDescent="0.2">
      <c r="B131" s="90" t="s">
        <v>117</v>
      </c>
      <c r="C131" s="97">
        <v>0</v>
      </c>
      <c r="D131" s="97">
        <v>0</v>
      </c>
      <c r="E131" s="97">
        <v>0</v>
      </c>
      <c r="F131" s="97">
        <v>0</v>
      </c>
      <c r="G131" s="97">
        <v>0</v>
      </c>
      <c r="H131" s="97">
        <v>0.03</v>
      </c>
      <c r="I131" s="97">
        <v>0</v>
      </c>
      <c r="J131" s="97">
        <v>0</v>
      </c>
      <c r="K131" s="97">
        <v>0</v>
      </c>
      <c r="L131" s="97">
        <v>0</v>
      </c>
      <c r="M131" s="97">
        <v>0</v>
      </c>
      <c r="N131" s="97">
        <v>0</v>
      </c>
      <c r="O131" s="91">
        <f t="shared" si="23"/>
        <v>0.03</v>
      </c>
    </row>
    <row r="132" spans="1:15" x14ac:dyDescent="0.2">
      <c r="B132" s="90" t="s">
        <v>118</v>
      </c>
      <c r="C132" s="97">
        <v>14.7</v>
      </c>
      <c r="D132" s="97">
        <v>22.65</v>
      </c>
      <c r="E132" s="97">
        <v>20.7</v>
      </c>
      <c r="F132" s="97">
        <v>13</v>
      </c>
      <c r="G132" s="97">
        <v>13.31</v>
      </c>
      <c r="H132" s="97">
        <v>18.36</v>
      </c>
      <c r="I132" s="97">
        <v>18.170000000000002</v>
      </c>
      <c r="J132" s="97">
        <v>17.600000000000001</v>
      </c>
      <c r="K132" s="97">
        <v>22.72</v>
      </c>
      <c r="L132" s="97">
        <v>22.86</v>
      </c>
      <c r="M132" s="97">
        <v>11.23</v>
      </c>
      <c r="N132" s="97">
        <v>17.97</v>
      </c>
      <c r="O132" s="91">
        <f t="shared" si="23"/>
        <v>213.26999999999998</v>
      </c>
    </row>
    <row r="133" spans="1:15" ht="12.75" customHeight="1" x14ac:dyDescent="0.2">
      <c r="B133" s="90" t="s">
        <v>119</v>
      </c>
      <c r="C133" s="97">
        <v>25.22</v>
      </c>
      <c r="D133" s="97">
        <v>19.53</v>
      </c>
      <c r="E133" s="97">
        <v>11.12</v>
      </c>
      <c r="F133" s="97">
        <v>0.86</v>
      </c>
      <c r="G133" s="97">
        <v>4.4800000000000004</v>
      </c>
      <c r="H133" s="97">
        <v>6.28</v>
      </c>
      <c r="I133" s="97">
        <v>7.6</v>
      </c>
      <c r="J133" s="97">
        <v>0.64</v>
      </c>
      <c r="K133" s="97">
        <v>0.84</v>
      </c>
      <c r="L133" s="97">
        <v>0.66</v>
      </c>
      <c r="M133" s="97">
        <v>0.71</v>
      </c>
      <c r="N133" s="97">
        <v>0.67</v>
      </c>
      <c r="O133" s="91">
        <f t="shared" si="23"/>
        <v>78.609999999999985</v>
      </c>
    </row>
    <row r="134" spans="1:15" ht="12.75" customHeight="1" x14ac:dyDescent="0.2">
      <c r="B134" s="90" t="s">
        <v>120</v>
      </c>
      <c r="C134" s="97">
        <v>0.25</v>
      </c>
      <c r="D134" s="97">
        <v>0.37</v>
      </c>
      <c r="E134" s="97">
        <v>0.16</v>
      </c>
      <c r="F134" s="97">
        <v>0.28999999999999998</v>
      </c>
      <c r="G134" s="97">
        <v>0.28000000000000003</v>
      </c>
      <c r="H134" s="97">
        <v>0.34</v>
      </c>
      <c r="I134" s="97">
        <v>0.27</v>
      </c>
      <c r="J134" s="97">
        <v>0.22</v>
      </c>
      <c r="K134" s="97">
        <v>0.28000000000000003</v>
      </c>
      <c r="L134" s="97">
        <v>0.34</v>
      </c>
      <c r="M134" s="97">
        <v>0.17</v>
      </c>
      <c r="N134" s="97">
        <v>0.11</v>
      </c>
      <c r="O134" s="91">
        <f t="shared" si="23"/>
        <v>3.0799999999999996</v>
      </c>
    </row>
    <row r="135" spans="1:15" ht="12.75" customHeight="1" x14ac:dyDescent="0.2">
      <c r="C135" s="97"/>
      <c r="D135" s="97"/>
      <c r="E135" s="97"/>
      <c r="F135" s="97"/>
      <c r="G135" s="97"/>
      <c r="H135" s="97"/>
      <c r="I135" s="97"/>
      <c r="J135" s="97"/>
      <c r="K135" s="97"/>
      <c r="L135" s="97"/>
      <c r="M135" s="97"/>
      <c r="N135" s="97"/>
    </row>
    <row r="136" spans="1:15" s="95" customFormat="1" ht="12.75" customHeight="1" x14ac:dyDescent="0.25">
      <c r="A136" s="94" t="s">
        <v>687</v>
      </c>
      <c r="C136" s="96">
        <f t="shared" ref="C136:N136" si="24">SUM(C137:C137)</f>
        <v>7.25</v>
      </c>
      <c r="D136" s="96">
        <f t="shared" si="24"/>
        <v>3.83</v>
      </c>
      <c r="E136" s="96">
        <f t="shared" si="24"/>
        <v>3.71</v>
      </c>
      <c r="F136" s="96">
        <f t="shared" si="24"/>
        <v>3.39</v>
      </c>
      <c r="G136" s="96">
        <f t="shared" si="24"/>
        <v>3.83</v>
      </c>
      <c r="H136" s="96">
        <f t="shared" si="24"/>
        <v>4.1100000000000003</v>
      </c>
      <c r="I136" s="96">
        <f t="shared" si="24"/>
        <v>5.3</v>
      </c>
      <c r="J136" s="96">
        <f t="shared" si="24"/>
        <v>3.55</v>
      </c>
      <c r="K136" s="96">
        <f t="shared" si="24"/>
        <v>3.55</v>
      </c>
      <c r="L136" s="96">
        <f t="shared" si="24"/>
        <v>6.57</v>
      </c>
      <c r="M136" s="96">
        <f t="shared" si="24"/>
        <v>3.65</v>
      </c>
      <c r="N136" s="96">
        <f t="shared" si="24"/>
        <v>3.61</v>
      </c>
      <c r="O136" s="106">
        <f>SUM(O137:O137)</f>
        <v>52.349999999999994</v>
      </c>
    </row>
    <row r="137" spans="1:15" ht="12.75" customHeight="1" x14ac:dyDescent="0.2">
      <c r="B137" s="90" t="s">
        <v>108</v>
      </c>
      <c r="C137" s="97">
        <v>7.25</v>
      </c>
      <c r="D137" s="97">
        <v>3.83</v>
      </c>
      <c r="E137" s="97">
        <v>3.71</v>
      </c>
      <c r="F137" s="97">
        <v>3.39</v>
      </c>
      <c r="G137" s="97">
        <v>3.83</v>
      </c>
      <c r="H137" s="97">
        <v>4.1100000000000003</v>
      </c>
      <c r="I137" s="97">
        <v>5.3</v>
      </c>
      <c r="J137" s="97">
        <v>3.55</v>
      </c>
      <c r="K137" s="97">
        <v>3.55</v>
      </c>
      <c r="L137" s="97">
        <v>6.57</v>
      </c>
      <c r="M137" s="97">
        <v>3.65</v>
      </c>
      <c r="N137" s="97">
        <v>3.61</v>
      </c>
      <c r="O137" s="91">
        <f>SUM(C137:N137)</f>
        <v>52.349999999999994</v>
      </c>
    </row>
    <row r="138" spans="1:15" ht="12.75" customHeight="1" x14ac:dyDescent="0.2">
      <c r="C138" s="97"/>
      <c r="D138" s="97"/>
      <c r="E138" s="97"/>
      <c r="F138" s="97"/>
      <c r="G138" s="97"/>
      <c r="H138" s="97"/>
      <c r="I138" s="97"/>
      <c r="J138" s="97"/>
      <c r="K138" s="97"/>
      <c r="L138" s="97"/>
      <c r="M138" s="97"/>
      <c r="N138" s="97"/>
    </row>
    <row r="139" spans="1:15" s="95" customFormat="1" ht="15" x14ac:dyDescent="0.25">
      <c r="A139" s="94" t="s">
        <v>122</v>
      </c>
      <c r="C139" s="96">
        <f>SUM(C140:C144)</f>
        <v>130.92999999999998</v>
      </c>
      <c r="D139" s="96">
        <f t="shared" ref="D139:O139" si="25">SUM(D140:D144)</f>
        <v>111.38</v>
      </c>
      <c r="E139" s="96">
        <f t="shared" si="25"/>
        <v>208.13000000000002</v>
      </c>
      <c r="F139" s="96">
        <f t="shared" si="25"/>
        <v>52.739999999999995</v>
      </c>
      <c r="G139" s="96">
        <f t="shared" si="25"/>
        <v>141.16000000000003</v>
      </c>
      <c r="H139" s="96">
        <f t="shared" si="25"/>
        <v>48.41</v>
      </c>
      <c r="I139" s="96">
        <f t="shared" si="25"/>
        <v>50.650000000000006</v>
      </c>
      <c r="J139" s="96">
        <f t="shared" si="25"/>
        <v>71.39</v>
      </c>
      <c r="K139" s="96">
        <f t="shared" si="25"/>
        <v>58.5</v>
      </c>
      <c r="L139" s="96">
        <f t="shared" si="25"/>
        <v>63.93</v>
      </c>
      <c r="M139" s="96">
        <f t="shared" si="25"/>
        <v>43.42</v>
      </c>
      <c r="N139" s="96">
        <f t="shared" si="25"/>
        <v>103.49</v>
      </c>
      <c r="O139" s="96">
        <f t="shared" si="25"/>
        <v>1084.1299999999999</v>
      </c>
    </row>
    <row r="140" spans="1:15" x14ac:dyDescent="0.2">
      <c r="B140" s="90" t="s">
        <v>123</v>
      </c>
      <c r="C140" s="97">
        <v>0</v>
      </c>
      <c r="D140" s="97">
        <v>0</v>
      </c>
      <c r="E140" s="97">
        <v>0</v>
      </c>
      <c r="F140" s="97">
        <v>0</v>
      </c>
      <c r="G140" s="97">
        <v>0</v>
      </c>
      <c r="H140" s="97">
        <v>0</v>
      </c>
      <c r="I140" s="97">
        <v>0</v>
      </c>
      <c r="J140" s="97">
        <v>0</v>
      </c>
      <c r="K140" s="97">
        <v>0</v>
      </c>
      <c r="L140" s="97">
        <v>0</v>
      </c>
      <c r="M140" s="97">
        <v>0</v>
      </c>
      <c r="N140" s="97">
        <v>0</v>
      </c>
      <c r="O140" s="91">
        <f>SUM(C140:N140)</f>
        <v>0</v>
      </c>
    </row>
    <row r="141" spans="1:15" x14ac:dyDescent="0.2">
      <c r="B141" s="90" t="s">
        <v>124</v>
      </c>
      <c r="C141" s="97">
        <v>130.88999999999999</v>
      </c>
      <c r="D141" s="97">
        <v>111.36</v>
      </c>
      <c r="E141" s="97">
        <v>208.08</v>
      </c>
      <c r="F141" s="97">
        <v>52.66</v>
      </c>
      <c r="G141" s="97">
        <v>141.11000000000001</v>
      </c>
      <c r="H141" s="97">
        <v>45.25</v>
      </c>
      <c r="I141" s="97">
        <v>50.52</v>
      </c>
      <c r="J141" s="97">
        <v>71.239999999999995</v>
      </c>
      <c r="K141" s="97">
        <v>58.16</v>
      </c>
      <c r="L141" s="97">
        <v>63.81</v>
      </c>
      <c r="M141" s="97">
        <v>43.39</v>
      </c>
      <c r="N141" s="97">
        <v>103.38</v>
      </c>
      <c r="O141" s="91">
        <f t="shared" ref="O141:O144" si="26">SUM(C141:N141)</f>
        <v>1079.8499999999999</v>
      </c>
    </row>
    <row r="142" spans="1:15" x14ac:dyDescent="0.2">
      <c r="B142" s="105" t="s">
        <v>125</v>
      </c>
      <c r="C142" s="97">
        <v>0</v>
      </c>
      <c r="D142" s="97">
        <v>0</v>
      </c>
      <c r="E142" s="97">
        <v>0</v>
      </c>
      <c r="F142" s="97">
        <v>0</v>
      </c>
      <c r="G142" s="97">
        <v>0</v>
      </c>
      <c r="H142" s="97">
        <v>0</v>
      </c>
      <c r="I142" s="97">
        <v>0</v>
      </c>
      <c r="J142" s="97">
        <v>0</v>
      </c>
      <c r="K142" s="97">
        <v>0</v>
      </c>
      <c r="L142" s="97">
        <v>0</v>
      </c>
      <c r="M142" s="97">
        <v>0</v>
      </c>
      <c r="N142" s="97">
        <v>0</v>
      </c>
      <c r="O142" s="91">
        <f t="shared" si="26"/>
        <v>0</v>
      </c>
    </row>
    <row r="143" spans="1:15" x14ac:dyDescent="0.2">
      <c r="B143" s="90" t="s">
        <v>126</v>
      </c>
      <c r="C143" s="97">
        <v>0.04</v>
      </c>
      <c r="D143" s="97">
        <v>0.02</v>
      </c>
      <c r="E143" s="97">
        <v>0.05</v>
      </c>
      <c r="F143" s="97">
        <v>0.08</v>
      </c>
      <c r="G143" s="97">
        <v>0.05</v>
      </c>
      <c r="H143" s="97">
        <v>0.08</v>
      </c>
      <c r="I143" s="97">
        <v>0.13</v>
      </c>
      <c r="J143" s="97">
        <v>0.15</v>
      </c>
      <c r="K143" s="97">
        <v>0.34</v>
      </c>
      <c r="L143" s="97">
        <v>0.12</v>
      </c>
      <c r="M143" s="97">
        <v>0.03</v>
      </c>
      <c r="N143" s="97">
        <v>0.11</v>
      </c>
      <c r="O143" s="91">
        <f t="shared" si="26"/>
        <v>1.2000000000000002</v>
      </c>
    </row>
    <row r="144" spans="1:15" x14ac:dyDescent="0.2">
      <c r="B144" s="90" t="s">
        <v>127</v>
      </c>
      <c r="C144" s="97">
        <v>0</v>
      </c>
      <c r="D144" s="97">
        <v>0</v>
      </c>
      <c r="E144" s="97">
        <v>0</v>
      </c>
      <c r="F144" s="97">
        <v>0</v>
      </c>
      <c r="G144" s="97">
        <v>0</v>
      </c>
      <c r="H144" s="97">
        <v>3.08</v>
      </c>
      <c r="I144" s="97">
        <v>0</v>
      </c>
      <c r="J144" s="97">
        <v>0</v>
      </c>
      <c r="K144" s="97">
        <v>0</v>
      </c>
      <c r="L144" s="97">
        <v>0</v>
      </c>
      <c r="M144" s="97">
        <v>0</v>
      </c>
      <c r="N144" s="97">
        <v>0</v>
      </c>
      <c r="O144" s="91">
        <f t="shared" si="26"/>
        <v>3.08</v>
      </c>
    </row>
    <row r="145" spans="1:15" x14ac:dyDescent="0.2">
      <c r="C145" s="97"/>
      <c r="D145" s="97"/>
      <c r="E145" s="97"/>
      <c r="F145" s="97"/>
      <c r="G145" s="97"/>
      <c r="H145" s="97"/>
      <c r="I145" s="97"/>
      <c r="J145" s="97"/>
      <c r="K145" s="97"/>
      <c r="L145" s="97"/>
      <c r="M145" s="97"/>
      <c r="N145" s="97"/>
    </row>
    <row r="146" spans="1:15" s="95" customFormat="1" ht="15" x14ac:dyDescent="0.25">
      <c r="A146" s="94" t="s">
        <v>128</v>
      </c>
      <c r="C146" s="96">
        <f>SUM(C147:C158)</f>
        <v>319.57000000000005</v>
      </c>
      <c r="D146" s="96">
        <f t="shared" ref="D146:O146" si="27">SUM(D147:D158)</f>
        <v>230.43000000000004</v>
      </c>
      <c r="E146" s="96">
        <f t="shared" si="27"/>
        <v>454.9</v>
      </c>
      <c r="F146" s="96">
        <f t="shared" si="27"/>
        <v>464.16999999999996</v>
      </c>
      <c r="G146" s="96">
        <f t="shared" si="27"/>
        <v>81.48</v>
      </c>
      <c r="H146" s="96">
        <f t="shared" si="27"/>
        <v>57.89</v>
      </c>
      <c r="I146" s="96">
        <f t="shared" si="27"/>
        <v>274.26999999999992</v>
      </c>
      <c r="J146" s="96">
        <f t="shared" si="27"/>
        <v>735.31999999999994</v>
      </c>
      <c r="K146" s="96">
        <f t="shared" si="27"/>
        <v>843.7</v>
      </c>
      <c r="L146" s="96">
        <f t="shared" si="27"/>
        <v>1024.6499999999999</v>
      </c>
      <c r="M146" s="96">
        <f t="shared" si="27"/>
        <v>209.79000000000002</v>
      </c>
      <c r="N146" s="96">
        <f t="shared" si="27"/>
        <v>1817.98</v>
      </c>
      <c r="O146" s="96">
        <f t="shared" si="27"/>
        <v>6514.1499999999987</v>
      </c>
    </row>
    <row r="147" spans="1:15" x14ac:dyDescent="0.2">
      <c r="B147" s="90" t="s">
        <v>129</v>
      </c>
      <c r="C147" s="97">
        <v>0</v>
      </c>
      <c r="D147" s="97">
        <v>0</v>
      </c>
      <c r="E147" s="97">
        <v>0</v>
      </c>
      <c r="F147" s="97">
        <v>0</v>
      </c>
      <c r="G147" s="97">
        <v>0</v>
      </c>
      <c r="H147" s="97">
        <v>0</v>
      </c>
      <c r="I147" s="97">
        <v>0</v>
      </c>
      <c r="J147" s="97">
        <v>0</v>
      </c>
      <c r="K147" s="97">
        <v>0</v>
      </c>
      <c r="L147" s="97">
        <v>0</v>
      </c>
      <c r="M147" s="97">
        <v>0</v>
      </c>
      <c r="N147" s="97">
        <v>0</v>
      </c>
      <c r="O147" s="91">
        <f>SUM(C147:N147)</f>
        <v>0</v>
      </c>
    </row>
    <row r="148" spans="1:15" x14ac:dyDescent="0.2">
      <c r="B148" s="90" t="s">
        <v>130</v>
      </c>
      <c r="C148" s="97">
        <v>307.86</v>
      </c>
      <c r="D148" s="97">
        <v>212.93</v>
      </c>
      <c r="E148" s="97">
        <v>441.3</v>
      </c>
      <c r="F148" s="97">
        <v>452.65</v>
      </c>
      <c r="G148" s="97">
        <v>73.62</v>
      </c>
      <c r="H148" s="97">
        <v>47.07</v>
      </c>
      <c r="I148" s="97">
        <v>259.14</v>
      </c>
      <c r="J148" s="97">
        <v>718.58</v>
      </c>
      <c r="K148" s="97">
        <v>802.39</v>
      </c>
      <c r="L148" s="97">
        <v>986.22</v>
      </c>
      <c r="M148" s="97">
        <v>204.62</v>
      </c>
      <c r="N148" s="97">
        <v>1809.4</v>
      </c>
      <c r="O148" s="91">
        <f t="shared" ref="O148:O158" si="28">SUM(C148:N148)</f>
        <v>6315.7799999999988</v>
      </c>
    </row>
    <row r="149" spans="1:15" x14ac:dyDescent="0.2">
      <c r="B149" s="90" t="s">
        <v>131</v>
      </c>
      <c r="C149" s="97">
        <v>11.41</v>
      </c>
      <c r="D149" s="97">
        <v>17.34</v>
      </c>
      <c r="E149" s="97">
        <v>13.32</v>
      </c>
      <c r="F149" s="97">
        <v>9.9</v>
      </c>
      <c r="G149" s="97">
        <v>7.85</v>
      </c>
      <c r="H149" s="97">
        <v>10.75</v>
      </c>
      <c r="I149" s="97">
        <v>10.59</v>
      </c>
      <c r="J149" s="97">
        <v>15.67</v>
      </c>
      <c r="K149" s="97">
        <v>41.11</v>
      </c>
      <c r="L149" s="97">
        <v>38.1</v>
      </c>
      <c r="M149" s="97">
        <v>4.93</v>
      </c>
      <c r="N149" s="97">
        <v>8.18</v>
      </c>
      <c r="O149" s="91">
        <f t="shared" si="28"/>
        <v>189.15</v>
      </c>
    </row>
    <row r="150" spans="1:15" x14ac:dyDescent="0.2">
      <c r="B150" s="90" t="s">
        <v>132</v>
      </c>
      <c r="C150" s="97">
        <v>0</v>
      </c>
      <c r="D150" s="97">
        <v>0</v>
      </c>
      <c r="E150" s="97">
        <v>0</v>
      </c>
      <c r="F150" s="97">
        <v>0</v>
      </c>
      <c r="G150" s="97">
        <v>0</v>
      </c>
      <c r="H150" s="97">
        <v>0</v>
      </c>
      <c r="I150" s="97">
        <v>0</v>
      </c>
      <c r="J150" s="97">
        <v>0</v>
      </c>
      <c r="K150" s="97">
        <v>0</v>
      </c>
      <c r="L150" s="97">
        <v>0</v>
      </c>
      <c r="M150" s="97">
        <v>0</v>
      </c>
      <c r="N150" s="97">
        <v>0</v>
      </c>
      <c r="O150" s="91">
        <f t="shared" si="28"/>
        <v>0</v>
      </c>
    </row>
    <row r="151" spans="1:15" x14ac:dyDescent="0.2">
      <c r="B151" s="90" t="s">
        <v>133</v>
      </c>
      <c r="C151" s="97">
        <v>0</v>
      </c>
      <c r="D151" s="97">
        <v>0</v>
      </c>
      <c r="E151" s="97">
        <v>0</v>
      </c>
      <c r="F151" s="97">
        <v>0</v>
      </c>
      <c r="G151" s="97">
        <v>0</v>
      </c>
      <c r="H151" s="97">
        <v>0</v>
      </c>
      <c r="I151" s="97">
        <v>0</v>
      </c>
      <c r="J151" s="97">
        <v>0</v>
      </c>
      <c r="K151" s="97">
        <v>0</v>
      </c>
      <c r="L151" s="97">
        <v>0</v>
      </c>
      <c r="M151" s="97">
        <v>0</v>
      </c>
      <c r="N151" s="97">
        <v>0</v>
      </c>
      <c r="O151" s="91">
        <f t="shared" si="28"/>
        <v>0</v>
      </c>
    </row>
    <row r="152" spans="1:15" x14ac:dyDescent="0.2">
      <c r="B152" s="90" t="s">
        <v>134</v>
      </c>
      <c r="C152" s="97">
        <v>0</v>
      </c>
      <c r="D152" s="97">
        <v>0</v>
      </c>
      <c r="E152" s="97">
        <v>0</v>
      </c>
      <c r="F152" s="97">
        <v>0</v>
      </c>
      <c r="G152" s="97">
        <v>0</v>
      </c>
      <c r="H152" s="97">
        <v>0</v>
      </c>
      <c r="I152" s="97">
        <v>0</v>
      </c>
      <c r="J152" s="97">
        <v>0</v>
      </c>
      <c r="K152" s="97">
        <v>0</v>
      </c>
      <c r="L152" s="97">
        <v>0</v>
      </c>
      <c r="M152" s="97">
        <v>0</v>
      </c>
      <c r="N152" s="97">
        <v>0</v>
      </c>
      <c r="O152" s="91">
        <f t="shared" si="28"/>
        <v>0</v>
      </c>
    </row>
    <row r="153" spans="1:15" x14ac:dyDescent="0.2">
      <c r="B153" s="90" t="s">
        <v>135</v>
      </c>
      <c r="C153" s="97">
        <v>0</v>
      </c>
      <c r="D153" s="97">
        <v>0.08</v>
      </c>
      <c r="E153" s="97">
        <v>0.01</v>
      </c>
      <c r="F153" s="97">
        <v>0.08</v>
      </c>
      <c r="G153" s="97">
        <v>0.01</v>
      </c>
      <c r="H153" s="97">
        <v>0.01</v>
      </c>
      <c r="I153" s="97">
        <v>0.34</v>
      </c>
      <c r="J153" s="97">
        <v>0.01</v>
      </c>
      <c r="K153" s="97">
        <v>0.09</v>
      </c>
      <c r="L153" s="97">
        <v>0</v>
      </c>
      <c r="M153" s="97">
        <v>0.04</v>
      </c>
      <c r="N153" s="97">
        <v>0</v>
      </c>
      <c r="O153" s="91">
        <f t="shared" si="28"/>
        <v>0.67</v>
      </c>
    </row>
    <row r="154" spans="1:15" x14ac:dyDescent="0.2">
      <c r="B154" s="90" t="s">
        <v>688</v>
      </c>
      <c r="C154" s="97">
        <v>0</v>
      </c>
      <c r="D154" s="97">
        <v>0</v>
      </c>
      <c r="E154" s="97">
        <v>0</v>
      </c>
      <c r="F154" s="97">
        <v>0</v>
      </c>
      <c r="G154" s="97">
        <v>0</v>
      </c>
      <c r="H154" s="97">
        <v>0</v>
      </c>
      <c r="I154" s="97">
        <v>0</v>
      </c>
      <c r="J154" s="97">
        <v>0.05</v>
      </c>
      <c r="K154" s="97">
        <v>0.08</v>
      </c>
      <c r="L154" s="97">
        <v>0.14000000000000001</v>
      </c>
      <c r="M154" s="97">
        <v>0</v>
      </c>
      <c r="N154" s="97">
        <v>0.11</v>
      </c>
      <c r="O154" s="91">
        <f t="shared" si="28"/>
        <v>0.38</v>
      </c>
    </row>
    <row r="155" spans="1:15" x14ac:dyDescent="0.2">
      <c r="B155" s="90" t="s">
        <v>136</v>
      </c>
      <c r="C155" s="97">
        <v>0</v>
      </c>
      <c r="D155" s="97">
        <v>0</v>
      </c>
      <c r="E155" s="97">
        <v>0</v>
      </c>
      <c r="F155" s="97">
        <v>0</v>
      </c>
      <c r="G155" s="97">
        <v>0</v>
      </c>
      <c r="H155" s="97">
        <v>0</v>
      </c>
      <c r="I155" s="97">
        <v>0</v>
      </c>
      <c r="J155" s="97">
        <v>0</v>
      </c>
      <c r="K155" s="97">
        <v>0</v>
      </c>
      <c r="L155" s="97">
        <v>0</v>
      </c>
      <c r="M155" s="97">
        <v>0</v>
      </c>
      <c r="N155" s="97">
        <v>0</v>
      </c>
      <c r="O155" s="91">
        <f t="shared" si="28"/>
        <v>0</v>
      </c>
    </row>
    <row r="156" spans="1:15" x14ac:dyDescent="0.2">
      <c r="B156" s="90" t="s">
        <v>137</v>
      </c>
      <c r="C156" s="97">
        <v>0.21</v>
      </c>
      <c r="D156" s="97">
        <v>0</v>
      </c>
      <c r="E156" s="97">
        <v>0.26</v>
      </c>
      <c r="F156" s="97">
        <v>1.44</v>
      </c>
      <c r="G156" s="97">
        <v>0</v>
      </c>
      <c r="H156" s="97">
        <v>0.03</v>
      </c>
      <c r="I156" s="97">
        <v>0</v>
      </c>
      <c r="J156" s="97">
        <v>0.01</v>
      </c>
      <c r="K156" s="97">
        <v>0</v>
      </c>
      <c r="L156" s="97">
        <v>0.12</v>
      </c>
      <c r="M156" s="97">
        <v>0.04</v>
      </c>
      <c r="N156" s="97">
        <v>0.27</v>
      </c>
      <c r="O156" s="91">
        <f t="shared" si="28"/>
        <v>2.38</v>
      </c>
    </row>
    <row r="157" spans="1:15" x14ac:dyDescent="0.2">
      <c r="B157" s="90" t="s">
        <v>689</v>
      </c>
      <c r="C157" s="97">
        <v>0.04</v>
      </c>
      <c r="D157" s="97">
        <v>0.02</v>
      </c>
      <c r="E157" s="97">
        <v>0.01</v>
      </c>
      <c r="F157" s="97">
        <v>0</v>
      </c>
      <c r="G157" s="97">
        <v>0</v>
      </c>
      <c r="H157" s="97">
        <v>0.01</v>
      </c>
      <c r="I157" s="97">
        <v>4.0199999999999996</v>
      </c>
      <c r="J157" s="97">
        <v>0.91</v>
      </c>
      <c r="K157" s="97">
        <v>0.03</v>
      </c>
      <c r="L157" s="97">
        <v>0.06</v>
      </c>
      <c r="M157" s="97">
        <v>0.05</v>
      </c>
      <c r="N157" s="97">
        <v>0.02</v>
      </c>
      <c r="O157" s="91">
        <f t="shared" si="28"/>
        <v>5.169999999999999</v>
      </c>
    </row>
    <row r="158" spans="1:15" x14ac:dyDescent="0.2">
      <c r="B158" s="90" t="s">
        <v>139</v>
      </c>
      <c r="C158" s="97">
        <v>0.05</v>
      </c>
      <c r="D158" s="97">
        <v>0.06</v>
      </c>
      <c r="E158" s="97">
        <v>0</v>
      </c>
      <c r="F158" s="97">
        <v>0.1</v>
      </c>
      <c r="G158" s="97">
        <v>0</v>
      </c>
      <c r="H158" s="97">
        <v>0.02</v>
      </c>
      <c r="I158" s="97">
        <v>0.18</v>
      </c>
      <c r="J158" s="97">
        <v>0.09</v>
      </c>
      <c r="K158" s="97">
        <v>0</v>
      </c>
      <c r="L158" s="97">
        <v>0.01</v>
      </c>
      <c r="M158" s="97">
        <v>0.11</v>
      </c>
      <c r="N158" s="97">
        <v>0</v>
      </c>
      <c r="O158" s="91">
        <f t="shared" si="28"/>
        <v>0.62</v>
      </c>
    </row>
    <row r="159" spans="1:15" ht="12.75" customHeight="1" x14ac:dyDescent="0.25">
      <c r="A159" s="93"/>
      <c r="B159" s="93"/>
      <c r="C159" s="93"/>
      <c r="D159" s="93"/>
      <c r="E159" s="93"/>
      <c r="F159" s="93"/>
      <c r="G159" s="93"/>
      <c r="H159" s="93"/>
      <c r="I159" s="93"/>
      <c r="J159" s="93"/>
      <c r="K159" s="93"/>
      <c r="L159" s="93"/>
      <c r="M159" s="93"/>
      <c r="N159" s="93"/>
    </row>
    <row r="160" spans="1:15" s="95" customFormat="1" ht="15" x14ac:dyDescent="0.25">
      <c r="A160" s="94" t="s">
        <v>140</v>
      </c>
      <c r="C160" s="96">
        <f>SUM(C161:C180)</f>
        <v>66.81</v>
      </c>
      <c r="D160" s="96">
        <f t="shared" ref="D160:O160" si="29">SUM(D161:D180)</f>
        <v>41.98</v>
      </c>
      <c r="E160" s="96">
        <f t="shared" si="29"/>
        <v>48.949999999999989</v>
      </c>
      <c r="F160" s="96">
        <f t="shared" si="29"/>
        <v>45.149999999999991</v>
      </c>
      <c r="G160" s="96">
        <f t="shared" si="29"/>
        <v>43.68</v>
      </c>
      <c r="H160" s="96">
        <f t="shared" si="29"/>
        <v>27.42</v>
      </c>
      <c r="I160" s="96">
        <f t="shared" si="29"/>
        <v>77.88</v>
      </c>
      <c r="J160" s="96">
        <f t="shared" si="29"/>
        <v>29.160000000000007</v>
      </c>
      <c r="K160" s="96">
        <f t="shared" si="29"/>
        <v>43.010000000000005</v>
      </c>
      <c r="L160" s="96">
        <f t="shared" si="29"/>
        <v>72.80999999999996</v>
      </c>
      <c r="M160" s="96">
        <f t="shared" si="29"/>
        <v>35.879999999999995</v>
      </c>
      <c r="N160" s="96">
        <f t="shared" si="29"/>
        <v>43.79</v>
      </c>
      <c r="O160" s="96">
        <f t="shared" si="29"/>
        <v>576.5200000000001</v>
      </c>
    </row>
    <row r="161" spans="2:15" x14ac:dyDescent="0.2">
      <c r="B161" s="90" t="s">
        <v>141</v>
      </c>
      <c r="C161" s="97">
        <v>37.78</v>
      </c>
      <c r="D161" s="97">
        <v>25.15</v>
      </c>
      <c r="E161" s="97">
        <v>27.37</v>
      </c>
      <c r="F161" s="97">
        <v>33.47</v>
      </c>
      <c r="G161" s="97">
        <v>25.75</v>
      </c>
      <c r="H161" s="97">
        <v>18.920000000000002</v>
      </c>
      <c r="I161" s="97">
        <v>56.43</v>
      </c>
      <c r="J161" s="97">
        <v>20.78</v>
      </c>
      <c r="K161" s="97">
        <v>28.82</v>
      </c>
      <c r="L161" s="97">
        <v>44.29</v>
      </c>
      <c r="M161" s="97">
        <v>25.07</v>
      </c>
      <c r="N161" s="97">
        <v>17.84</v>
      </c>
      <c r="O161" s="91">
        <f>SUM(C161:N161)</f>
        <v>361.67</v>
      </c>
    </row>
    <row r="162" spans="2:15" x14ac:dyDescent="0.2">
      <c r="B162" s="90" t="s">
        <v>142</v>
      </c>
      <c r="C162" s="97">
        <v>9.19</v>
      </c>
      <c r="D162" s="97">
        <v>0.17</v>
      </c>
      <c r="E162" s="97">
        <v>1.98</v>
      </c>
      <c r="F162" s="97">
        <v>0.78</v>
      </c>
      <c r="G162" s="97">
        <v>0.22</v>
      </c>
      <c r="H162" s="97">
        <v>1.27</v>
      </c>
      <c r="I162" s="97">
        <v>5.67</v>
      </c>
      <c r="J162" s="97">
        <v>1.1599999999999999</v>
      </c>
      <c r="K162" s="97">
        <v>0.1</v>
      </c>
      <c r="L162" s="97">
        <v>7.65</v>
      </c>
      <c r="M162" s="97">
        <v>0.04</v>
      </c>
      <c r="N162" s="97">
        <v>4.67</v>
      </c>
      <c r="O162" s="91">
        <f t="shared" ref="O162:O180" si="30">SUM(C162:N162)</f>
        <v>32.900000000000006</v>
      </c>
    </row>
    <row r="163" spans="2:15" x14ac:dyDescent="0.2">
      <c r="B163" s="90" t="s">
        <v>143</v>
      </c>
      <c r="C163" s="97">
        <v>0.39</v>
      </c>
      <c r="D163" s="97">
        <v>0.9</v>
      </c>
      <c r="E163" s="97">
        <v>0.37</v>
      </c>
      <c r="F163" s="97">
        <v>0.14000000000000001</v>
      </c>
      <c r="G163" s="97">
        <v>0.24</v>
      </c>
      <c r="H163" s="97">
        <v>0.01</v>
      </c>
      <c r="I163" s="97">
        <v>1.87</v>
      </c>
      <c r="J163" s="97">
        <v>0.05</v>
      </c>
      <c r="K163" s="97">
        <v>0.56000000000000005</v>
      </c>
      <c r="L163" s="97">
        <v>0.03</v>
      </c>
      <c r="M163" s="97">
        <v>0.16</v>
      </c>
      <c r="N163" s="97">
        <v>0.55000000000000004</v>
      </c>
      <c r="O163" s="91">
        <f t="shared" si="30"/>
        <v>5.27</v>
      </c>
    </row>
    <row r="164" spans="2:15" x14ac:dyDescent="0.2">
      <c r="B164" s="90" t="s">
        <v>144</v>
      </c>
      <c r="C164" s="97">
        <v>0.54</v>
      </c>
      <c r="D164" s="97">
        <v>0.5</v>
      </c>
      <c r="E164" s="97">
        <v>0.56999999999999995</v>
      </c>
      <c r="F164" s="97">
        <v>0.46</v>
      </c>
      <c r="G164" s="97">
        <v>0.4</v>
      </c>
      <c r="H164" s="97">
        <v>0.12</v>
      </c>
      <c r="I164" s="97">
        <v>0.37</v>
      </c>
      <c r="J164" s="97">
        <v>0.6</v>
      </c>
      <c r="K164" s="97">
        <v>0.48</v>
      </c>
      <c r="L164" s="97">
        <v>0.6</v>
      </c>
      <c r="M164" s="97">
        <v>0.66</v>
      </c>
      <c r="N164" s="97">
        <v>0.43</v>
      </c>
      <c r="O164" s="91">
        <f t="shared" si="30"/>
        <v>5.7299999999999995</v>
      </c>
    </row>
    <row r="165" spans="2:15" x14ac:dyDescent="0.2">
      <c r="B165" s="90" t="s">
        <v>145</v>
      </c>
      <c r="C165" s="97">
        <v>5.57</v>
      </c>
      <c r="D165" s="97">
        <v>5.29</v>
      </c>
      <c r="E165" s="97">
        <v>6.82</v>
      </c>
      <c r="F165" s="97">
        <v>3.05</v>
      </c>
      <c r="G165" s="97">
        <v>2.2599999999999998</v>
      </c>
      <c r="H165" s="97">
        <v>0.82</v>
      </c>
      <c r="I165" s="97">
        <v>4.08</v>
      </c>
      <c r="J165" s="97">
        <v>1</v>
      </c>
      <c r="K165" s="97">
        <v>3.81</v>
      </c>
      <c r="L165" s="97">
        <v>0.91</v>
      </c>
      <c r="M165" s="97">
        <v>2.3199999999999998</v>
      </c>
      <c r="N165" s="97">
        <v>5.04</v>
      </c>
      <c r="O165" s="91">
        <f t="shared" si="30"/>
        <v>40.97</v>
      </c>
    </row>
    <row r="166" spans="2:15" x14ac:dyDescent="0.2">
      <c r="B166" s="90" t="s">
        <v>146</v>
      </c>
      <c r="C166" s="97">
        <v>3.23</v>
      </c>
      <c r="D166" s="97">
        <v>2.89</v>
      </c>
      <c r="E166" s="97">
        <v>3.8</v>
      </c>
      <c r="F166" s="97">
        <v>1.91</v>
      </c>
      <c r="G166" s="97">
        <v>2.5299999999999998</v>
      </c>
      <c r="H166" s="97">
        <v>1.29</v>
      </c>
      <c r="I166" s="97">
        <v>3.14</v>
      </c>
      <c r="J166" s="97">
        <v>0.8</v>
      </c>
      <c r="K166" s="97">
        <v>2.74</v>
      </c>
      <c r="L166" s="97">
        <v>0.48</v>
      </c>
      <c r="M166" s="97">
        <v>2.66</v>
      </c>
      <c r="N166" s="97">
        <v>4.99</v>
      </c>
      <c r="O166" s="91">
        <f t="shared" si="30"/>
        <v>30.46</v>
      </c>
    </row>
    <row r="167" spans="2:15" x14ac:dyDescent="0.2">
      <c r="B167" s="90" t="s">
        <v>147</v>
      </c>
      <c r="C167" s="97">
        <v>0.05</v>
      </c>
      <c r="D167" s="97">
        <v>0.04</v>
      </c>
      <c r="E167" s="97">
        <v>0.01</v>
      </c>
      <c r="F167" s="97">
        <v>0.01</v>
      </c>
      <c r="G167" s="97">
        <v>0.01</v>
      </c>
      <c r="H167" s="97">
        <v>0</v>
      </c>
      <c r="I167" s="97">
        <v>0</v>
      </c>
      <c r="J167" s="97">
        <v>0</v>
      </c>
      <c r="K167" s="97">
        <v>0</v>
      </c>
      <c r="L167" s="97">
        <v>0</v>
      </c>
      <c r="M167" s="97">
        <v>0.02</v>
      </c>
      <c r="N167" s="97">
        <v>0.02</v>
      </c>
      <c r="O167" s="91">
        <f t="shared" si="30"/>
        <v>0.15999999999999998</v>
      </c>
    </row>
    <row r="168" spans="2:15" x14ac:dyDescent="0.2">
      <c r="B168" s="90" t="s">
        <v>667</v>
      </c>
      <c r="C168" s="97">
        <v>0</v>
      </c>
      <c r="D168" s="97">
        <v>0</v>
      </c>
      <c r="E168" s="97">
        <v>0</v>
      </c>
      <c r="F168" s="97">
        <v>0</v>
      </c>
      <c r="G168" s="97">
        <v>0</v>
      </c>
      <c r="H168" s="97">
        <v>0</v>
      </c>
      <c r="I168" s="97">
        <v>0</v>
      </c>
      <c r="J168" s="97">
        <v>0</v>
      </c>
      <c r="K168" s="97">
        <v>0.04</v>
      </c>
      <c r="L168" s="97">
        <v>0</v>
      </c>
      <c r="M168" s="97">
        <v>0</v>
      </c>
      <c r="N168" s="97">
        <v>0</v>
      </c>
      <c r="O168" s="91">
        <f t="shared" si="30"/>
        <v>0.04</v>
      </c>
    </row>
    <row r="169" spans="2:15" x14ac:dyDescent="0.2">
      <c r="B169" s="90" t="s">
        <v>668</v>
      </c>
      <c r="C169" s="97">
        <v>0</v>
      </c>
      <c r="D169" s="97">
        <v>0</v>
      </c>
      <c r="E169" s="97">
        <v>0</v>
      </c>
      <c r="F169" s="97">
        <v>0</v>
      </c>
      <c r="G169" s="97">
        <v>0</v>
      </c>
      <c r="H169" s="97">
        <v>0</v>
      </c>
      <c r="I169" s="97">
        <v>0</v>
      </c>
      <c r="J169" s="97">
        <v>0</v>
      </c>
      <c r="K169" s="97">
        <v>0</v>
      </c>
      <c r="L169" s="97">
        <v>0</v>
      </c>
      <c r="M169" s="97">
        <v>0</v>
      </c>
      <c r="N169" s="97">
        <v>0</v>
      </c>
      <c r="O169" s="91">
        <f t="shared" si="30"/>
        <v>0</v>
      </c>
    </row>
    <row r="170" spans="2:15" x14ac:dyDescent="0.2">
      <c r="B170" s="90" t="s">
        <v>148</v>
      </c>
      <c r="C170" s="97">
        <v>1.63</v>
      </c>
      <c r="D170" s="97">
        <v>1.98</v>
      </c>
      <c r="E170" s="97">
        <v>1.65</v>
      </c>
      <c r="F170" s="97">
        <v>0.93</v>
      </c>
      <c r="G170" s="97">
        <v>8.93</v>
      </c>
      <c r="H170" s="97">
        <v>1.46</v>
      </c>
      <c r="I170" s="97">
        <v>0.63</v>
      </c>
      <c r="J170" s="97">
        <v>0.73</v>
      </c>
      <c r="K170" s="97">
        <v>0.84</v>
      </c>
      <c r="L170" s="97">
        <v>12.8</v>
      </c>
      <c r="M170" s="97">
        <v>1.25</v>
      </c>
      <c r="N170" s="97">
        <v>1.32</v>
      </c>
      <c r="O170" s="91">
        <f t="shared" si="30"/>
        <v>34.15</v>
      </c>
    </row>
    <row r="171" spans="2:15" x14ac:dyDescent="0.2">
      <c r="B171" s="90" t="s">
        <v>149</v>
      </c>
      <c r="C171" s="97">
        <v>0</v>
      </c>
      <c r="D171" s="97">
        <v>0</v>
      </c>
      <c r="E171" s="97">
        <v>0</v>
      </c>
      <c r="F171" s="97">
        <v>0</v>
      </c>
      <c r="G171" s="97">
        <v>0</v>
      </c>
      <c r="H171" s="97">
        <v>0</v>
      </c>
      <c r="I171" s="97">
        <v>0</v>
      </c>
      <c r="J171" s="97">
        <v>0</v>
      </c>
      <c r="K171" s="97">
        <v>0</v>
      </c>
      <c r="L171" s="97">
        <v>0</v>
      </c>
      <c r="M171" s="97">
        <v>0</v>
      </c>
      <c r="N171" s="97">
        <v>0</v>
      </c>
      <c r="O171" s="91">
        <f t="shared" si="30"/>
        <v>0</v>
      </c>
    </row>
    <row r="172" spans="2:15" x14ac:dyDescent="0.2">
      <c r="B172" s="90" t="s">
        <v>150</v>
      </c>
      <c r="C172" s="97">
        <v>4.7300000000000004</v>
      </c>
      <c r="D172" s="97">
        <v>2.87</v>
      </c>
      <c r="E172" s="97">
        <v>4.16</v>
      </c>
      <c r="F172" s="97">
        <v>2.81</v>
      </c>
      <c r="G172" s="97">
        <v>2</v>
      </c>
      <c r="H172" s="97">
        <v>3.32</v>
      </c>
      <c r="I172" s="97">
        <v>2.91</v>
      </c>
      <c r="J172" s="97">
        <v>3.6</v>
      </c>
      <c r="K172" s="97">
        <v>3.34</v>
      </c>
      <c r="L172" s="97">
        <v>3.82</v>
      </c>
      <c r="M172" s="97">
        <v>2.59</v>
      </c>
      <c r="N172" s="97">
        <v>3.9</v>
      </c>
      <c r="O172" s="91">
        <f t="shared" si="30"/>
        <v>40.050000000000004</v>
      </c>
    </row>
    <row r="173" spans="2:15" x14ac:dyDescent="0.2">
      <c r="B173" s="90" t="s">
        <v>151</v>
      </c>
      <c r="C173" s="97">
        <v>0.56000000000000005</v>
      </c>
      <c r="D173" s="97">
        <v>0.42</v>
      </c>
      <c r="E173" s="97">
        <v>0.64</v>
      </c>
      <c r="F173" s="97">
        <v>0.14000000000000001</v>
      </c>
      <c r="G173" s="97">
        <v>0.4</v>
      </c>
      <c r="H173" s="97">
        <v>0.04</v>
      </c>
      <c r="I173" s="97">
        <v>0.28000000000000003</v>
      </c>
      <c r="J173" s="97">
        <v>0.11</v>
      </c>
      <c r="K173" s="97">
        <v>0.31</v>
      </c>
      <c r="L173" s="97">
        <v>7.0000000000000007E-2</v>
      </c>
      <c r="M173" s="97">
        <v>0.22</v>
      </c>
      <c r="N173" s="97">
        <v>1.71</v>
      </c>
      <c r="O173" s="91">
        <f t="shared" si="30"/>
        <v>4.9000000000000004</v>
      </c>
    </row>
    <row r="174" spans="2:15" x14ac:dyDescent="0.2">
      <c r="B174" s="90" t="s">
        <v>152</v>
      </c>
      <c r="C174" s="97">
        <v>0</v>
      </c>
      <c r="D174" s="97">
        <v>0.11</v>
      </c>
      <c r="E174" s="97">
        <v>0.04</v>
      </c>
      <c r="F174" s="97">
        <v>0.04</v>
      </c>
      <c r="G174" s="97">
        <v>0</v>
      </c>
      <c r="H174" s="97">
        <v>0</v>
      </c>
      <c r="I174" s="97">
        <v>0.01</v>
      </c>
      <c r="J174" s="97">
        <v>0.1</v>
      </c>
      <c r="K174" s="97">
        <v>0.83</v>
      </c>
      <c r="L174" s="97">
        <v>0.56999999999999995</v>
      </c>
      <c r="M174" s="97">
        <v>0.02</v>
      </c>
      <c r="N174" s="97">
        <v>0.54</v>
      </c>
      <c r="O174" s="91">
        <f t="shared" si="30"/>
        <v>2.2599999999999998</v>
      </c>
    </row>
    <row r="175" spans="2:15" x14ac:dyDescent="0.2">
      <c r="B175" s="90" t="s">
        <v>153</v>
      </c>
      <c r="C175" s="97">
        <v>0</v>
      </c>
      <c r="D175" s="97">
        <v>0</v>
      </c>
      <c r="E175" s="97">
        <v>0</v>
      </c>
      <c r="F175" s="97">
        <v>0</v>
      </c>
      <c r="G175" s="97">
        <v>0</v>
      </c>
      <c r="H175" s="97">
        <v>0</v>
      </c>
      <c r="I175" s="97">
        <v>0</v>
      </c>
      <c r="J175" s="97">
        <v>0</v>
      </c>
      <c r="K175" s="97">
        <v>0</v>
      </c>
      <c r="L175" s="97">
        <v>0</v>
      </c>
      <c r="M175" s="97">
        <v>0</v>
      </c>
      <c r="N175" s="97">
        <v>0</v>
      </c>
      <c r="O175" s="91">
        <f t="shared" si="30"/>
        <v>0</v>
      </c>
    </row>
    <row r="176" spans="2:15" x14ac:dyDescent="0.2">
      <c r="B176" s="90" t="s">
        <v>154</v>
      </c>
      <c r="C176" s="97">
        <v>0</v>
      </c>
      <c r="D176" s="97">
        <v>0</v>
      </c>
      <c r="E176" s="97">
        <v>0</v>
      </c>
      <c r="F176" s="97">
        <v>0</v>
      </c>
      <c r="G176" s="97">
        <v>0</v>
      </c>
      <c r="H176" s="97">
        <v>0</v>
      </c>
      <c r="I176" s="97">
        <v>0</v>
      </c>
      <c r="J176" s="97">
        <v>0</v>
      </c>
      <c r="K176" s="97">
        <v>0</v>
      </c>
      <c r="L176" s="97">
        <v>0</v>
      </c>
      <c r="M176" s="97">
        <v>0</v>
      </c>
      <c r="N176" s="97">
        <v>0</v>
      </c>
      <c r="O176" s="91">
        <f t="shared" si="30"/>
        <v>0</v>
      </c>
    </row>
    <row r="177" spans="1:15" x14ac:dyDescent="0.2">
      <c r="B177" s="90" t="s">
        <v>155</v>
      </c>
      <c r="C177" s="97">
        <v>0.11</v>
      </c>
      <c r="D177" s="97">
        <v>0.1</v>
      </c>
      <c r="E177" s="97">
        <v>0.13</v>
      </c>
      <c r="F177" s="97">
        <v>0.25</v>
      </c>
      <c r="G177" s="97">
        <v>0.03</v>
      </c>
      <c r="H177" s="97">
        <v>0.02</v>
      </c>
      <c r="I177" s="97">
        <v>7.0000000000000007E-2</v>
      </c>
      <c r="J177" s="97">
        <v>0</v>
      </c>
      <c r="K177" s="97">
        <v>0.1</v>
      </c>
      <c r="L177" s="97">
        <v>0.02</v>
      </c>
      <c r="M177" s="97">
        <v>0</v>
      </c>
      <c r="N177" s="97">
        <v>0.05</v>
      </c>
      <c r="O177" s="91">
        <f t="shared" si="30"/>
        <v>0.88000000000000023</v>
      </c>
    </row>
    <row r="178" spans="1:15" x14ac:dyDescent="0.2">
      <c r="B178" s="90" t="s">
        <v>156</v>
      </c>
      <c r="C178" s="97">
        <v>2.81</v>
      </c>
      <c r="D178" s="97">
        <v>1.56</v>
      </c>
      <c r="E178" s="97">
        <v>1.25</v>
      </c>
      <c r="F178" s="97">
        <v>1.1499999999999999</v>
      </c>
      <c r="G178" s="97">
        <v>0.91</v>
      </c>
      <c r="H178" s="97">
        <v>0.15</v>
      </c>
      <c r="I178" s="97">
        <v>2.42</v>
      </c>
      <c r="J178" s="97">
        <v>0.23</v>
      </c>
      <c r="K178" s="97">
        <v>1.04</v>
      </c>
      <c r="L178" s="97">
        <v>1.57</v>
      </c>
      <c r="M178" s="97">
        <v>0.8</v>
      </c>
      <c r="N178" s="97">
        <v>2.71</v>
      </c>
      <c r="O178" s="91">
        <f t="shared" si="30"/>
        <v>16.600000000000001</v>
      </c>
    </row>
    <row r="179" spans="1:15" x14ac:dyDescent="0.2">
      <c r="B179" s="90" t="s">
        <v>157</v>
      </c>
      <c r="C179" s="97">
        <v>0</v>
      </c>
      <c r="D179" s="97">
        <v>0</v>
      </c>
      <c r="E179" s="97">
        <v>0</v>
      </c>
      <c r="F179" s="97">
        <v>0</v>
      </c>
      <c r="G179" s="97">
        <v>0</v>
      </c>
      <c r="H179" s="97">
        <v>0</v>
      </c>
      <c r="I179" s="97">
        <v>0</v>
      </c>
      <c r="J179" s="97">
        <v>0</v>
      </c>
      <c r="K179" s="97">
        <v>0</v>
      </c>
      <c r="L179" s="97">
        <v>0</v>
      </c>
      <c r="M179" s="97">
        <v>7.0000000000000007E-2</v>
      </c>
      <c r="N179" s="97">
        <v>0</v>
      </c>
      <c r="O179" s="91">
        <f t="shared" si="30"/>
        <v>7.0000000000000007E-2</v>
      </c>
    </row>
    <row r="180" spans="1:15" x14ac:dyDescent="0.2">
      <c r="B180" s="90" t="s">
        <v>158</v>
      </c>
      <c r="C180" s="97">
        <v>0.22</v>
      </c>
      <c r="D180" s="97">
        <v>0</v>
      </c>
      <c r="E180" s="97">
        <v>0.16</v>
      </c>
      <c r="F180" s="97">
        <v>0.01</v>
      </c>
      <c r="G180" s="97">
        <v>0</v>
      </c>
      <c r="H180" s="97">
        <v>0</v>
      </c>
      <c r="I180" s="97">
        <v>0</v>
      </c>
      <c r="J180" s="97">
        <v>0</v>
      </c>
      <c r="K180" s="97">
        <v>0</v>
      </c>
      <c r="L180" s="97">
        <v>0</v>
      </c>
      <c r="M180" s="97">
        <v>0</v>
      </c>
      <c r="N180" s="97">
        <v>0.02</v>
      </c>
      <c r="O180" s="91">
        <f t="shared" si="30"/>
        <v>0.41000000000000003</v>
      </c>
    </row>
    <row r="181" spans="1:15" ht="12.75" customHeight="1" x14ac:dyDescent="0.2">
      <c r="C181" s="97"/>
      <c r="D181" s="97"/>
      <c r="E181" s="97"/>
      <c r="F181" s="97"/>
      <c r="G181" s="97"/>
      <c r="H181" s="97"/>
      <c r="I181" s="97"/>
      <c r="J181" s="97"/>
      <c r="K181" s="97"/>
      <c r="L181" s="97"/>
      <c r="M181" s="97"/>
      <c r="N181" s="97"/>
    </row>
    <row r="182" spans="1:15" s="95" customFormat="1" ht="15" x14ac:dyDescent="0.25">
      <c r="A182" s="94" t="s">
        <v>159</v>
      </c>
      <c r="C182" s="96">
        <f>SUM(C183:C184)</f>
        <v>41.66</v>
      </c>
      <c r="D182" s="96">
        <f t="shared" ref="D182:O182" si="31">SUM(D183:D184)</f>
        <v>14.25</v>
      </c>
      <c r="E182" s="96">
        <f t="shared" si="31"/>
        <v>32.150000000000006</v>
      </c>
      <c r="F182" s="96">
        <f t="shared" si="31"/>
        <v>29.85</v>
      </c>
      <c r="G182" s="96">
        <f t="shared" si="31"/>
        <v>13.98</v>
      </c>
      <c r="H182" s="96">
        <f t="shared" si="31"/>
        <v>15.57</v>
      </c>
      <c r="I182" s="96">
        <f t="shared" si="31"/>
        <v>20.95</v>
      </c>
      <c r="J182" s="96">
        <f t="shared" si="31"/>
        <v>29.34</v>
      </c>
      <c r="K182" s="96">
        <f t="shared" si="31"/>
        <v>19.25</v>
      </c>
      <c r="L182" s="96">
        <f t="shared" si="31"/>
        <v>10.53</v>
      </c>
      <c r="M182" s="96">
        <f t="shared" si="31"/>
        <v>11.36</v>
      </c>
      <c r="N182" s="96">
        <f t="shared" si="31"/>
        <v>9.2200000000000006</v>
      </c>
      <c r="O182" s="96">
        <f t="shared" si="31"/>
        <v>248.10999999999993</v>
      </c>
    </row>
    <row r="183" spans="1:15" x14ac:dyDescent="0.2">
      <c r="B183" s="90" t="s">
        <v>93</v>
      </c>
      <c r="C183" s="97">
        <v>41.66</v>
      </c>
      <c r="D183" s="97">
        <v>14.25</v>
      </c>
      <c r="E183" s="97">
        <v>32.130000000000003</v>
      </c>
      <c r="F183" s="97">
        <v>29.85</v>
      </c>
      <c r="G183" s="97">
        <v>13.67</v>
      </c>
      <c r="H183" s="97">
        <v>15.57</v>
      </c>
      <c r="I183" s="97">
        <v>20.95</v>
      </c>
      <c r="J183" s="97">
        <v>29.26</v>
      </c>
      <c r="K183" s="97">
        <v>19.25</v>
      </c>
      <c r="L183" s="97">
        <v>10.44</v>
      </c>
      <c r="M183" s="97">
        <v>11.36</v>
      </c>
      <c r="N183" s="97">
        <v>9.1300000000000008</v>
      </c>
      <c r="O183" s="91">
        <f>SUM(C183:N183)</f>
        <v>247.51999999999992</v>
      </c>
    </row>
    <row r="184" spans="1:15" x14ac:dyDescent="0.2">
      <c r="B184" s="90" t="s">
        <v>160</v>
      </c>
      <c r="C184" s="97">
        <v>0</v>
      </c>
      <c r="D184" s="97">
        <v>0</v>
      </c>
      <c r="E184" s="97">
        <v>0.02</v>
      </c>
      <c r="F184" s="97">
        <v>0</v>
      </c>
      <c r="G184" s="97">
        <v>0.31</v>
      </c>
      <c r="H184" s="97">
        <v>0</v>
      </c>
      <c r="I184" s="97">
        <v>0</v>
      </c>
      <c r="J184" s="97">
        <v>0.08</v>
      </c>
      <c r="K184" s="97">
        <v>0</v>
      </c>
      <c r="L184" s="97">
        <v>0.09</v>
      </c>
      <c r="M184" s="97">
        <v>0</v>
      </c>
      <c r="N184" s="97">
        <v>0.09</v>
      </c>
      <c r="O184" s="91">
        <f>SUM(C184:N184)</f>
        <v>0.59</v>
      </c>
    </row>
    <row r="185" spans="1:15" ht="12.75" customHeight="1" x14ac:dyDescent="0.2">
      <c r="C185" s="97"/>
      <c r="D185" s="97"/>
      <c r="E185" s="97"/>
      <c r="F185" s="97"/>
      <c r="G185" s="97"/>
      <c r="H185" s="97"/>
      <c r="I185" s="97"/>
      <c r="J185" s="97"/>
      <c r="K185" s="97"/>
      <c r="L185" s="97"/>
      <c r="M185" s="97"/>
      <c r="N185" s="97"/>
    </row>
    <row r="186" spans="1:15" s="95" customFormat="1" ht="15" x14ac:dyDescent="0.25">
      <c r="A186" s="94" t="s">
        <v>161</v>
      </c>
      <c r="C186" s="96">
        <f>SUM(C187:C190)</f>
        <v>3.0599999999999996</v>
      </c>
      <c r="D186" s="96">
        <f t="shared" ref="D186:O186" si="32">SUM(D187:D190)</f>
        <v>5.3599999999999994</v>
      </c>
      <c r="E186" s="96">
        <f t="shared" si="32"/>
        <v>1.29</v>
      </c>
      <c r="F186" s="96">
        <f t="shared" si="32"/>
        <v>1.79</v>
      </c>
      <c r="G186" s="96">
        <f t="shared" si="32"/>
        <v>3.88</v>
      </c>
      <c r="H186" s="96">
        <f t="shared" si="32"/>
        <v>1.76</v>
      </c>
      <c r="I186" s="96">
        <f t="shared" si="32"/>
        <v>3.6100000000000003</v>
      </c>
      <c r="J186" s="96">
        <f t="shared" si="32"/>
        <v>7.879999999999999</v>
      </c>
      <c r="K186" s="96">
        <f t="shared" si="32"/>
        <v>1.5899999999999999</v>
      </c>
      <c r="L186" s="96">
        <f t="shared" si="32"/>
        <v>1.86</v>
      </c>
      <c r="M186" s="96">
        <f t="shared" si="32"/>
        <v>3.38</v>
      </c>
      <c r="N186" s="96">
        <f t="shared" si="32"/>
        <v>1.67</v>
      </c>
      <c r="O186" s="96">
        <f t="shared" si="32"/>
        <v>37.129999999999995</v>
      </c>
    </row>
    <row r="187" spans="1:15" x14ac:dyDescent="0.2">
      <c r="B187" s="90" t="s">
        <v>162</v>
      </c>
      <c r="C187" s="97">
        <v>0.26</v>
      </c>
      <c r="D187" s="97">
        <v>7.0000000000000007E-2</v>
      </c>
      <c r="E187" s="97">
        <v>0.09</v>
      </c>
      <c r="F187" s="97">
        <v>1.2</v>
      </c>
      <c r="G187" s="97">
        <v>0.09</v>
      </c>
      <c r="H187" s="97">
        <v>0.09</v>
      </c>
      <c r="I187" s="97">
        <v>0.61</v>
      </c>
      <c r="J187" s="97">
        <v>4.7699999999999996</v>
      </c>
      <c r="K187" s="97">
        <v>0.13</v>
      </c>
      <c r="L187" s="97">
        <v>7.0000000000000007E-2</v>
      </c>
      <c r="M187" s="97">
        <v>0.09</v>
      </c>
      <c r="N187" s="97">
        <v>0.99</v>
      </c>
      <c r="O187" s="91">
        <f>SUM(C187:N187)</f>
        <v>8.4599999999999991</v>
      </c>
    </row>
    <row r="188" spans="1:15" x14ac:dyDescent="0.2">
      <c r="B188" s="90" t="s">
        <v>163</v>
      </c>
      <c r="C188" s="97">
        <v>0</v>
      </c>
      <c r="D188" s="97">
        <v>0</v>
      </c>
      <c r="E188" s="97">
        <v>0</v>
      </c>
      <c r="F188" s="97">
        <v>0</v>
      </c>
      <c r="G188" s="97">
        <v>0.02</v>
      </c>
      <c r="H188" s="97">
        <v>0</v>
      </c>
      <c r="I188" s="97">
        <v>0</v>
      </c>
      <c r="J188" s="97">
        <v>0.02</v>
      </c>
      <c r="K188" s="97">
        <v>0</v>
      </c>
      <c r="L188" s="97">
        <v>0</v>
      </c>
      <c r="M188" s="97">
        <v>0.01</v>
      </c>
      <c r="N188" s="97">
        <v>0.02</v>
      </c>
      <c r="O188" s="91">
        <f t="shared" ref="O188:O190" si="33">SUM(C188:N188)</f>
        <v>7.0000000000000007E-2</v>
      </c>
    </row>
    <row r="189" spans="1:15" x14ac:dyDescent="0.2">
      <c r="B189" s="90" t="s">
        <v>164</v>
      </c>
      <c r="C189" s="97">
        <v>0.04</v>
      </c>
      <c r="D189" s="97">
        <v>0.03</v>
      </c>
      <c r="E189" s="97">
        <v>0.01</v>
      </c>
      <c r="F189" s="97">
        <v>0.06</v>
      </c>
      <c r="G189" s="97">
        <v>0.02</v>
      </c>
      <c r="H189" s="97">
        <v>0.02</v>
      </c>
      <c r="I189" s="97">
        <v>0.03</v>
      </c>
      <c r="J189" s="97">
        <v>0.03</v>
      </c>
      <c r="K189" s="97">
        <v>0.01</v>
      </c>
      <c r="L189" s="97">
        <v>0.01</v>
      </c>
      <c r="M189" s="97">
        <v>0.01</v>
      </c>
      <c r="N189" s="97">
        <v>0.01</v>
      </c>
      <c r="O189" s="91">
        <f t="shared" si="33"/>
        <v>0.28000000000000003</v>
      </c>
    </row>
    <row r="190" spans="1:15" x14ac:dyDescent="0.2">
      <c r="B190" s="90" t="s">
        <v>165</v>
      </c>
      <c r="C190" s="97">
        <v>2.76</v>
      </c>
      <c r="D190" s="97">
        <v>5.26</v>
      </c>
      <c r="E190" s="97">
        <v>1.19</v>
      </c>
      <c r="F190" s="97">
        <v>0.53</v>
      </c>
      <c r="G190" s="97">
        <v>3.75</v>
      </c>
      <c r="H190" s="97">
        <v>1.65</v>
      </c>
      <c r="I190" s="97">
        <v>2.97</v>
      </c>
      <c r="J190" s="97">
        <v>3.06</v>
      </c>
      <c r="K190" s="97">
        <v>1.45</v>
      </c>
      <c r="L190" s="97">
        <v>1.78</v>
      </c>
      <c r="M190" s="97">
        <v>3.27</v>
      </c>
      <c r="N190" s="97">
        <v>0.65</v>
      </c>
      <c r="O190" s="91">
        <f t="shared" si="33"/>
        <v>28.319999999999997</v>
      </c>
    </row>
    <row r="191" spans="1:15" x14ac:dyDescent="0.2">
      <c r="C191" s="97"/>
      <c r="D191" s="97"/>
      <c r="E191" s="97"/>
      <c r="F191" s="97"/>
      <c r="G191" s="97"/>
      <c r="H191" s="97"/>
      <c r="I191" s="97"/>
      <c r="J191" s="97"/>
      <c r="K191" s="97"/>
      <c r="L191" s="97"/>
      <c r="M191" s="97"/>
      <c r="N191" s="97"/>
    </row>
    <row r="192" spans="1:15" s="95" customFormat="1" ht="15" x14ac:dyDescent="0.25">
      <c r="A192" s="94" t="s">
        <v>166</v>
      </c>
      <c r="C192" s="96">
        <f>SUM(C193:C199)</f>
        <v>42.800000000000004</v>
      </c>
      <c r="D192" s="96">
        <f t="shared" ref="D192:O192" si="34">SUM(D193:D199)</f>
        <v>41.17</v>
      </c>
      <c r="E192" s="96">
        <f t="shared" si="34"/>
        <v>26.419999999999998</v>
      </c>
      <c r="F192" s="96">
        <f t="shared" si="34"/>
        <v>29</v>
      </c>
      <c r="G192" s="96">
        <f t="shared" si="34"/>
        <v>24.729999999999997</v>
      </c>
      <c r="H192" s="96">
        <f t="shared" si="34"/>
        <v>14.44</v>
      </c>
      <c r="I192" s="96">
        <f t="shared" si="34"/>
        <v>25.3</v>
      </c>
      <c r="J192" s="96">
        <f t="shared" si="34"/>
        <v>19.489999999999998</v>
      </c>
      <c r="K192" s="96">
        <f t="shared" si="34"/>
        <v>24.900000000000002</v>
      </c>
      <c r="L192" s="96">
        <f t="shared" si="34"/>
        <v>25.070000000000004</v>
      </c>
      <c r="M192" s="96">
        <f t="shared" si="34"/>
        <v>18.43</v>
      </c>
      <c r="N192" s="96">
        <f t="shared" si="34"/>
        <v>17.579999999999998</v>
      </c>
      <c r="O192" s="96">
        <f t="shared" si="34"/>
        <v>309.32999999999993</v>
      </c>
    </row>
    <row r="193" spans="1:15" x14ac:dyDescent="0.2">
      <c r="B193" s="90" t="s">
        <v>167</v>
      </c>
      <c r="C193" s="97">
        <v>37.130000000000003</v>
      </c>
      <c r="D193" s="97">
        <v>34.729999999999997</v>
      </c>
      <c r="E193" s="97">
        <v>23.38</v>
      </c>
      <c r="F193" s="97">
        <v>23.07</v>
      </c>
      <c r="G193" s="97">
        <v>19.89</v>
      </c>
      <c r="H193" s="97">
        <v>12.4</v>
      </c>
      <c r="I193" s="97">
        <v>20.22</v>
      </c>
      <c r="J193" s="97">
        <v>18.3</v>
      </c>
      <c r="K193" s="97">
        <v>22.14</v>
      </c>
      <c r="L193" s="97">
        <v>21.69</v>
      </c>
      <c r="M193" s="97">
        <v>14.7</v>
      </c>
      <c r="N193" s="97">
        <v>14.07</v>
      </c>
      <c r="O193" s="91">
        <f>SUM(C193:N193)</f>
        <v>261.71999999999997</v>
      </c>
    </row>
    <row r="194" spans="1:15" x14ac:dyDescent="0.2">
      <c r="B194" s="90" t="s">
        <v>168</v>
      </c>
      <c r="C194" s="97">
        <v>5.3</v>
      </c>
      <c r="D194" s="97">
        <v>5.93</v>
      </c>
      <c r="E194" s="97">
        <v>2.71</v>
      </c>
      <c r="F194" s="97">
        <v>5.66</v>
      </c>
      <c r="G194" s="97">
        <v>4.29</v>
      </c>
      <c r="H194" s="97">
        <v>1.92</v>
      </c>
      <c r="I194" s="97">
        <v>4.87</v>
      </c>
      <c r="J194" s="97">
        <v>0.99</v>
      </c>
      <c r="K194" s="97">
        <v>2.21</v>
      </c>
      <c r="L194" s="97">
        <v>3.07</v>
      </c>
      <c r="M194" s="97">
        <v>3.6</v>
      </c>
      <c r="N194" s="97">
        <v>3.16</v>
      </c>
      <c r="O194" s="91">
        <f t="shared" ref="O194:O199" si="35">SUM(C194:N194)</f>
        <v>43.710000000000008</v>
      </c>
    </row>
    <row r="195" spans="1:15" x14ac:dyDescent="0.2">
      <c r="B195" s="90" t="s">
        <v>169</v>
      </c>
      <c r="C195" s="97">
        <v>0.2</v>
      </c>
      <c r="D195" s="97">
        <v>0.45</v>
      </c>
      <c r="E195" s="97">
        <v>0.22</v>
      </c>
      <c r="F195" s="97">
        <v>0.16</v>
      </c>
      <c r="G195" s="97">
        <v>0.15</v>
      </c>
      <c r="H195" s="97">
        <v>0.1</v>
      </c>
      <c r="I195" s="97">
        <v>0.14000000000000001</v>
      </c>
      <c r="J195" s="97">
        <v>0.16</v>
      </c>
      <c r="K195" s="97">
        <v>0.39</v>
      </c>
      <c r="L195" s="97">
        <v>0.14000000000000001</v>
      </c>
      <c r="M195" s="97">
        <v>0.05</v>
      </c>
      <c r="N195" s="97">
        <v>0.11</v>
      </c>
      <c r="O195" s="91">
        <f t="shared" si="35"/>
        <v>2.2699999999999996</v>
      </c>
    </row>
    <row r="196" spans="1:15" x14ac:dyDescent="0.2">
      <c r="B196" s="90" t="s">
        <v>170</v>
      </c>
      <c r="C196" s="97">
        <v>0</v>
      </c>
      <c r="D196" s="97">
        <v>0</v>
      </c>
      <c r="E196" s="97">
        <v>0</v>
      </c>
      <c r="F196" s="97">
        <v>0</v>
      </c>
      <c r="G196" s="97">
        <v>0</v>
      </c>
      <c r="H196" s="97">
        <v>0</v>
      </c>
      <c r="I196" s="97">
        <v>0</v>
      </c>
      <c r="J196" s="97">
        <v>0</v>
      </c>
      <c r="K196" s="97">
        <v>0</v>
      </c>
      <c r="L196" s="97">
        <v>0</v>
      </c>
      <c r="M196" s="97">
        <v>0</v>
      </c>
      <c r="N196" s="97">
        <v>0</v>
      </c>
      <c r="O196" s="91">
        <f t="shared" si="35"/>
        <v>0</v>
      </c>
    </row>
    <row r="197" spans="1:15" x14ac:dyDescent="0.2">
      <c r="B197" s="105" t="s">
        <v>171</v>
      </c>
      <c r="C197" s="97">
        <v>0</v>
      </c>
      <c r="D197" s="97">
        <v>0</v>
      </c>
      <c r="E197" s="97">
        <v>0</v>
      </c>
      <c r="F197" s="97">
        <v>0</v>
      </c>
      <c r="G197" s="97">
        <v>0</v>
      </c>
      <c r="H197" s="97">
        <v>0</v>
      </c>
      <c r="I197" s="97">
        <v>0</v>
      </c>
      <c r="J197" s="97">
        <v>0</v>
      </c>
      <c r="K197" s="97">
        <v>0</v>
      </c>
      <c r="L197" s="97">
        <v>0</v>
      </c>
      <c r="M197" s="97">
        <v>0</v>
      </c>
      <c r="N197" s="97">
        <v>0</v>
      </c>
      <c r="O197" s="91">
        <f t="shared" si="35"/>
        <v>0</v>
      </c>
    </row>
    <row r="198" spans="1:15" x14ac:dyDescent="0.2">
      <c r="B198" s="90" t="s">
        <v>172</v>
      </c>
      <c r="C198" s="97">
        <v>0</v>
      </c>
      <c r="D198" s="97">
        <v>0</v>
      </c>
      <c r="E198" s="97">
        <v>0</v>
      </c>
      <c r="F198" s="97">
        <v>0</v>
      </c>
      <c r="G198" s="97">
        <v>0</v>
      </c>
      <c r="H198" s="97">
        <v>0.01</v>
      </c>
      <c r="I198" s="97">
        <v>0</v>
      </c>
      <c r="J198" s="97">
        <v>0</v>
      </c>
      <c r="K198" s="97">
        <v>0</v>
      </c>
      <c r="L198" s="97">
        <v>7.0000000000000007E-2</v>
      </c>
      <c r="M198" s="97">
        <v>0</v>
      </c>
      <c r="N198" s="97">
        <v>0</v>
      </c>
      <c r="O198" s="91">
        <f t="shared" si="35"/>
        <v>0.08</v>
      </c>
    </row>
    <row r="199" spans="1:15" x14ac:dyDescent="0.2">
      <c r="B199" s="90" t="s">
        <v>173</v>
      </c>
      <c r="C199" s="97">
        <v>0.17</v>
      </c>
      <c r="D199" s="97">
        <v>0.06</v>
      </c>
      <c r="E199" s="97">
        <v>0.11</v>
      </c>
      <c r="F199" s="97">
        <v>0.11</v>
      </c>
      <c r="G199" s="97">
        <v>0.4</v>
      </c>
      <c r="H199" s="97">
        <v>0.01</v>
      </c>
      <c r="I199" s="97">
        <v>7.0000000000000007E-2</v>
      </c>
      <c r="J199" s="97">
        <v>0.04</v>
      </c>
      <c r="K199" s="97">
        <v>0.16</v>
      </c>
      <c r="L199" s="97">
        <v>0.1</v>
      </c>
      <c r="M199" s="97">
        <v>0.08</v>
      </c>
      <c r="N199" s="97">
        <v>0.24</v>
      </c>
      <c r="O199" s="91">
        <f t="shared" si="35"/>
        <v>1.5500000000000003</v>
      </c>
    </row>
    <row r="200" spans="1:15" x14ac:dyDescent="0.2">
      <c r="C200" s="97"/>
      <c r="D200" s="97"/>
      <c r="E200" s="97"/>
      <c r="F200" s="97"/>
      <c r="G200" s="97"/>
      <c r="H200" s="97"/>
      <c r="I200" s="97"/>
      <c r="J200" s="97"/>
      <c r="K200" s="97"/>
      <c r="L200" s="97"/>
      <c r="M200" s="97"/>
      <c r="N200" s="97"/>
    </row>
    <row r="201" spans="1:15" s="95" customFormat="1" ht="15" x14ac:dyDescent="0.25">
      <c r="A201" s="94" t="s">
        <v>669</v>
      </c>
      <c r="C201" s="96">
        <f>SUM(C202:C209)</f>
        <v>864.65</v>
      </c>
      <c r="D201" s="96">
        <f t="shared" ref="D201:N201" si="36">SUM(D202:D209)</f>
        <v>770.88</v>
      </c>
      <c r="E201" s="96">
        <f t="shared" si="36"/>
        <v>708.7</v>
      </c>
      <c r="F201" s="96">
        <f t="shared" si="36"/>
        <v>811.9899999999999</v>
      </c>
      <c r="G201" s="96">
        <f t="shared" si="36"/>
        <v>675.12</v>
      </c>
      <c r="H201" s="96">
        <f t="shared" si="36"/>
        <v>611.24</v>
      </c>
      <c r="I201" s="96">
        <f t="shared" si="36"/>
        <v>822.98000000000013</v>
      </c>
      <c r="J201" s="96">
        <f t="shared" si="36"/>
        <v>665.8</v>
      </c>
      <c r="K201" s="96">
        <f t="shared" si="36"/>
        <v>703.6099999999999</v>
      </c>
      <c r="L201" s="96">
        <f t="shared" si="36"/>
        <v>727.84999999999991</v>
      </c>
      <c r="M201" s="96">
        <f t="shared" si="36"/>
        <v>524.89</v>
      </c>
      <c r="N201" s="96">
        <f t="shared" si="36"/>
        <v>452.71</v>
      </c>
      <c r="O201" s="96">
        <f>SUM(O202:O209)</f>
        <v>7148.420000000001</v>
      </c>
    </row>
    <row r="202" spans="1:15" x14ac:dyDescent="0.2">
      <c r="B202" s="90" t="s">
        <v>175</v>
      </c>
      <c r="C202" s="97">
        <v>98.15</v>
      </c>
      <c r="D202" s="97">
        <v>39.54</v>
      </c>
      <c r="E202" s="97">
        <v>26.29</v>
      </c>
      <c r="F202" s="97">
        <v>128.74</v>
      </c>
      <c r="G202" s="97">
        <v>21.51</v>
      </c>
      <c r="H202" s="97">
        <v>29.22</v>
      </c>
      <c r="I202" s="97">
        <v>54.62</v>
      </c>
      <c r="J202" s="97">
        <v>31.97</v>
      </c>
      <c r="K202" s="97">
        <v>28.41</v>
      </c>
      <c r="L202" s="97">
        <v>23.36</v>
      </c>
      <c r="M202" s="97">
        <v>26.03</v>
      </c>
      <c r="N202" s="97">
        <v>43.35</v>
      </c>
      <c r="O202" s="91">
        <f>SUM(C202:N202)</f>
        <v>551.19000000000017</v>
      </c>
    </row>
    <row r="203" spans="1:15" x14ac:dyDescent="0.2">
      <c r="B203" s="90" t="s">
        <v>176</v>
      </c>
      <c r="C203" s="97">
        <v>7.45</v>
      </c>
      <c r="D203" s="97">
        <v>17.53</v>
      </c>
      <c r="E203" s="97">
        <v>5.67</v>
      </c>
      <c r="F203" s="97">
        <v>10.29</v>
      </c>
      <c r="G203" s="97">
        <v>11.61</v>
      </c>
      <c r="H203" s="97">
        <v>7.72</v>
      </c>
      <c r="I203" s="97">
        <v>8.3000000000000007</v>
      </c>
      <c r="J203" s="97">
        <v>10.06</v>
      </c>
      <c r="K203" s="97">
        <v>13.89</v>
      </c>
      <c r="L203" s="97">
        <v>12.44</v>
      </c>
      <c r="M203" s="97">
        <v>5.85</v>
      </c>
      <c r="N203" s="97">
        <v>5.1100000000000003</v>
      </c>
      <c r="O203" s="91">
        <f t="shared" ref="O203:O204" si="37">SUM(C203:N203)</f>
        <v>115.91999999999999</v>
      </c>
    </row>
    <row r="204" spans="1:15" x14ac:dyDescent="0.2">
      <c r="B204" s="90" t="s">
        <v>177</v>
      </c>
      <c r="C204" s="97">
        <v>54.19</v>
      </c>
      <c r="D204" s="97">
        <v>54.68</v>
      </c>
      <c r="E204" s="97">
        <v>64.75</v>
      </c>
      <c r="F204" s="97">
        <v>62.61</v>
      </c>
      <c r="G204" s="97">
        <v>60.49</v>
      </c>
      <c r="H204" s="97">
        <v>52.22</v>
      </c>
      <c r="I204" s="97">
        <v>66.760000000000005</v>
      </c>
      <c r="J204" s="97">
        <v>58.56</v>
      </c>
      <c r="K204" s="97">
        <v>74.599999999999994</v>
      </c>
      <c r="L204" s="97">
        <v>108.99</v>
      </c>
      <c r="M204" s="97">
        <v>51.94</v>
      </c>
      <c r="N204" s="97">
        <v>34.130000000000003</v>
      </c>
      <c r="O204" s="91">
        <f t="shared" si="37"/>
        <v>743.92</v>
      </c>
    </row>
    <row r="205" spans="1:15" x14ac:dyDescent="0.2">
      <c r="B205" s="90" t="s">
        <v>178</v>
      </c>
      <c r="C205" s="97">
        <v>645.55999999999995</v>
      </c>
      <c r="D205" s="97">
        <v>585.48</v>
      </c>
      <c r="E205" s="97">
        <v>547.57000000000005</v>
      </c>
      <c r="F205" s="97">
        <v>555.55999999999995</v>
      </c>
      <c r="G205" s="97">
        <v>543.32000000000005</v>
      </c>
      <c r="H205" s="97">
        <v>475.93</v>
      </c>
      <c r="I205" s="97">
        <v>646.22</v>
      </c>
      <c r="J205" s="97">
        <v>517.86</v>
      </c>
      <c r="K205" s="97">
        <v>537.91999999999996</v>
      </c>
      <c r="L205" s="97">
        <v>546.42999999999995</v>
      </c>
      <c r="M205" s="97">
        <v>416.51</v>
      </c>
      <c r="N205" s="97">
        <v>341.7</v>
      </c>
      <c r="O205" s="91">
        <f>SUM(C205:N205)-1192</f>
        <v>5168.0600000000004</v>
      </c>
    </row>
    <row r="206" spans="1:15" x14ac:dyDescent="0.2">
      <c r="B206" s="90" t="s">
        <v>179</v>
      </c>
      <c r="C206" s="97">
        <v>0</v>
      </c>
      <c r="D206" s="97">
        <v>0.03</v>
      </c>
      <c r="E206" s="97">
        <v>0.02</v>
      </c>
      <c r="F206" s="97">
        <v>0</v>
      </c>
      <c r="G206" s="97">
        <v>0</v>
      </c>
      <c r="H206" s="97">
        <v>0</v>
      </c>
      <c r="I206" s="97">
        <v>0</v>
      </c>
      <c r="J206" s="97">
        <v>0</v>
      </c>
      <c r="K206" s="97">
        <v>0</v>
      </c>
      <c r="L206" s="97">
        <v>0</v>
      </c>
      <c r="M206" s="97">
        <v>0</v>
      </c>
      <c r="N206" s="97">
        <v>0</v>
      </c>
      <c r="O206" s="91">
        <f>SUM(C206:N206)</f>
        <v>0.05</v>
      </c>
    </row>
    <row r="207" spans="1:15" x14ac:dyDescent="0.2">
      <c r="B207" s="90" t="s">
        <v>180</v>
      </c>
      <c r="C207" s="97">
        <v>59.2</v>
      </c>
      <c r="D207" s="97">
        <v>67.78</v>
      </c>
      <c r="E207" s="97">
        <v>64.400000000000006</v>
      </c>
      <c r="F207" s="97">
        <v>54.67</v>
      </c>
      <c r="G207" s="97">
        <v>38.18</v>
      </c>
      <c r="H207" s="97">
        <v>46.15</v>
      </c>
      <c r="I207" s="97">
        <v>47.01</v>
      </c>
      <c r="J207" s="97">
        <v>47.29</v>
      </c>
      <c r="K207" s="97">
        <v>48.77</v>
      </c>
      <c r="L207" s="97">
        <v>36.630000000000003</v>
      </c>
      <c r="M207" s="97">
        <v>24.51</v>
      </c>
      <c r="N207" s="97">
        <v>28.38</v>
      </c>
      <c r="O207" s="91">
        <f t="shared" ref="O207:O209" si="38">SUM(C207:N207)</f>
        <v>562.97</v>
      </c>
    </row>
    <row r="208" spans="1:15" x14ac:dyDescent="0.2">
      <c r="B208" s="90" t="s">
        <v>181</v>
      </c>
      <c r="C208" s="97">
        <v>0.1</v>
      </c>
      <c r="D208" s="97">
        <v>5.84</v>
      </c>
      <c r="E208" s="97">
        <v>0</v>
      </c>
      <c r="F208" s="97">
        <v>0.12</v>
      </c>
      <c r="G208" s="97">
        <v>0.01</v>
      </c>
      <c r="H208" s="97">
        <v>0</v>
      </c>
      <c r="I208" s="97">
        <v>7.0000000000000007E-2</v>
      </c>
      <c r="J208" s="97">
        <v>0.01</v>
      </c>
      <c r="K208" s="97">
        <v>0.02</v>
      </c>
      <c r="L208" s="97">
        <v>0</v>
      </c>
      <c r="M208" s="97">
        <v>0.05</v>
      </c>
      <c r="N208" s="97">
        <v>0.04</v>
      </c>
      <c r="O208" s="91">
        <f t="shared" si="38"/>
        <v>6.2599999999999989</v>
      </c>
    </row>
    <row r="209" spans="1:15" x14ac:dyDescent="0.2">
      <c r="B209" s="90" t="s">
        <v>690</v>
      </c>
      <c r="C209" s="97">
        <v>0</v>
      </c>
      <c r="D209" s="97">
        <v>0</v>
      </c>
      <c r="E209" s="97">
        <v>0</v>
      </c>
      <c r="F209" s="97">
        <v>0</v>
      </c>
      <c r="G209" s="97">
        <v>0</v>
      </c>
      <c r="H209" s="97">
        <v>0</v>
      </c>
      <c r="I209" s="97">
        <v>0</v>
      </c>
      <c r="J209" s="97">
        <v>0.05</v>
      </c>
      <c r="K209" s="97">
        <v>0</v>
      </c>
      <c r="L209" s="97">
        <v>0</v>
      </c>
      <c r="M209" s="97">
        <v>0</v>
      </c>
      <c r="N209" s="97">
        <v>0</v>
      </c>
      <c r="O209" s="91">
        <f t="shared" si="38"/>
        <v>0.05</v>
      </c>
    </row>
    <row r="210" spans="1:15" x14ac:dyDescent="0.2">
      <c r="C210" s="97"/>
      <c r="D210" s="97"/>
      <c r="E210" s="97"/>
      <c r="F210" s="97"/>
      <c r="G210" s="97"/>
      <c r="H210" s="97"/>
      <c r="I210" s="97"/>
      <c r="J210" s="97"/>
      <c r="K210" s="97"/>
      <c r="L210" s="97"/>
      <c r="M210" s="97"/>
      <c r="N210" s="97"/>
    </row>
    <row r="211" spans="1:15" s="95" customFormat="1" ht="15" x14ac:dyDescent="0.25">
      <c r="A211" s="94" t="s">
        <v>182</v>
      </c>
      <c r="C211" s="96">
        <f>SUM(C212:C257)</f>
        <v>87.12</v>
      </c>
      <c r="D211" s="96">
        <f t="shared" ref="D211:O211" si="39">SUM(D212:D257)</f>
        <v>66.36999999999999</v>
      </c>
      <c r="E211" s="96">
        <f t="shared" si="39"/>
        <v>111.45999999999998</v>
      </c>
      <c r="F211" s="96">
        <f t="shared" si="39"/>
        <v>68</v>
      </c>
      <c r="G211" s="96">
        <f t="shared" si="39"/>
        <v>48.089999999999989</v>
      </c>
      <c r="H211" s="96">
        <f t="shared" si="39"/>
        <v>44.010000000000005</v>
      </c>
      <c r="I211" s="96">
        <f t="shared" si="39"/>
        <v>199.70999999999998</v>
      </c>
      <c r="J211" s="96">
        <f t="shared" si="39"/>
        <v>74.539999999999992</v>
      </c>
      <c r="K211" s="96">
        <f t="shared" si="39"/>
        <v>64.42</v>
      </c>
      <c r="L211" s="96">
        <f t="shared" si="39"/>
        <v>53.050000000000004</v>
      </c>
      <c r="M211" s="96">
        <f t="shared" si="39"/>
        <v>69.91</v>
      </c>
      <c r="N211" s="96">
        <f t="shared" si="39"/>
        <v>88.47</v>
      </c>
      <c r="O211" s="106">
        <f t="shared" si="39"/>
        <v>975.15</v>
      </c>
    </row>
    <row r="212" spans="1:15" x14ac:dyDescent="0.2">
      <c r="B212" s="90" t="s">
        <v>183</v>
      </c>
      <c r="C212" s="97">
        <v>0.4</v>
      </c>
      <c r="D212" s="97">
        <v>0</v>
      </c>
      <c r="E212" s="97">
        <v>0</v>
      </c>
      <c r="F212" s="97">
        <v>0.02</v>
      </c>
      <c r="G212" s="97">
        <v>0</v>
      </c>
      <c r="H212" s="97">
        <v>0.02</v>
      </c>
      <c r="I212" s="97">
        <v>0.03</v>
      </c>
      <c r="J212" s="97">
        <v>0</v>
      </c>
      <c r="K212" s="97">
        <v>0.03</v>
      </c>
      <c r="L212" s="97">
        <v>0.24</v>
      </c>
      <c r="M212" s="97">
        <v>0.01</v>
      </c>
      <c r="N212" s="97">
        <v>0.04</v>
      </c>
      <c r="O212" s="91">
        <f>SUM(C212:N212)</f>
        <v>0.79000000000000015</v>
      </c>
    </row>
    <row r="213" spans="1:15" x14ac:dyDescent="0.2">
      <c r="B213" s="90" t="s">
        <v>184</v>
      </c>
      <c r="C213" s="97">
        <v>0.01</v>
      </c>
      <c r="D213" s="97">
        <v>0</v>
      </c>
      <c r="E213" s="97">
        <v>0</v>
      </c>
      <c r="F213" s="97">
        <v>0</v>
      </c>
      <c r="G213" s="97">
        <v>0</v>
      </c>
      <c r="H213" s="97">
        <v>0</v>
      </c>
      <c r="I213" s="97">
        <v>0</v>
      </c>
      <c r="J213" s="97">
        <v>0</v>
      </c>
      <c r="K213" s="97">
        <v>0</v>
      </c>
      <c r="L213" s="97">
        <v>0</v>
      </c>
      <c r="M213" s="97">
        <v>0</v>
      </c>
      <c r="N213" s="97">
        <v>0.03</v>
      </c>
      <c r="O213" s="91">
        <f t="shared" ref="O213:O257" si="40">SUM(C213:N213)</f>
        <v>0.04</v>
      </c>
    </row>
    <row r="214" spans="1:15" x14ac:dyDescent="0.2">
      <c r="B214" s="90" t="s">
        <v>185</v>
      </c>
      <c r="C214" s="97">
        <v>0</v>
      </c>
      <c r="D214" s="97">
        <v>0</v>
      </c>
      <c r="E214" s="97">
        <v>0</v>
      </c>
      <c r="F214" s="97">
        <v>0</v>
      </c>
      <c r="G214" s="97">
        <v>0.04</v>
      </c>
      <c r="H214" s="97">
        <v>0.02</v>
      </c>
      <c r="I214" s="97">
        <v>0.02</v>
      </c>
      <c r="J214" s="97">
        <v>0</v>
      </c>
      <c r="K214" s="97">
        <v>0.01</v>
      </c>
      <c r="L214" s="97">
        <v>0.02</v>
      </c>
      <c r="M214" s="97">
        <v>0</v>
      </c>
      <c r="N214" s="97">
        <v>0.02</v>
      </c>
      <c r="O214" s="91">
        <f t="shared" si="40"/>
        <v>0.13</v>
      </c>
    </row>
    <row r="215" spans="1:15" x14ac:dyDescent="0.2">
      <c r="B215" s="90" t="s">
        <v>186</v>
      </c>
      <c r="C215" s="97">
        <v>0</v>
      </c>
      <c r="D215" s="97">
        <v>0</v>
      </c>
      <c r="E215" s="97">
        <v>0.06</v>
      </c>
      <c r="F215" s="97">
        <v>0</v>
      </c>
      <c r="G215" s="97">
        <v>0</v>
      </c>
      <c r="H215" s="97">
        <v>0</v>
      </c>
      <c r="I215" s="97">
        <v>0</v>
      </c>
      <c r="J215" s="97">
        <v>0.05</v>
      </c>
      <c r="K215" s="97">
        <v>0</v>
      </c>
      <c r="L215" s="97">
        <v>0</v>
      </c>
      <c r="M215" s="97">
        <v>0</v>
      </c>
      <c r="N215" s="97">
        <v>0</v>
      </c>
      <c r="O215" s="91">
        <f t="shared" si="40"/>
        <v>0.11</v>
      </c>
    </row>
    <row r="216" spans="1:15" x14ac:dyDescent="0.2">
      <c r="B216" s="90" t="s">
        <v>187</v>
      </c>
      <c r="C216" s="97">
        <v>23.99</v>
      </c>
      <c r="D216" s="97">
        <v>21.68</v>
      </c>
      <c r="E216" s="97">
        <v>76.75</v>
      </c>
      <c r="F216" s="97">
        <v>15.8</v>
      </c>
      <c r="G216" s="97">
        <v>17.329999999999998</v>
      </c>
      <c r="H216" s="97">
        <v>6.13</v>
      </c>
      <c r="I216" s="97">
        <v>97.03</v>
      </c>
      <c r="J216" s="97">
        <v>29.42</v>
      </c>
      <c r="K216" s="97">
        <v>26.02</v>
      </c>
      <c r="L216" s="97">
        <v>19.27</v>
      </c>
      <c r="M216" s="97">
        <v>11.07</v>
      </c>
      <c r="N216" s="97">
        <v>19.309999999999999</v>
      </c>
      <c r="O216" s="91">
        <f t="shared" si="40"/>
        <v>363.8</v>
      </c>
    </row>
    <row r="217" spans="1:15" x14ac:dyDescent="0.2">
      <c r="B217" s="90" t="s">
        <v>188</v>
      </c>
      <c r="C217" s="97">
        <v>0</v>
      </c>
      <c r="D217" s="97">
        <v>0</v>
      </c>
      <c r="E217" s="97">
        <v>0</v>
      </c>
      <c r="F217" s="97">
        <v>0</v>
      </c>
      <c r="G217" s="97">
        <v>0</v>
      </c>
      <c r="H217" s="97">
        <v>0</v>
      </c>
      <c r="I217" s="97">
        <v>0</v>
      </c>
      <c r="J217" s="97">
        <v>0</v>
      </c>
      <c r="K217" s="97">
        <v>0</v>
      </c>
      <c r="L217" s="97">
        <v>0</v>
      </c>
      <c r="M217" s="97">
        <v>0.08</v>
      </c>
      <c r="N217" s="97">
        <v>0</v>
      </c>
      <c r="O217" s="91">
        <f t="shared" si="40"/>
        <v>0.08</v>
      </c>
    </row>
    <row r="218" spans="1:15" x14ac:dyDescent="0.2">
      <c r="B218" s="90" t="s">
        <v>189</v>
      </c>
      <c r="C218" s="97">
        <v>0</v>
      </c>
      <c r="D218" s="97">
        <v>0.01</v>
      </c>
      <c r="E218" s="97">
        <v>0</v>
      </c>
      <c r="F218" s="97">
        <v>0.03</v>
      </c>
      <c r="G218" s="97">
        <v>0</v>
      </c>
      <c r="H218" s="97">
        <v>0.04</v>
      </c>
      <c r="I218" s="97">
        <v>0</v>
      </c>
      <c r="J218" s="97">
        <v>0</v>
      </c>
      <c r="K218" s="97">
        <v>0</v>
      </c>
      <c r="L218" s="97">
        <v>0</v>
      </c>
      <c r="M218" s="97">
        <v>0</v>
      </c>
      <c r="N218" s="97">
        <v>7</v>
      </c>
      <c r="O218" s="91">
        <f t="shared" si="40"/>
        <v>7.08</v>
      </c>
    </row>
    <row r="219" spans="1:15" x14ac:dyDescent="0.2">
      <c r="B219" s="90" t="s">
        <v>190</v>
      </c>
      <c r="C219" s="97">
        <v>24.26</v>
      </c>
      <c r="D219" s="97">
        <v>20.67</v>
      </c>
      <c r="E219" s="97">
        <v>16.64</v>
      </c>
      <c r="F219" s="97">
        <v>23.8</v>
      </c>
      <c r="G219" s="97">
        <v>13.09</v>
      </c>
      <c r="H219" s="97">
        <v>16.45</v>
      </c>
      <c r="I219" s="97">
        <v>50.69</v>
      </c>
      <c r="J219" s="97">
        <v>9.84</v>
      </c>
      <c r="K219" s="97">
        <v>14.88</v>
      </c>
      <c r="L219" s="97">
        <v>12.45</v>
      </c>
      <c r="M219" s="97">
        <v>13.43</v>
      </c>
      <c r="N219" s="97">
        <v>27.43</v>
      </c>
      <c r="O219" s="91">
        <f t="shared" si="40"/>
        <v>243.63000000000002</v>
      </c>
    </row>
    <row r="220" spans="1:15" x14ac:dyDescent="0.2">
      <c r="B220" s="90" t="s">
        <v>191</v>
      </c>
      <c r="C220" s="97">
        <v>0.02</v>
      </c>
      <c r="D220" s="97">
        <v>0</v>
      </c>
      <c r="E220" s="97">
        <v>0</v>
      </c>
      <c r="F220" s="97">
        <v>0</v>
      </c>
      <c r="G220" s="97">
        <v>0</v>
      </c>
      <c r="H220" s="97">
        <v>0</v>
      </c>
      <c r="I220" s="97">
        <v>0</v>
      </c>
      <c r="J220" s="97">
        <v>0</v>
      </c>
      <c r="K220" s="97">
        <v>0</v>
      </c>
      <c r="L220" s="97">
        <v>0</v>
      </c>
      <c r="M220" s="97">
        <v>0</v>
      </c>
      <c r="N220" s="97">
        <v>0</v>
      </c>
      <c r="O220" s="91">
        <f t="shared" si="40"/>
        <v>0.02</v>
      </c>
    </row>
    <row r="221" spans="1:15" x14ac:dyDescent="0.2">
      <c r="B221" s="90" t="s">
        <v>192</v>
      </c>
      <c r="C221" s="97">
        <v>0</v>
      </c>
      <c r="D221" s="97">
        <v>0</v>
      </c>
      <c r="E221" s="97">
        <v>0.02</v>
      </c>
      <c r="F221" s="97">
        <v>0</v>
      </c>
      <c r="G221" s="97">
        <v>0</v>
      </c>
      <c r="H221" s="97">
        <v>0</v>
      </c>
      <c r="I221" s="97">
        <v>0</v>
      </c>
      <c r="J221" s="97">
        <v>0</v>
      </c>
      <c r="K221" s="97">
        <v>0.06</v>
      </c>
      <c r="L221" s="97">
        <v>0</v>
      </c>
      <c r="M221" s="97">
        <v>0</v>
      </c>
      <c r="N221" s="97">
        <v>0</v>
      </c>
      <c r="O221" s="91">
        <f t="shared" si="40"/>
        <v>0.08</v>
      </c>
    </row>
    <row r="222" spans="1:15" x14ac:dyDescent="0.2">
      <c r="B222" s="90" t="s">
        <v>670</v>
      </c>
      <c r="C222" s="97">
        <v>0</v>
      </c>
      <c r="D222" s="97">
        <v>0</v>
      </c>
      <c r="E222" s="97">
        <v>0</v>
      </c>
      <c r="F222" s="97">
        <v>0</v>
      </c>
      <c r="G222" s="97">
        <v>0</v>
      </c>
      <c r="H222" s="97">
        <v>0</v>
      </c>
      <c r="I222" s="97">
        <v>0</v>
      </c>
      <c r="J222" s="97">
        <v>0</v>
      </c>
      <c r="K222" s="97">
        <v>0</v>
      </c>
      <c r="L222" s="97">
        <v>0</v>
      </c>
      <c r="M222" s="97">
        <v>0</v>
      </c>
      <c r="N222" s="97">
        <v>0</v>
      </c>
      <c r="O222" s="91">
        <f t="shared" si="40"/>
        <v>0</v>
      </c>
    </row>
    <row r="223" spans="1:15" x14ac:dyDescent="0.2">
      <c r="B223" s="90" t="s">
        <v>193</v>
      </c>
      <c r="C223" s="97">
        <v>0</v>
      </c>
      <c r="D223" s="97">
        <v>0</v>
      </c>
      <c r="E223" s="97">
        <v>0</v>
      </c>
      <c r="F223" s="97">
        <v>0</v>
      </c>
      <c r="G223" s="97">
        <v>0</v>
      </c>
      <c r="H223" s="97">
        <v>0</v>
      </c>
      <c r="I223" s="97">
        <v>0</v>
      </c>
      <c r="J223" s="97">
        <v>0</v>
      </c>
      <c r="K223" s="97">
        <v>0</v>
      </c>
      <c r="L223" s="97">
        <v>0</v>
      </c>
      <c r="M223" s="97">
        <v>0</v>
      </c>
      <c r="N223" s="97">
        <v>0</v>
      </c>
      <c r="O223" s="91">
        <f t="shared" si="40"/>
        <v>0</v>
      </c>
    </row>
    <row r="224" spans="1:15" x14ac:dyDescent="0.2">
      <c r="B224" s="90" t="s">
        <v>194</v>
      </c>
      <c r="C224" s="97">
        <v>0</v>
      </c>
      <c r="D224" s="97">
        <v>0.01</v>
      </c>
      <c r="E224" s="97">
        <v>0</v>
      </c>
      <c r="F224" s="97">
        <v>0</v>
      </c>
      <c r="G224" s="97">
        <v>0</v>
      </c>
      <c r="H224" s="97">
        <v>0</v>
      </c>
      <c r="I224" s="97">
        <v>0</v>
      </c>
      <c r="J224" s="97">
        <v>0</v>
      </c>
      <c r="K224" s="97">
        <v>0</v>
      </c>
      <c r="L224" s="97">
        <v>0</v>
      </c>
      <c r="M224" s="97">
        <v>0.01</v>
      </c>
      <c r="N224" s="97">
        <v>0</v>
      </c>
      <c r="O224" s="91">
        <f t="shared" si="40"/>
        <v>0.02</v>
      </c>
    </row>
    <row r="225" spans="2:15" x14ac:dyDescent="0.2">
      <c r="B225" s="90" t="s">
        <v>195</v>
      </c>
      <c r="C225" s="97">
        <v>0.63</v>
      </c>
      <c r="D225" s="97">
        <v>0.42</v>
      </c>
      <c r="E225" s="97">
        <v>0.14000000000000001</v>
      </c>
      <c r="F225" s="97">
        <v>0.12</v>
      </c>
      <c r="G225" s="97">
        <v>0.33</v>
      </c>
      <c r="H225" s="97">
        <v>0.12</v>
      </c>
      <c r="I225" s="97">
        <v>0.88</v>
      </c>
      <c r="J225" s="97">
        <v>0.47</v>
      </c>
      <c r="K225" s="97">
        <v>0.43</v>
      </c>
      <c r="L225" s="97">
        <v>0.14000000000000001</v>
      </c>
      <c r="M225" s="97">
        <v>0</v>
      </c>
      <c r="N225" s="97">
        <v>0.19</v>
      </c>
      <c r="O225" s="91">
        <f t="shared" si="40"/>
        <v>3.8700000000000006</v>
      </c>
    </row>
    <row r="226" spans="2:15" x14ac:dyDescent="0.2">
      <c r="B226" s="90" t="s">
        <v>691</v>
      </c>
      <c r="C226" s="97">
        <v>0</v>
      </c>
      <c r="D226" s="97">
        <v>0</v>
      </c>
      <c r="E226" s="97">
        <v>0</v>
      </c>
      <c r="F226" s="97">
        <v>0</v>
      </c>
      <c r="G226" s="97">
        <v>0</v>
      </c>
      <c r="H226" s="97">
        <v>0.03</v>
      </c>
      <c r="I226" s="97">
        <v>0</v>
      </c>
      <c r="J226" s="97">
        <v>0</v>
      </c>
      <c r="K226" s="97">
        <v>0</v>
      </c>
      <c r="L226" s="97">
        <v>0</v>
      </c>
      <c r="M226" s="97">
        <v>0</v>
      </c>
      <c r="N226" s="97">
        <v>0</v>
      </c>
      <c r="O226" s="91">
        <f t="shared" si="40"/>
        <v>0.03</v>
      </c>
    </row>
    <row r="227" spans="2:15" x14ac:dyDescent="0.2">
      <c r="B227" s="90" t="s">
        <v>671</v>
      </c>
      <c r="C227" s="97">
        <v>0</v>
      </c>
      <c r="D227" s="97">
        <v>0.42</v>
      </c>
      <c r="E227" s="97">
        <v>0.35</v>
      </c>
      <c r="F227" s="97">
        <v>0</v>
      </c>
      <c r="G227" s="97">
        <v>0</v>
      </c>
      <c r="H227" s="97">
        <v>0</v>
      </c>
      <c r="I227" s="97">
        <v>0</v>
      </c>
      <c r="J227" s="97">
        <v>0.81</v>
      </c>
      <c r="K227" s="97">
        <v>0</v>
      </c>
      <c r="L227" s="97">
        <v>0</v>
      </c>
      <c r="M227" s="97">
        <v>0</v>
      </c>
      <c r="N227" s="97">
        <v>2.17</v>
      </c>
      <c r="O227" s="91">
        <f t="shared" si="40"/>
        <v>3.75</v>
      </c>
    </row>
    <row r="228" spans="2:15" x14ac:dyDescent="0.2">
      <c r="B228" s="90" t="s">
        <v>196</v>
      </c>
      <c r="C228" s="97">
        <v>0</v>
      </c>
      <c r="D228" s="97">
        <v>0</v>
      </c>
      <c r="E228" s="97">
        <v>0</v>
      </c>
      <c r="F228" s="97">
        <v>0</v>
      </c>
      <c r="G228" s="97">
        <v>0</v>
      </c>
      <c r="H228" s="97">
        <v>0</v>
      </c>
      <c r="I228" s="97">
        <v>0</v>
      </c>
      <c r="J228" s="97">
        <v>0</v>
      </c>
      <c r="K228" s="97">
        <v>0</v>
      </c>
      <c r="L228" s="97">
        <v>0</v>
      </c>
      <c r="M228" s="97">
        <v>0</v>
      </c>
      <c r="N228" s="97">
        <v>0</v>
      </c>
      <c r="O228" s="91">
        <f t="shared" si="40"/>
        <v>0</v>
      </c>
    </row>
    <row r="229" spans="2:15" x14ac:dyDescent="0.2">
      <c r="B229" s="90" t="s">
        <v>197</v>
      </c>
      <c r="C229" s="97">
        <v>0</v>
      </c>
      <c r="D229" s="97">
        <v>0</v>
      </c>
      <c r="E229" s="97">
        <v>0</v>
      </c>
      <c r="F229" s="97">
        <v>0</v>
      </c>
      <c r="G229" s="97">
        <v>0</v>
      </c>
      <c r="H229" s="97">
        <v>0</v>
      </c>
      <c r="I229" s="97">
        <v>0.01</v>
      </c>
      <c r="J229" s="97">
        <v>0.03</v>
      </c>
      <c r="K229" s="97">
        <v>0</v>
      </c>
      <c r="L229" s="97">
        <v>0</v>
      </c>
      <c r="M229" s="97">
        <v>0.01</v>
      </c>
      <c r="N229" s="97">
        <v>0</v>
      </c>
      <c r="O229" s="91">
        <f t="shared" si="40"/>
        <v>0.05</v>
      </c>
    </row>
    <row r="230" spans="2:15" x14ac:dyDescent="0.2">
      <c r="B230" s="90" t="s">
        <v>198</v>
      </c>
      <c r="C230" s="97">
        <v>0</v>
      </c>
      <c r="D230" s="97">
        <v>0</v>
      </c>
      <c r="E230" s="97">
        <v>0</v>
      </c>
      <c r="F230" s="97">
        <v>0</v>
      </c>
      <c r="G230" s="97">
        <v>0</v>
      </c>
      <c r="H230" s="97">
        <v>0.06</v>
      </c>
      <c r="I230" s="97">
        <v>0.02</v>
      </c>
      <c r="J230" s="97">
        <v>0</v>
      </c>
      <c r="K230" s="97">
        <v>0</v>
      </c>
      <c r="L230" s="97">
        <v>0</v>
      </c>
      <c r="M230" s="97">
        <v>0</v>
      </c>
      <c r="N230" s="97">
        <v>0</v>
      </c>
      <c r="O230" s="91">
        <f t="shared" si="40"/>
        <v>0.08</v>
      </c>
    </row>
    <row r="231" spans="2:15" x14ac:dyDescent="0.2">
      <c r="B231" s="90" t="s">
        <v>672</v>
      </c>
      <c r="C231" s="97">
        <v>0</v>
      </c>
      <c r="D231" s="97">
        <v>0</v>
      </c>
      <c r="E231" s="97">
        <v>0</v>
      </c>
      <c r="F231" s="97">
        <v>0</v>
      </c>
      <c r="G231" s="97">
        <v>0</v>
      </c>
      <c r="H231" s="97">
        <v>0</v>
      </c>
      <c r="I231" s="97">
        <v>0</v>
      </c>
      <c r="J231" s="97">
        <v>0</v>
      </c>
      <c r="K231" s="97">
        <v>0</v>
      </c>
      <c r="L231" s="97">
        <v>0</v>
      </c>
      <c r="M231" s="97">
        <v>0</v>
      </c>
      <c r="N231" s="97">
        <v>0</v>
      </c>
      <c r="O231" s="91">
        <f t="shared" si="40"/>
        <v>0</v>
      </c>
    </row>
    <row r="232" spans="2:15" x14ac:dyDescent="0.2">
      <c r="B232" s="90" t="s">
        <v>199</v>
      </c>
      <c r="C232" s="97">
        <v>3.72</v>
      </c>
      <c r="D232" s="97">
        <v>0</v>
      </c>
      <c r="E232" s="97">
        <v>0.03</v>
      </c>
      <c r="F232" s="97">
        <v>0.17</v>
      </c>
      <c r="G232" s="97">
        <v>0.08</v>
      </c>
      <c r="H232" s="97">
        <v>1.37</v>
      </c>
      <c r="I232" s="97">
        <v>0.77</v>
      </c>
      <c r="J232" s="97">
        <v>1.57</v>
      </c>
      <c r="K232" s="97">
        <v>0.34</v>
      </c>
      <c r="L232" s="97">
        <v>0.51</v>
      </c>
      <c r="M232" s="97">
        <v>2.09</v>
      </c>
      <c r="N232" s="97">
        <v>0.39</v>
      </c>
      <c r="O232" s="91">
        <f t="shared" si="40"/>
        <v>11.040000000000001</v>
      </c>
    </row>
    <row r="233" spans="2:15" x14ac:dyDescent="0.2">
      <c r="B233" s="90" t="s">
        <v>200</v>
      </c>
      <c r="C233" s="97">
        <v>7.0000000000000007E-2</v>
      </c>
      <c r="D233" s="97">
        <v>7.0000000000000007E-2</v>
      </c>
      <c r="E233" s="97">
        <v>0.1</v>
      </c>
      <c r="F233" s="97">
        <v>0.02</v>
      </c>
      <c r="G233" s="97">
        <v>0.01</v>
      </c>
      <c r="H233" s="97">
        <v>0.06</v>
      </c>
      <c r="I233" s="97">
        <v>0</v>
      </c>
      <c r="J233" s="97">
        <v>0.01</v>
      </c>
      <c r="K233" s="97">
        <v>0.01</v>
      </c>
      <c r="L233" s="97">
        <v>7.0000000000000007E-2</v>
      </c>
      <c r="M233" s="97">
        <v>0.01</v>
      </c>
      <c r="N233" s="97">
        <v>5.54</v>
      </c>
      <c r="O233" s="91">
        <f t="shared" si="40"/>
        <v>5.97</v>
      </c>
    </row>
    <row r="234" spans="2:15" x14ac:dyDescent="0.2">
      <c r="B234" s="90" t="s">
        <v>201</v>
      </c>
      <c r="C234" s="97">
        <v>0</v>
      </c>
      <c r="D234" s="97">
        <v>0</v>
      </c>
      <c r="E234" s="97">
        <v>0</v>
      </c>
      <c r="F234" s="97">
        <v>0</v>
      </c>
      <c r="G234" s="97">
        <v>0</v>
      </c>
      <c r="H234" s="97">
        <v>0</v>
      </c>
      <c r="I234" s="97">
        <v>0</v>
      </c>
      <c r="J234" s="97">
        <v>0</v>
      </c>
      <c r="K234" s="97">
        <v>0</v>
      </c>
      <c r="L234" s="97">
        <v>0</v>
      </c>
      <c r="M234" s="97">
        <v>0</v>
      </c>
      <c r="N234" s="97">
        <v>0</v>
      </c>
      <c r="O234" s="91">
        <f t="shared" si="40"/>
        <v>0</v>
      </c>
    </row>
    <row r="235" spans="2:15" x14ac:dyDescent="0.2">
      <c r="B235" s="90" t="s">
        <v>202</v>
      </c>
      <c r="C235" s="97">
        <v>0</v>
      </c>
      <c r="D235" s="97">
        <v>0</v>
      </c>
      <c r="E235" s="97">
        <v>0</v>
      </c>
      <c r="F235" s="97">
        <v>0</v>
      </c>
      <c r="G235" s="97">
        <v>0</v>
      </c>
      <c r="H235" s="97">
        <v>0</v>
      </c>
      <c r="I235" s="97">
        <v>0</v>
      </c>
      <c r="J235" s="97">
        <v>0</v>
      </c>
      <c r="K235" s="97">
        <v>0</v>
      </c>
      <c r="L235" s="97">
        <v>0</v>
      </c>
      <c r="M235" s="97">
        <v>0</v>
      </c>
      <c r="N235" s="97">
        <v>0</v>
      </c>
      <c r="O235" s="91">
        <f t="shared" si="40"/>
        <v>0</v>
      </c>
    </row>
    <row r="236" spans="2:15" x14ac:dyDescent="0.2">
      <c r="B236" s="90" t="s">
        <v>203</v>
      </c>
      <c r="C236" s="97">
        <v>0</v>
      </c>
      <c r="D236" s="97">
        <v>0</v>
      </c>
      <c r="E236" s="97">
        <v>0</v>
      </c>
      <c r="F236" s="97">
        <v>0</v>
      </c>
      <c r="G236" s="97">
        <v>0</v>
      </c>
      <c r="H236" s="97">
        <v>0.01</v>
      </c>
      <c r="I236" s="97">
        <v>0.13</v>
      </c>
      <c r="J236" s="97">
        <v>0</v>
      </c>
      <c r="K236" s="97">
        <v>0</v>
      </c>
      <c r="L236" s="97">
        <v>0</v>
      </c>
      <c r="M236" s="97">
        <v>0</v>
      </c>
      <c r="N236" s="97">
        <v>0</v>
      </c>
      <c r="O236" s="91">
        <f t="shared" si="40"/>
        <v>0.14000000000000001</v>
      </c>
    </row>
    <row r="237" spans="2:15" x14ac:dyDescent="0.2">
      <c r="B237" s="90" t="s">
        <v>673</v>
      </c>
      <c r="C237" s="97">
        <v>0</v>
      </c>
      <c r="D237" s="97">
        <v>0</v>
      </c>
      <c r="E237" s="97">
        <v>0</v>
      </c>
      <c r="F237" s="97">
        <v>0</v>
      </c>
      <c r="G237" s="97">
        <v>0</v>
      </c>
      <c r="H237" s="97">
        <v>0</v>
      </c>
      <c r="I237" s="97">
        <v>0</v>
      </c>
      <c r="J237" s="97">
        <v>0</v>
      </c>
      <c r="K237" s="97">
        <v>0</v>
      </c>
      <c r="L237" s="97">
        <v>0</v>
      </c>
      <c r="M237" s="97">
        <v>0</v>
      </c>
      <c r="N237" s="97">
        <v>0</v>
      </c>
      <c r="O237" s="91">
        <f t="shared" si="40"/>
        <v>0</v>
      </c>
    </row>
    <row r="238" spans="2:15" x14ac:dyDescent="0.2">
      <c r="B238" s="90" t="s">
        <v>204</v>
      </c>
      <c r="C238" s="97">
        <v>0</v>
      </c>
      <c r="D238" s="97">
        <v>0</v>
      </c>
      <c r="E238" s="97">
        <v>0</v>
      </c>
      <c r="F238" s="97">
        <v>0</v>
      </c>
      <c r="G238" s="97">
        <v>0</v>
      </c>
      <c r="H238" s="97">
        <v>0</v>
      </c>
      <c r="I238" s="97">
        <v>0</v>
      </c>
      <c r="J238" s="97">
        <v>0</v>
      </c>
      <c r="K238" s="97">
        <v>0</v>
      </c>
      <c r="L238" s="97">
        <v>0</v>
      </c>
      <c r="M238" s="97">
        <v>0</v>
      </c>
      <c r="N238" s="97">
        <v>0</v>
      </c>
      <c r="O238" s="91">
        <f t="shared" si="40"/>
        <v>0</v>
      </c>
    </row>
    <row r="239" spans="2:15" x14ac:dyDescent="0.2">
      <c r="B239" s="90" t="s">
        <v>205</v>
      </c>
      <c r="C239" s="97">
        <v>0</v>
      </c>
      <c r="D239" s="97">
        <v>0.01</v>
      </c>
      <c r="E239" s="97">
        <v>0</v>
      </c>
      <c r="F239" s="97">
        <v>0</v>
      </c>
      <c r="G239" s="97">
        <v>0</v>
      </c>
      <c r="H239" s="97">
        <v>0</v>
      </c>
      <c r="I239" s="97">
        <v>0</v>
      </c>
      <c r="J239" s="97">
        <v>0</v>
      </c>
      <c r="K239" s="97">
        <v>0</v>
      </c>
      <c r="L239" s="97">
        <v>0</v>
      </c>
      <c r="M239" s="97">
        <v>0</v>
      </c>
      <c r="N239" s="97">
        <v>0</v>
      </c>
      <c r="O239" s="91">
        <f t="shared" si="40"/>
        <v>0.01</v>
      </c>
    </row>
    <row r="240" spans="2:15" x14ac:dyDescent="0.2">
      <c r="B240" s="90" t="s">
        <v>206</v>
      </c>
      <c r="C240" s="97">
        <v>0.15</v>
      </c>
      <c r="D240" s="97">
        <v>0.11</v>
      </c>
      <c r="E240" s="97">
        <v>0.12</v>
      </c>
      <c r="F240" s="97">
        <v>0.05</v>
      </c>
      <c r="G240" s="97">
        <v>0.11</v>
      </c>
      <c r="H240" s="97">
        <v>0.06</v>
      </c>
      <c r="I240" s="97">
        <v>0.18</v>
      </c>
      <c r="J240" s="97">
        <v>0.03</v>
      </c>
      <c r="K240" s="97">
        <v>0.12</v>
      </c>
      <c r="L240" s="97">
        <v>0.02</v>
      </c>
      <c r="M240" s="97">
        <v>0</v>
      </c>
      <c r="N240" s="97">
        <v>0</v>
      </c>
      <c r="O240" s="91">
        <f t="shared" si="40"/>
        <v>0.95000000000000007</v>
      </c>
    </row>
    <row r="241" spans="2:15" x14ac:dyDescent="0.2">
      <c r="B241" s="90" t="s">
        <v>207</v>
      </c>
      <c r="C241" s="97">
        <v>0</v>
      </c>
      <c r="D241" s="97">
        <v>0</v>
      </c>
      <c r="E241" s="97">
        <v>0</v>
      </c>
      <c r="F241" s="97">
        <v>0</v>
      </c>
      <c r="G241" s="97">
        <v>0</v>
      </c>
      <c r="H241" s="97">
        <v>0.01</v>
      </c>
      <c r="I241" s="97">
        <v>0</v>
      </c>
      <c r="J241" s="97">
        <v>0</v>
      </c>
      <c r="K241" s="97">
        <v>0</v>
      </c>
      <c r="L241" s="97">
        <v>0</v>
      </c>
      <c r="M241" s="97">
        <v>0</v>
      </c>
      <c r="N241" s="97">
        <v>0</v>
      </c>
      <c r="O241" s="91">
        <f t="shared" si="40"/>
        <v>0.01</v>
      </c>
    </row>
    <row r="242" spans="2:15" x14ac:dyDescent="0.2">
      <c r="B242" s="90" t="s">
        <v>208</v>
      </c>
      <c r="C242" s="97">
        <v>0.03</v>
      </c>
      <c r="D242" s="97">
        <v>0</v>
      </c>
      <c r="E242" s="97">
        <v>0</v>
      </c>
      <c r="F242" s="97">
        <v>0</v>
      </c>
      <c r="G242" s="97">
        <v>0</v>
      </c>
      <c r="H242" s="97">
        <v>0</v>
      </c>
      <c r="I242" s="97">
        <v>0</v>
      </c>
      <c r="J242" s="97">
        <v>0</v>
      </c>
      <c r="K242" s="97">
        <v>0</v>
      </c>
      <c r="L242" s="97">
        <v>0</v>
      </c>
      <c r="M242" s="97">
        <v>0</v>
      </c>
      <c r="N242" s="97">
        <v>0</v>
      </c>
      <c r="O242" s="91">
        <f t="shared" si="40"/>
        <v>0.03</v>
      </c>
    </row>
    <row r="243" spans="2:15" x14ac:dyDescent="0.2">
      <c r="B243" s="90" t="s">
        <v>209</v>
      </c>
      <c r="C243" s="97">
        <v>0</v>
      </c>
      <c r="D243" s="97">
        <v>0</v>
      </c>
      <c r="E243" s="97">
        <v>0</v>
      </c>
      <c r="F243" s="97">
        <v>0</v>
      </c>
      <c r="G243" s="97">
        <v>0</v>
      </c>
      <c r="H243" s="97">
        <v>0</v>
      </c>
      <c r="I243" s="97">
        <v>0</v>
      </c>
      <c r="J243" s="97">
        <v>0</v>
      </c>
      <c r="K243" s="97">
        <v>0</v>
      </c>
      <c r="L243" s="97">
        <v>0</v>
      </c>
      <c r="M243" s="97">
        <v>0</v>
      </c>
      <c r="N243" s="97">
        <v>0</v>
      </c>
      <c r="O243" s="91">
        <f t="shared" si="40"/>
        <v>0</v>
      </c>
    </row>
    <row r="244" spans="2:15" x14ac:dyDescent="0.2">
      <c r="B244" s="90" t="s">
        <v>210</v>
      </c>
      <c r="C244" s="97">
        <v>0</v>
      </c>
      <c r="D244" s="97">
        <v>0</v>
      </c>
      <c r="E244" s="97">
        <v>0</v>
      </c>
      <c r="F244" s="97">
        <v>0.03</v>
      </c>
      <c r="G244" s="97">
        <v>0</v>
      </c>
      <c r="H244" s="97">
        <v>0</v>
      </c>
      <c r="I244" s="97">
        <v>0</v>
      </c>
      <c r="J244" s="97">
        <v>0</v>
      </c>
      <c r="K244" s="97">
        <v>0</v>
      </c>
      <c r="L244" s="97">
        <v>0</v>
      </c>
      <c r="M244" s="97">
        <v>0</v>
      </c>
      <c r="N244" s="97">
        <v>0</v>
      </c>
      <c r="O244" s="91">
        <f t="shared" si="40"/>
        <v>0.03</v>
      </c>
    </row>
    <row r="245" spans="2:15" x14ac:dyDescent="0.2">
      <c r="B245" s="90" t="s">
        <v>211</v>
      </c>
      <c r="C245" s="97">
        <v>0</v>
      </c>
      <c r="D245" s="97">
        <v>0</v>
      </c>
      <c r="E245" s="97">
        <v>0</v>
      </c>
      <c r="F245" s="97">
        <v>0.01</v>
      </c>
      <c r="G245" s="97">
        <v>0</v>
      </c>
      <c r="H245" s="97">
        <v>0</v>
      </c>
      <c r="I245" s="97">
        <v>0</v>
      </c>
      <c r="J245" s="97">
        <v>0</v>
      </c>
      <c r="K245" s="97">
        <v>0</v>
      </c>
      <c r="L245" s="97">
        <v>0</v>
      </c>
      <c r="M245" s="97">
        <v>0</v>
      </c>
      <c r="N245" s="97">
        <v>0</v>
      </c>
      <c r="O245" s="91">
        <f t="shared" si="40"/>
        <v>0.01</v>
      </c>
    </row>
    <row r="246" spans="2:15" x14ac:dyDescent="0.2">
      <c r="B246" s="90" t="s">
        <v>674</v>
      </c>
      <c r="C246" s="97">
        <v>0.02</v>
      </c>
      <c r="D246" s="97">
        <v>0.05</v>
      </c>
      <c r="E246" s="97">
        <v>0.02</v>
      </c>
      <c r="F246" s="97">
        <v>0</v>
      </c>
      <c r="G246" s="97">
        <v>0</v>
      </c>
      <c r="H246" s="97">
        <v>0.01</v>
      </c>
      <c r="I246" s="97">
        <v>0.13</v>
      </c>
      <c r="J246" s="97">
        <v>0</v>
      </c>
      <c r="K246" s="97">
        <v>0.04</v>
      </c>
      <c r="L246" s="97">
        <v>0.02</v>
      </c>
      <c r="M246" s="97">
        <v>0.06</v>
      </c>
      <c r="N246" s="97">
        <v>0.02</v>
      </c>
      <c r="O246" s="91">
        <f t="shared" si="40"/>
        <v>0.37000000000000005</v>
      </c>
    </row>
    <row r="247" spans="2:15" x14ac:dyDescent="0.2">
      <c r="B247" s="90" t="s">
        <v>212</v>
      </c>
      <c r="C247" s="97">
        <v>0.51</v>
      </c>
      <c r="D247" s="97">
        <v>0</v>
      </c>
      <c r="E247" s="97">
        <v>0</v>
      </c>
      <c r="F247" s="97">
        <v>7.0000000000000007E-2</v>
      </c>
      <c r="G247" s="97">
        <v>0</v>
      </c>
      <c r="H247" s="97">
        <v>0</v>
      </c>
      <c r="I247" s="97">
        <v>0</v>
      </c>
      <c r="J247" s="97">
        <v>0</v>
      </c>
      <c r="K247" s="97">
        <v>0.01</v>
      </c>
      <c r="L247" s="97">
        <v>0.01</v>
      </c>
      <c r="M247" s="97">
        <v>0</v>
      </c>
      <c r="N247" s="97">
        <v>0</v>
      </c>
      <c r="O247" s="91">
        <f t="shared" si="40"/>
        <v>0.60000000000000009</v>
      </c>
    </row>
    <row r="248" spans="2:15" x14ac:dyDescent="0.2">
      <c r="B248" s="90" t="s">
        <v>213</v>
      </c>
      <c r="C248" s="97">
        <v>0</v>
      </c>
      <c r="D248" s="97">
        <v>0</v>
      </c>
      <c r="E248" s="97">
        <v>0</v>
      </c>
      <c r="F248" s="97">
        <v>0</v>
      </c>
      <c r="G248" s="97">
        <v>0</v>
      </c>
      <c r="H248" s="97">
        <v>0</v>
      </c>
      <c r="I248" s="97">
        <v>0</v>
      </c>
      <c r="J248" s="97">
        <v>0</v>
      </c>
      <c r="K248" s="97">
        <v>0</v>
      </c>
      <c r="L248" s="97">
        <v>0</v>
      </c>
      <c r="M248" s="97">
        <v>0</v>
      </c>
      <c r="N248" s="97">
        <v>0</v>
      </c>
      <c r="O248" s="91">
        <f t="shared" si="40"/>
        <v>0</v>
      </c>
    </row>
    <row r="249" spans="2:15" x14ac:dyDescent="0.2">
      <c r="B249" s="105" t="s">
        <v>214</v>
      </c>
      <c r="C249" s="97">
        <v>0</v>
      </c>
      <c r="D249" s="97">
        <v>0</v>
      </c>
      <c r="E249" s="97">
        <v>0</v>
      </c>
      <c r="F249" s="97">
        <v>0</v>
      </c>
      <c r="G249" s="97">
        <v>0</v>
      </c>
      <c r="H249" s="97">
        <v>0</v>
      </c>
      <c r="I249" s="97">
        <v>0</v>
      </c>
      <c r="J249" s="97">
        <v>0</v>
      </c>
      <c r="K249" s="97">
        <v>0</v>
      </c>
      <c r="L249" s="97">
        <v>0</v>
      </c>
      <c r="M249" s="97">
        <v>0</v>
      </c>
      <c r="N249" s="97">
        <v>0</v>
      </c>
      <c r="O249" s="91">
        <f t="shared" si="40"/>
        <v>0</v>
      </c>
    </row>
    <row r="250" spans="2:15" x14ac:dyDescent="0.2">
      <c r="B250" s="90" t="s">
        <v>215</v>
      </c>
      <c r="C250" s="97">
        <v>0.15</v>
      </c>
      <c r="D250" s="97">
        <v>0</v>
      </c>
      <c r="E250" s="97">
        <v>0</v>
      </c>
      <c r="F250" s="97">
        <v>0.02</v>
      </c>
      <c r="G250" s="97">
        <v>0</v>
      </c>
      <c r="H250" s="97">
        <v>0.04</v>
      </c>
      <c r="I250" s="97">
        <v>0</v>
      </c>
      <c r="J250" s="97">
        <v>0.02</v>
      </c>
      <c r="K250" s="97">
        <v>0.03</v>
      </c>
      <c r="L250" s="97">
        <v>0</v>
      </c>
      <c r="M250" s="97">
        <v>0</v>
      </c>
      <c r="N250" s="97">
        <v>0</v>
      </c>
      <c r="O250" s="91">
        <f t="shared" si="40"/>
        <v>0.26</v>
      </c>
    </row>
    <row r="251" spans="2:15" x14ac:dyDescent="0.2">
      <c r="B251" s="105" t="s">
        <v>216</v>
      </c>
      <c r="C251" s="97">
        <v>0</v>
      </c>
      <c r="D251" s="97">
        <v>0</v>
      </c>
      <c r="E251" s="97">
        <v>0</v>
      </c>
      <c r="F251" s="97">
        <v>0</v>
      </c>
      <c r="G251" s="97">
        <v>0</v>
      </c>
      <c r="H251" s="97">
        <v>0</v>
      </c>
      <c r="I251" s="97">
        <v>0</v>
      </c>
      <c r="J251" s="97">
        <v>0</v>
      </c>
      <c r="K251" s="97">
        <v>0</v>
      </c>
      <c r="L251" s="97">
        <v>0</v>
      </c>
      <c r="M251" s="97">
        <v>0</v>
      </c>
      <c r="N251" s="97">
        <v>0</v>
      </c>
      <c r="O251" s="91">
        <f t="shared" si="40"/>
        <v>0</v>
      </c>
    </row>
    <row r="252" spans="2:15" x14ac:dyDescent="0.2">
      <c r="B252" s="90" t="s">
        <v>217</v>
      </c>
      <c r="C252" s="97">
        <v>16.260000000000002</v>
      </c>
      <c r="D252" s="97">
        <v>18.7</v>
      </c>
      <c r="E252" s="97">
        <v>10.74</v>
      </c>
      <c r="F252" s="97">
        <v>12.93</v>
      </c>
      <c r="G252" s="97">
        <v>12.4</v>
      </c>
      <c r="H252" s="97">
        <v>8.93</v>
      </c>
      <c r="I252" s="97">
        <v>36.78</v>
      </c>
      <c r="J252" s="97">
        <v>27.23</v>
      </c>
      <c r="K252" s="97">
        <v>11.74</v>
      </c>
      <c r="L252" s="97">
        <v>16.809999999999999</v>
      </c>
      <c r="M252" s="97">
        <v>11.9</v>
      </c>
      <c r="N252" s="97">
        <v>10.82</v>
      </c>
      <c r="O252" s="91">
        <f t="shared" si="40"/>
        <v>195.24</v>
      </c>
    </row>
    <row r="253" spans="2:15" x14ac:dyDescent="0.2">
      <c r="B253" s="90" t="s">
        <v>218</v>
      </c>
      <c r="C253" s="97">
        <v>0.34</v>
      </c>
      <c r="D253" s="97">
        <v>0.26</v>
      </c>
      <c r="E253" s="97">
        <v>7.0000000000000007E-2</v>
      </c>
      <c r="F253" s="97">
        <v>0.23</v>
      </c>
      <c r="G253" s="97">
        <v>0.1</v>
      </c>
      <c r="H253" s="97">
        <v>0.06</v>
      </c>
      <c r="I253" s="97">
        <v>0.21</v>
      </c>
      <c r="J253" s="97">
        <v>0.32</v>
      </c>
      <c r="K253" s="97">
        <v>7.0000000000000007E-2</v>
      </c>
      <c r="L253" s="97">
        <v>0.36</v>
      </c>
      <c r="M253" s="97">
        <v>0.16</v>
      </c>
      <c r="N253" s="97">
        <v>0.14000000000000001</v>
      </c>
      <c r="O253" s="91">
        <f t="shared" si="40"/>
        <v>2.3200000000000007</v>
      </c>
    </row>
    <row r="254" spans="2:15" x14ac:dyDescent="0.2">
      <c r="B254" s="90" t="s">
        <v>692</v>
      </c>
      <c r="C254" s="97">
        <v>0</v>
      </c>
      <c r="D254" s="97">
        <v>0</v>
      </c>
      <c r="E254" s="97">
        <v>0</v>
      </c>
      <c r="F254" s="97">
        <v>0</v>
      </c>
      <c r="G254" s="97">
        <v>0</v>
      </c>
      <c r="H254" s="97">
        <v>0.2</v>
      </c>
      <c r="I254" s="97">
        <v>0</v>
      </c>
      <c r="J254" s="97">
        <v>0</v>
      </c>
      <c r="K254" s="97">
        <v>0</v>
      </c>
      <c r="L254" s="97">
        <v>0</v>
      </c>
      <c r="M254" s="97">
        <v>0.03</v>
      </c>
      <c r="N254" s="97">
        <v>0</v>
      </c>
      <c r="O254" s="91">
        <f t="shared" si="40"/>
        <v>0.23</v>
      </c>
    </row>
    <row r="255" spans="2:15" x14ac:dyDescent="0.2">
      <c r="B255" s="90" t="s">
        <v>219</v>
      </c>
      <c r="C255" s="97">
        <v>0</v>
      </c>
      <c r="D255" s="97">
        <v>0</v>
      </c>
      <c r="E255" s="97">
        <v>0</v>
      </c>
      <c r="F255" s="97">
        <v>0</v>
      </c>
      <c r="G255" s="97">
        <v>0</v>
      </c>
      <c r="H255" s="97">
        <v>0</v>
      </c>
      <c r="I255" s="97">
        <v>0</v>
      </c>
      <c r="J255" s="97">
        <v>0</v>
      </c>
      <c r="K255" s="97">
        <v>0</v>
      </c>
      <c r="L255" s="97">
        <v>0</v>
      </c>
      <c r="M255" s="97">
        <v>0.04</v>
      </c>
      <c r="N255" s="97">
        <v>0</v>
      </c>
      <c r="O255" s="91">
        <f t="shared" si="40"/>
        <v>0.04</v>
      </c>
    </row>
    <row r="256" spans="2:15" x14ac:dyDescent="0.2">
      <c r="B256" s="90" t="s">
        <v>220</v>
      </c>
      <c r="C256" s="97">
        <v>12.25</v>
      </c>
      <c r="D256" s="97">
        <v>1.03</v>
      </c>
      <c r="E256" s="97">
        <v>3.49</v>
      </c>
      <c r="F256" s="97">
        <v>12.97</v>
      </c>
      <c r="G256" s="97">
        <v>2.73</v>
      </c>
      <c r="H256" s="97">
        <v>8.2100000000000009</v>
      </c>
      <c r="I256" s="97">
        <v>10.039999999999999</v>
      </c>
      <c r="J256" s="97">
        <v>3.47</v>
      </c>
      <c r="K256" s="97">
        <v>9.0500000000000007</v>
      </c>
      <c r="L256" s="97">
        <v>1.27</v>
      </c>
      <c r="M256" s="97">
        <v>29.26</v>
      </c>
      <c r="N256" s="97">
        <v>14.6</v>
      </c>
      <c r="O256" s="91">
        <f t="shared" si="40"/>
        <v>108.36999999999999</v>
      </c>
    </row>
    <row r="257" spans="1:15" x14ac:dyDescent="0.2">
      <c r="B257" s="90" t="s">
        <v>221</v>
      </c>
      <c r="C257" s="97">
        <v>4.3099999999999996</v>
      </c>
      <c r="D257" s="97">
        <v>2.93</v>
      </c>
      <c r="E257" s="97">
        <v>2.93</v>
      </c>
      <c r="F257" s="97">
        <v>1.73</v>
      </c>
      <c r="G257" s="97">
        <v>1.87</v>
      </c>
      <c r="H257" s="97">
        <v>2.1800000000000002</v>
      </c>
      <c r="I257" s="97">
        <v>2.79</v>
      </c>
      <c r="J257" s="97">
        <v>1.27</v>
      </c>
      <c r="K257" s="97">
        <v>1.58</v>
      </c>
      <c r="L257" s="97">
        <v>1.86</v>
      </c>
      <c r="M257" s="97">
        <v>1.75</v>
      </c>
      <c r="N257" s="97">
        <v>0.77</v>
      </c>
      <c r="O257" s="91">
        <f t="shared" si="40"/>
        <v>25.969999999999995</v>
      </c>
    </row>
    <row r="258" spans="1:15" x14ac:dyDescent="0.2">
      <c r="C258" s="97"/>
      <c r="D258" s="97"/>
      <c r="E258" s="97"/>
      <c r="F258" s="97"/>
      <c r="G258" s="97"/>
      <c r="H258" s="97"/>
      <c r="I258" s="97"/>
      <c r="J258" s="97"/>
      <c r="K258" s="97"/>
      <c r="L258" s="97"/>
      <c r="M258" s="97"/>
      <c r="N258" s="97"/>
    </row>
    <row r="259" spans="1:15" ht="15" x14ac:dyDescent="0.25">
      <c r="B259" s="89" t="s">
        <v>222</v>
      </c>
      <c r="C259" s="111">
        <f>C9+C38+C47+C64+C67+C72+C76+C87+C101+C106+C113+C119+C126+C136+C139+C146+C160+C182+C186+C192+C201+C211</f>
        <v>5785.13</v>
      </c>
      <c r="D259" s="111">
        <f>D9+D38+D47+D64+D67+D72+D76+D87+D101+D106+D113+D119+D126+D136+D139+D146+D160+D182+D186+D192+D201+D211-1192</f>
        <v>3244.6499999999996</v>
      </c>
      <c r="E259" s="111">
        <f t="shared" ref="E259:O259" si="41">E9+E38+E47+E64+E67+E72+E76+E87+E101+E106+E113+E119+E126+E136+E139+E146+E160+E182+E186+E192+E201+E211</f>
        <v>4493.4800000000005</v>
      </c>
      <c r="F259" s="111">
        <f t="shared" si="41"/>
        <v>4102.3999999999996</v>
      </c>
      <c r="G259" s="111">
        <f t="shared" si="41"/>
        <v>3439.4599999999996</v>
      </c>
      <c r="H259" s="111">
        <f t="shared" si="41"/>
        <v>3317.7900000000009</v>
      </c>
      <c r="I259" s="111">
        <f t="shared" si="41"/>
        <v>5289.97</v>
      </c>
      <c r="J259" s="111">
        <f t="shared" si="41"/>
        <v>4881.18</v>
      </c>
      <c r="K259" s="111">
        <f t="shared" si="41"/>
        <v>5044.53</v>
      </c>
      <c r="L259" s="111">
        <f t="shared" si="41"/>
        <v>7325.9299999999994</v>
      </c>
      <c r="M259" s="111">
        <f t="shared" si="41"/>
        <v>3465.13</v>
      </c>
      <c r="N259" s="111">
        <f t="shared" si="41"/>
        <v>5009.2800000000007</v>
      </c>
      <c r="O259" s="111">
        <f t="shared" si="41"/>
        <v>55398.929999999993</v>
      </c>
    </row>
    <row r="260" spans="1:15" ht="12.75" customHeight="1" x14ac:dyDescent="0.2">
      <c r="A260" s="112" t="s">
        <v>223</v>
      </c>
    </row>
    <row r="261" spans="1:15" ht="12.75" customHeight="1" x14ac:dyDescent="0.2">
      <c r="A261" s="163" t="s">
        <v>224</v>
      </c>
      <c r="B261" s="163"/>
      <c r="C261" s="163"/>
      <c r="D261" s="163"/>
      <c r="E261" s="163"/>
      <c r="F261" s="165"/>
      <c r="G261" s="162"/>
      <c r="H261" s="162"/>
      <c r="I261" s="162"/>
    </row>
    <row r="262" spans="1:15" ht="12.75" customHeight="1" x14ac:dyDescent="0.2">
      <c r="A262" s="312" t="s">
        <v>693</v>
      </c>
      <c r="B262" s="312"/>
      <c r="C262" s="312"/>
      <c r="D262" s="312"/>
      <c r="E262" s="312"/>
      <c r="F262" s="312"/>
      <c r="G262" s="312"/>
      <c r="H262" s="312"/>
      <c r="I262" s="312"/>
    </row>
    <row r="263" spans="1:15" ht="12.75" customHeight="1" x14ac:dyDescent="0.2">
      <c r="A263" s="163" t="s">
        <v>225</v>
      </c>
      <c r="B263" s="162"/>
      <c r="C263" s="162"/>
      <c r="D263" s="162"/>
      <c r="E263" s="162"/>
      <c r="F263" s="162"/>
      <c r="G263" s="162"/>
      <c r="H263" s="162"/>
      <c r="I263" s="162"/>
    </row>
    <row r="264" spans="1:15" ht="12.75" customHeight="1" x14ac:dyDescent="0.2"/>
    <row r="265" spans="1:15" ht="12" customHeight="1" x14ac:dyDescent="0.2">
      <c r="B265" s="92"/>
    </row>
    <row r="266" spans="1:15" ht="12" customHeight="1" x14ac:dyDescent="0.2">
      <c r="C266" s="91"/>
      <c r="D266" s="91"/>
      <c r="E266" s="91"/>
      <c r="F266" s="91"/>
      <c r="G266" s="91"/>
      <c r="H266" s="91"/>
      <c r="I266" s="91"/>
      <c r="J266" s="91"/>
      <c r="K266" s="91"/>
      <c r="L266" s="91"/>
      <c r="M266" s="91"/>
      <c r="N266" s="91"/>
    </row>
    <row r="267" spans="1:15" ht="12" customHeight="1" x14ac:dyDescent="0.2">
      <c r="A267" s="92" t="s">
        <v>226</v>
      </c>
    </row>
    <row r="268" spans="1:15" ht="12" customHeight="1" x14ac:dyDescent="0.2">
      <c r="A268" s="303"/>
      <c r="B268" s="303"/>
    </row>
  </sheetData>
  <mergeCells count="4">
    <mergeCell ref="A3:C3"/>
    <mergeCell ref="A6:B7"/>
    <mergeCell ref="A262:I262"/>
    <mergeCell ref="A268:B268"/>
  </mergeCells>
  <printOptions horizontalCentered="1"/>
  <pageMargins left="0.15748031496062992" right="0.15748031496062992" top="0.74803149606299213" bottom="0.74803149606299213" header="0.31496062992125984" footer="0.31496062992125984"/>
  <pageSetup paperSize="9" scale="50" orientation="portrait" r:id="rId1"/>
  <headerFooter alignWithMargins="0">
    <oddHeader>Page &amp;P&amp;R&amp;F</oddHeader>
  </headerFooter>
  <rowBreaks count="2" manualBreakCount="2">
    <brk id="99" max="14" man="1"/>
    <brk id="190"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5"/>
  <sheetViews>
    <sheetView zoomScaleNormal="100" workbookViewId="0">
      <pane xSplit="2" ySplit="7" topLeftCell="C127" activePane="bottomRight" state="frozen"/>
      <selection pane="topRight" activeCell="C1" sqref="C1"/>
      <selection pane="bottomLeft" activeCell="A8" sqref="A8"/>
      <selection pane="bottomRight" activeCell="P138" sqref="P138"/>
    </sheetView>
  </sheetViews>
  <sheetFormatPr defaultColWidth="9.140625" defaultRowHeight="14.25" x14ac:dyDescent="0.2"/>
  <cols>
    <col min="1" max="1" width="2.140625" style="90" customWidth="1"/>
    <col min="2" max="2" width="61.140625" style="90" customWidth="1"/>
    <col min="3" max="14" width="11.42578125" style="90" customWidth="1"/>
    <col min="15" max="15" width="11.42578125" style="91" customWidth="1"/>
    <col min="16" max="16384" width="9.140625" style="90"/>
  </cols>
  <sheetData>
    <row r="1" spans="1:15" ht="15.75" customHeight="1" x14ac:dyDescent="0.25">
      <c r="A1" s="89" t="s">
        <v>0</v>
      </c>
      <c r="B1" s="89"/>
      <c r="C1" s="89"/>
      <c r="D1" s="89"/>
      <c r="E1" s="89"/>
      <c r="F1" s="89"/>
      <c r="G1" s="89"/>
      <c r="H1" s="89"/>
      <c r="I1" s="89"/>
      <c r="J1" s="89"/>
      <c r="K1" s="89"/>
      <c r="L1" s="89"/>
      <c r="M1" s="89"/>
      <c r="N1" s="89"/>
    </row>
    <row r="2" spans="1:15" ht="16.5" customHeight="1" x14ac:dyDescent="0.25">
      <c r="A2" s="89" t="s">
        <v>1</v>
      </c>
      <c r="B2" s="89"/>
      <c r="C2" s="89"/>
      <c r="D2" s="89"/>
      <c r="E2" s="89"/>
      <c r="F2" s="89"/>
      <c r="G2" s="89"/>
      <c r="H2" s="89"/>
      <c r="I2" s="89"/>
      <c r="J2" s="89"/>
      <c r="K2" s="89"/>
      <c r="L2" s="89"/>
      <c r="M2" s="89"/>
      <c r="N2" s="89"/>
    </row>
    <row r="3" spans="1:15" ht="13.5" customHeight="1" x14ac:dyDescent="0.25">
      <c r="A3" s="300" t="s">
        <v>664</v>
      </c>
      <c r="B3" s="300"/>
      <c r="C3" s="300"/>
      <c r="D3" s="113"/>
      <c r="E3" s="113"/>
      <c r="F3" s="113"/>
      <c r="G3" s="113"/>
      <c r="H3" s="113"/>
      <c r="I3" s="113"/>
      <c r="J3" s="113"/>
      <c r="K3" s="113"/>
      <c r="L3" s="113"/>
      <c r="M3" s="113"/>
      <c r="N3" s="113"/>
    </row>
    <row r="4" spans="1:15" x14ac:dyDescent="0.2">
      <c r="A4" s="90" t="s">
        <v>3</v>
      </c>
    </row>
    <row r="5" spans="1:15" x14ac:dyDescent="0.2">
      <c r="A5" s="92" t="s">
        <v>677</v>
      </c>
    </row>
    <row r="6" spans="1:15" ht="12.75" customHeight="1" x14ac:dyDescent="0.2">
      <c r="A6" s="301" t="s">
        <v>5</v>
      </c>
      <c r="B6" s="301"/>
      <c r="C6" s="155" t="s">
        <v>6</v>
      </c>
      <c r="D6" s="155" t="s">
        <v>6</v>
      </c>
      <c r="E6" s="155" t="s">
        <v>6</v>
      </c>
      <c r="F6" s="155" t="s">
        <v>6</v>
      </c>
      <c r="G6" s="155" t="s">
        <v>6</v>
      </c>
      <c r="H6" s="155" t="s">
        <v>6</v>
      </c>
      <c r="I6" s="155" t="s">
        <v>6</v>
      </c>
      <c r="J6" s="155" t="s">
        <v>6</v>
      </c>
      <c r="K6" s="155" t="s">
        <v>6</v>
      </c>
      <c r="L6" s="155" t="s">
        <v>6</v>
      </c>
      <c r="M6" s="155" t="s">
        <v>6</v>
      </c>
      <c r="N6" s="155" t="s">
        <v>6</v>
      </c>
      <c r="O6" s="157" t="s">
        <v>6</v>
      </c>
    </row>
    <row r="7" spans="1:15" ht="12.75" customHeight="1" thickBot="1" x14ac:dyDescent="0.25">
      <c r="A7" s="302"/>
      <c r="B7" s="302"/>
      <c r="C7" s="158" t="s">
        <v>7</v>
      </c>
      <c r="D7" s="158" t="s">
        <v>8</v>
      </c>
      <c r="E7" s="158" t="s">
        <v>9</v>
      </c>
      <c r="F7" s="158" t="s">
        <v>10</v>
      </c>
      <c r="G7" s="158" t="s">
        <v>11</v>
      </c>
      <c r="H7" s="158" t="s">
        <v>235</v>
      </c>
      <c r="I7" s="158" t="s">
        <v>236</v>
      </c>
      <c r="J7" s="158" t="s">
        <v>14</v>
      </c>
      <c r="K7" s="158" t="s">
        <v>237</v>
      </c>
      <c r="L7" s="158" t="s">
        <v>16</v>
      </c>
      <c r="M7" s="158" t="s">
        <v>17</v>
      </c>
      <c r="N7" s="158" t="s">
        <v>18</v>
      </c>
      <c r="O7" s="161" t="s">
        <v>19</v>
      </c>
    </row>
    <row r="8" spans="1:15" ht="12.75" customHeight="1" thickTop="1" x14ac:dyDescent="0.25">
      <c r="A8" s="93"/>
      <c r="B8" s="93"/>
      <c r="C8" s="93"/>
      <c r="D8" s="93"/>
      <c r="E8" s="93"/>
      <c r="F8" s="93"/>
      <c r="G8" s="93"/>
      <c r="H8" s="93"/>
      <c r="I8" s="93"/>
      <c r="J8" s="93"/>
      <c r="K8" s="93"/>
      <c r="L8" s="93"/>
      <c r="M8" s="93"/>
      <c r="N8" s="93"/>
    </row>
    <row r="9" spans="1:15" s="95" customFormat="1" ht="15" x14ac:dyDescent="0.25">
      <c r="A9" s="94" t="s">
        <v>20</v>
      </c>
      <c r="C9" s="96">
        <v>363.37000000000012</v>
      </c>
      <c r="D9" s="96">
        <v>978.20999999999992</v>
      </c>
      <c r="E9" s="96">
        <v>188.50000000000003</v>
      </c>
      <c r="F9" s="96">
        <v>490.24000000000007</v>
      </c>
      <c r="G9" s="96">
        <v>246.12</v>
      </c>
      <c r="H9" s="96">
        <v>313</v>
      </c>
      <c r="I9" s="96">
        <v>622.29</v>
      </c>
      <c r="J9" s="96">
        <v>748.71</v>
      </c>
      <c r="K9" s="96">
        <v>408.99</v>
      </c>
      <c r="L9" s="19">
        <v>2762.47</v>
      </c>
      <c r="M9" s="96">
        <v>645.01</v>
      </c>
      <c r="N9" s="96">
        <v>449.69000000000005</v>
      </c>
      <c r="O9" s="69">
        <v>8216.6</v>
      </c>
    </row>
    <row r="10" spans="1:15" x14ac:dyDescent="0.2">
      <c r="B10" s="90" t="s">
        <v>21</v>
      </c>
      <c r="C10" s="97">
        <v>0.34</v>
      </c>
      <c r="D10" s="97">
        <v>8.17</v>
      </c>
      <c r="E10" s="97">
        <v>0.32</v>
      </c>
      <c r="F10" s="97">
        <v>0.75</v>
      </c>
      <c r="G10" s="97">
        <v>0.23</v>
      </c>
      <c r="H10" s="97">
        <v>6.21</v>
      </c>
      <c r="I10" s="97">
        <v>0.18</v>
      </c>
      <c r="J10" s="97">
        <v>1.1399999999999999</v>
      </c>
      <c r="K10" s="97">
        <v>1.54</v>
      </c>
      <c r="L10" s="97">
        <v>0.93</v>
      </c>
      <c r="M10" s="97">
        <v>0.47</v>
      </c>
      <c r="N10" s="97">
        <v>0.59</v>
      </c>
      <c r="O10" s="91">
        <v>20.869999999999997</v>
      </c>
    </row>
    <row r="11" spans="1:15" x14ac:dyDescent="0.2">
      <c r="B11" s="90" t="s">
        <v>22</v>
      </c>
      <c r="C11" s="97">
        <v>9.7200000000000006</v>
      </c>
      <c r="D11" s="97">
        <v>20.95</v>
      </c>
      <c r="E11" s="97">
        <v>7.58</v>
      </c>
      <c r="F11" s="97">
        <v>36.270000000000003</v>
      </c>
      <c r="G11" s="97">
        <v>8.0399999999999991</v>
      </c>
      <c r="H11" s="97">
        <v>7.27</v>
      </c>
      <c r="I11" s="97">
        <v>20.010000000000002</v>
      </c>
      <c r="J11" s="97">
        <v>8.52</v>
      </c>
      <c r="K11" s="97">
        <v>11.71</v>
      </c>
      <c r="L11" s="97">
        <v>11.1</v>
      </c>
      <c r="M11" s="97">
        <v>6.49</v>
      </c>
      <c r="N11" s="97">
        <v>6.12</v>
      </c>
      <c r="O11" s="91">
        <v>153.78</v>
      </c>
    </row>
    <row r="12" spans="1:15" x14ac:dyDescent="0.2">
      <c r="B12" s="90" t="s">
        <v>23</v>
      </c>
      <c r="C12" s="97">
        <v>0</v>
      </c>
      <c r="D12" s="97">
        <v>0</v>
      </c>
      <c r="E12" s="97">
        <v>0</v>
      </c>
      <c r="F12" s="97">
        <v>0</v>
      </c>
      <c r="G12" s="97">
        <v>0.01</v>
      </c>
      <c r="H12" s="97">
        <v>0</v>
      </c>
      <c r="I12" s="97">
        <v>0</v>
      </c>
      <c r="J12" s="97">
        <v>0</v>
      </c>
      <c r="K12" s="97">
        <v>0</v>
      </c>
      <c r="L12" s="97">
        <v>0</v>
      </c>
      <c r="M12" s="97">
        <v>0.01</v>
      </c>
      <c r="N12" s="97">
        <v>0</v>
      </c>
      <c r="O12" s="91">
        <v>0.02</v>
      </c>
    </row>
    <row r="13" spans="1:15" x14ac:dyDescent="0.2">
      <c r="B13" s="90" t="s">
        <v>24</v>
      </c>
      <c r="C13" s="97">
        <v>3.4</v>
      </c>
      <c r="D13" s="97">
        <v>2.2799999999999998</v>
      </c>
      <c r="E13" s="97">
        <v>1.43</v>
      </c>
      <c r="F13" s="97">
        <v>0.99</v>
      </c>
      <c r="G13" s="97">
        <v>2.36</v>
      </c>
      <c r="H13" s="97">
        <v>2.27</v>
      </c>
      <c r="I13" s="97">
        <v>1.52</v>
      </c>
      <c r="J13" s="97">
        <v>1.69</v>
      </c>
      <c r="K13" s="97">
        <v>1.6</v>
      </c>
      <c r="L13" s="97">
        <v>1.41</v>
      </c>
      <c r="M13" s="97">
        <v>2.36</v>
      </c>
      <c r="N13" s="97">
        <v>0.7</v>
      </c>
      <c r="O13" s="91">
        <v>22.009999999999998</v>
      </c>
    </row>
    <row r="14" spans="1:15" x14ac:dyDescent="0.2">
      <c r="B14" s="90" t="s">
        <v>25</v>
      </c>
      <c r="C14" s="97">
        <v>2.1800000000000002</v>
      </c>
      <c r="D14" s="97">
        <v>3.19</v>
      </c>
      <c r="E14" s="97">
        <v>1.74</v>
      </c>
      <c r="F14" s="97">
        <v>2.4</v>
      </c>
      <c r="G14" s="97">
        <v>2.83</v>
      </c>
      <c r="H14" s="97">
        <v>3.03</v>
      </c>
      <c r="I14" s="97">
        <v>4.1500000000000004</v>
      </c>
      <c r="J14" s="97">
        <v>5.62</v>
      </c>
      <c r="K14" s="97">
        <v>5.5</v>
      </c>
      <c r="L14" s="97">
        <v>8.84</v>
      </c>
      <c r="M14" s="97">
        <v>18.96</v>
      </c>
      <c r="N14" s="97">
        <v>13.01</v>
      </c>
      <c r="O14" s="91">
        <v>71.45</v>
      </c>
    </row>
    <row r="15" spans="1:15" x14ac:dyDescent="0.2">
      <c r="B15" s="90" t="s">
        <v>26</v>
      </c>
      <c r="C15" s="97">
        <v>6.43</v>
      </c>
      <c r="D15" s="97">
        <v>11.73</v>
      </c>
      <c r="E15" s="97">
        <v>2.81</v>
      </c>
      <c r="F15" s="97">
        <v>11.45</v>
      </c>
      <c r="G15" s="97">
        <v>7.49</v>
      </c>
      <c r="H15" s="97">
        <v>6.95</v>
      </c>
      <c r="I15" s="97">
        <v>7.81</v>
      </c>
      <c r="J15" s="97">
        <v>11.86</v>
      </c>
      <c r="K15" s="97">
        <v>16.5</v>
      </c>
      <c r="L15" s="97">
        <v>723.6</v>
      </c>
      <c r="M15" s="97">
        <v>29.06</v>
      </c>
      <c r="N15" s="97">
        <v>0.8</v>
      </c>
      <c r="O15" s="91">
        <v>836.4899999999999</v>
      </c>
    </row>
    <row r="16" spans="1:15" x14ac:dyDescent="0.2">
      <c r="B16" s="90" t="s">
        <v>27</v>
      </c>
      <c r="C16" s="97">
        <v>2.12</v>
      </c>
      <c r="D16" s="97">
        <v>3.94</v>
      </c>
      <c r="E16" s="97">
        <v>2.9</v>
      </c>
      <c r="F16" s="97">
        <v>3.77</v>
      </c>
      <c r="G16" s="97">
        <v>3.65</v>
      </c>
      <c r="H16" s="97">
        <v>1.87</v>
      </c>
      <c r="I16" s="97">
        <v>4.5</v>
      </c>
      <c r="J16" s="97">
        <v>1.53</v>
      </c>
      <c r="K16" s="97">
        <v>2.2200000000000002</v>
      </c>
      <c r="L16" s="97">
        <v>1.96</v>
      </c>
      <c r="M16" s="97">
        <v>3.02</v>
      </c>
      <c r="N16" s="97">
        <v>0.03</v>
      </c>
      <c r="O16" s="91">
        <v>31.51</v>
      </c>
    </row>
    <row r="17" spans="2:15" x14ac:dyDescent="0.2">
      <c r="B17" s="90" t="s">
        <v>28</v>
      </c>
      <c r="C17" s="97">
        <v>0.43</v>
      </c>
      <c r="D17" s="97">
        <v>0.2</v>
      </c>
      <c r="E17" s="97">
        <v>0.33</v>
      </c>
      <c r="F17" s="97">
        <v>1.64</v>
      </c>
      <c r="G17" s="97">
        <v>7.0000000000000007E-2</v>
      </c>
      <c r="H17" s="97">
        <v>0</v>
      </c>
      <c r="I17" s="97">
        <v>0.23</v>
      </c>
      <c r="J17" s="97">
        <v>1.41</v>
      </c>
      <c r="K17" s="97">
        <v>2.89</v>
      </c>
      <c r="L17" s="97">
        <v>0.43</v>
      </c>
      <c r="M17" s="97">
        <v>0.81</v>
      </c>
      <c r="N17" s="97">
        <v>1.55</v>
      </c>
      <c r="O17" s="91">
        <v>9.99</v>
      </c>
    </row>
    <row r="18" spans="2:15" x14ac:dyDescent="0.2">
      <c r="B18" s="90" t="s">
        <v>29</v>
      </c>
      <c r="C18" s="97">
        <v>0.01</v>
      </c>
      <c r="D18" s="97">
        <v>0</v>
      </c>
      <c r="E18" s="97">
        <v>0</v>
      </c>
      <c r="F18" s="97">
        <v>0</v>
      </c>
      <c r="G18" s="97">
        <v>0</v>
      </c>
      <c r="H18" s="97">
        <v>0</v>
      </c>
      <c r="I18" s="97">
        <v>0</v>
      </c>
      <c r="J18" s="97">
        <v>0</v>
      </c>
      <c r="K18" s="97">
        <v>0.01</v>
      </c>
      <c r="L18" s="97">
        <v>0</v>
      </c>
      <c r="M18" s="97">
        <v>0</v>
      </c>
      <c r="N18" s="97">
        <v>0</v>
      </c>
      <c r="O18" s="91">
        <v>0.02</v>
      </c>
    </row>
    <row r="19" spans="2:15" x14ac:dyDescent="0.2">
      <c r="B19" s="90" t="s">
        <v>30</v>
      </c>
      <c r="C19" s="97">
        <v>0</v>
      </c>
      <c r="D19" s="97">
        <v>0</v>
      </c>
      <c r="E19" s="97">
        <v>0</v>
      </c>
      <c r="F19" s="97">
        <v>0</v>
      </c>
      <c r="G19" s="97">
        <v>0</v>
      </c>
      <c r="H19" s="97">
        <v>0</v>
      </c>
      <c r="I19" s="97">
        <v>0</v>
      </c>
      <c r="J19" s="97">
        <v>0</v>
      </c>
      <c r="K19" s="97">
        <v>0</v>
      </c>
      <c r="L19" s="97">
        <v>0.76</v>
      </c>
      <c r="M19" s="97">
        <v>0.02</v>
      </c>
      <c r="N19" s="97">
        <v>0.52</v>
      </c>
      <c r="O19" s="91">
        <v>1.3</v>
      </c>
    </row>
    <row r="20" spans="2:15" x14ac:dyDescent="0.2">
      <c r="B20" s="90" t="s">
        <v>31</v>
      </c>
      <c r="C20" s="97">
        <v>0.06</v>
      </c>
      <c r="D20" s="97">
        <v>0.02</v>
      </c>
      <c r="E20" s="97">
        <v>0.01</v>
      </c>
      <c r="F20" s="97">
        <v>0.03</v>
      </c>
      <c r="G20" s="97">
        <v>0.1</v>
      </c>
      <c r="H20" s="97">
        <v>0.05</v>
      </c>
      <c r="I20" s="97">
        <v>0.04</v>
      </c>
      <c r="J20" s="97">
        <v>0.04</v>
      </c>
      <c r="K20" s="97">
        <v>0.03</v>
      </c>
      <c r="L20" s="97">
        <v>0.06</v>
      </c>
      <c r="M20" s="97">
        <v>0.02</v>
      </c>
      <c r="N20" s="97">
        <v>0</v>
      </c>
      <c r="O20" s="91">
        <v>0.46</v>
      </c>
    </row>
    <row r="21" spans="2:15" x14ac:dyDescent="0.2">
      <c r="B21" s="90" t="s">
        <v>32</v>
      </c>
      <c r="C21" s="97">
        <v>0</v>
      </c>
      <c r="D21" s="97">
        <v>0</v>
      </c>
      <c r="E21" s="97">
        <v>0</v>
      </c>
      <c r="F21" s="97">
        <v>0</v>
      </c>
      <c r="G21" s="97">
        <v>0</v>
      </c>
      <c r="H21" s="97">
        <v>0</v>
      </c>
      <c r="I21" s="97">
        <v>0.15</v>
      </c>
      <c r="J21" s="97">
        <v>0</v>
      </c>
      <c r="K21" s="97">
        <v>0</v>
      </c>
      <c r="L21" s="97">
        <v>0</v>
      </c>
      <c r="M21" s="97">
        <v>0</v>
      </c>
      <c r="N21" s="97">
        <v>0</v>
      </c>
      <c r="O21" s="91">
        <v>0.15</v>
      </c>
    </row>
    <row r="22" spans="2:15" x14ac:dyDescent="0.2">
      <c r="B22" s="90" t="s">
        <v>33</v>
      </c>
      <c r="C22" s="97">
        <v>0</v>
      </c>
      <c r="D22" s="97">
        <v>0</v>
      </c>
      <c r="E22" s="97">
        <v>0</v>
      </c>
      <c r="F22" s="97">
        <v>0</v>
      </c>
      <c r="G22" s="97">
        <v>0</v>
      </c>
      <c r="H22" s="97">
        <v>0</v>
      </c>
      <c r="I22" s="97">
        <v>0</v>
      </c>
      <c r="J22" s="97">
        <v>0</v>
      </c>
      <c r="K22" s="97">
        <v>0</v>
      </c>
      <c r="L22" s="97">
        <v>0</v>
      </c>
      <c r="M22" s="97">
        <v>0</v>
      </c>
      <c r="N22" s="97">
        <v>0</v>
      </c>
      <c r="O22" s="91">
        <v>0</v>
      </c>
    </row>
    <row r="23" spans="2:15" x14ac:dyDescent="0.2">
      <c r="B23" s="90" t="s">
        <v>34</v>
      </c>
      <c r="C23" s="97">
        <v>0</v>
      </c>
      <c r="D23" s="97">
        <v>0</v>
      </c>
      <c r="E23" s="97">
        <v>0</v>
      </c>
      <c r="F23" s="97">
        <v>0</v>
      </c>
      <c r="G23" s="97">
        <v>0</v>
      </c>
      <c r="H23" s="97">
        <v>0</v>
      </c>
      <c r="I23" s="97">
        <v>0</v>
      </c>
      <c r="J23" s="97">
        <v>0</v>
      </c>
      <c r="K23" s="97">
        <v>0</v>
      </c>
      <c r="L23" s="97">
        <v>0</v>
      </c>
      <c r="M23" s="97">
        <v>0</v>
      </c>
      <c r="N23" s="97">
        <v>0</v>
      </c>
      <c r="O23" s="91">
        <v>0</v>
      </c>
    </row>
    <row r="24" spans="2:15" x14ac:dyDescent="0.2">
      <c r="B24" s="90" t="s">
        <v>35</v>
      </c>
      <c r="C24" s="97">
        <v>7.0000000000000007E-2</v>
      </c>
      <c r="D24" s="97">
        <v>0.38</v>
      </c>
      <c r="E24" s="97">
        <v>0.17</v>
      </c>
      <c r="F24" s="97">
        <v>0.26</v>
      </c>
      <c r="G24" s="97">
        <v>0.19</v>
      </c>
      <c r="H24" s="97">
        <v>0.18</v>
      </c>
      <c r="I24" s="97">
        <v>0.32</v>
      </c>
      <c r="J24" s="97">
        <v>0.38</v>
      </c>
      <c r="K24" s="97">
        <v>0.2</v>
      </c>
      <c r="L24" s="97">
        <v>0.48</v>
      </c>
      <c r="M24" s="97">
        <v>0.24</v>
      </c>
      <c r="N24" s="97">
        <v>0.16</v>
      </c>
      <c r="O24" s="91">
        <v>3.0300000000000002</v>
      </c>
    </row>
    <row r="25" spans="2:15" s="101" customFormat="1" x14ac:dyDescent="0.2">
      <c r="B25" s="101" t="s">
        <v>36</v>
      </c>
      <c r="C25" s="97">
        <v>0.15</v>
      </c>
      <c r="D25" s="97">
        <v>0.09</v>
      </c>
      <c r="E25" s="97">
        <v>0.2</v>
      </c>
      <c r="F25" s="97">
        <v>0.21</v>
      </c>
      <c r="G25" s="97">
        <v>0.14000000000000001</v>
      </c>
      <c r="H25" s="97">
        <v>0.34</v>
      </c>
      <c r="I25" s="97">
        <v>0.13</v>
      </c>
      <c r="J25" s="97">
        <v>0.26</v>
      </c>
      <c r="K25" s="97">
        <v>0.18</v>
      </c>
      <c r="L25" s="97">
        <v>0.28000000000000003</v>
      </c>
      <c r="M25" s="97">
        <v>0.31</v>
      </c>
      <c r="N25" s="97">
        <v>0.18</v>
      </c>
      <c r="O25" s="91">
        <v>2.4700000000000002</v>
      </c>
    </row>
    <row r="26" spans="2:15" x14ac:dyDescent="0.2">
      <c r="B26" s="90" t="s">
        <v>37</v>
      </c>
      <c r="C26" s="97">
        <v>270.47000000000003</v>
      </c>
      <c r="D26" s="97">
        <v>868.14</v>
      </c>
      <c r="E26" s="97">
        <v>144.81</v>
      </c>
      <c r="F26" s="97">
        <v>398.93</v>
      </c>
      <c r="G26" s="97">
        <v>191.93</v>
      </c>
      <c r="H26" s="97">
        <v>227.45</v>
      </c>
      <c r="I26" s="97">
        <v>426.86</v>
      </c>
      <c r="J26" s="97">
        <v>577.48</v>
      </c>
      <c r="K26" s="97">
        <v>279.62</v>
      </c>
      <c r="L26" s="114">
        <v>1936.97</v>
      </c>
      <c r="M26" s="97">
        <v>517.51</v>
      </c>
      <c r="N26" s="97">
        <v>372.89</v>
      </c>
      <c r="O26" s="91">
        <v>6213.06</v>
      </c>
    </row>
    <row r="27" spans="2:15" x14ac:dyDescent="0.2">
      <c r="B27" s="90" t="s">
        <v>38</v>
      </c>
      <c r="C27" s="97">
        <v>1.49</v>
      </c>
      <c r="D27" s="97">
        <v>1.37</v>
      </c>
      <c r="E27" s="97">
        <v>0.73</v>
      </c>
      <c r="F27" s="97">
        <v>2.48</v>
      </c>
      <c r="G27" s="97">
        <v>1.17</v>
      </c>
      <c r="H27" s="97">
        <v>2.37</v>
      </c>
      <c r="I27" s="97">
        <v>2.78</v>
      </c>
      <c r="J27" s="97">
        <v>3.03</v>
      </c>
      <c r="K27" s="97">
        <v>1.27</v>
      </c>
      <c r="L27" s="97">
        <v>2.54</v>
      </c>
      <c r="M27" s="97">
        <v>2.04</v>
      </c>
      <c r="N27" s="97">
        <v>1.98</v>
      </c>
      <c r="O27" s="91">
        <v>23.249999999999996</v>
      </c>
    </row>
    <row r="28" spans="2:15" x14ac:dyDescent="0.2">
      <c r="B28" s="90" t="s">
        <v>39</v>
      </c>
      <c r="C28" s="97">
        <v>7.29</v>
      </c>
      <c r="D28" s="97">
        <v>9.23</v>
      </c>
      <c r="E28" s="97">
        <v>4.03</v>
      </c>
      <c r="F28" s="97">
        <v>5.35</v>
      </c>
      <c r="G28" s="97">
        <v>4.29</v>
      </c>
      <c r="H28" s="97">
        <v>4.47</v>
      </c>
      <c r="I28" s="97">
        <v>4.9400000000000004</v>
      </c>
      <c r="J28" s="97">
        <v>4.12</v>
      </c>
      <c r="K28" s="97">
        <v>3.6</v>
      </c>
      <c r="L28" s="97">
        <v>3.15</v>
      </c>
      <c r="M28" s="97">
        <v>4.21</v>
      </c>
      <c r="N28" s="97">
        <v>0</v>
      </c>
      <c r="O28" s="91">
        <v>54.679999999999993</v>
      </c>
    </row>
    <row r="29" spans="2:15" x14ac:dyDescent="0.2">
      <c r="B29" s="90" t="s">
        <v>40</v>
      </c>
      <c r="C29" s="97">
        <v>0</v>
      </c>
      <c r="D29" s="97">
        <v>0</v>
      </c>
      <c r="E29" s="97">
        <v>0</v>
      </c>
      <c r="F29" s="97">
        <v>0</v>
      </c>
      <c r="G29" s="97">
        <v>0</v>
      </c>
      <c r="H29" s="97">
        <v>0</v>
      </c>
      <c r="I29" s="97">
        <v>0</v>
      </c>
      <c r="J29" s="97">
        <v>0</v>
      </c>
      <c r="K29" s="97">
        <v>0</v>
      </c>
      <c r="L29" s="97">
        <v>0</v>
      </c>
      <c r="M29" s="97">
        <v>0</v>
      </c>
      <c r="N29" s="97">
        <v>0</v>
      </c>
      <c r="O29" s="91">
        <v>0</v>
      </c>
    </row>
    <row r="30" spans="2:15" x14ac:dyDescent="0.2">
      <c r="B30" s="90" t="s">
        <v>41</v>
      </c>
      <c r="C30" s="97">
        <v>58.6</v>
      </c>
      <c r="D30" s="97">
        <v>47.31</v>
      </c>
      <c r="E30" s="97">
        <v>20.149999999999999</v>
      </c>
      <c r="F30" s="97">
        <v>25.03</v>
      </c>
      <c r="G30" s="97">
        <v>22.3</v>
      </c>
      <c r="H30" s="97">
        <v>50.45</v>
      </c>
      <c r="I30" s="97">
        <v>147.38</v>
      </c>
      <c r="J30" s="97">
        <v>130.05000000000001</v>
      </c>
      <c r="K30" s="97">
        <v>81.62</v>
      </c>
      <c r="L30" s="97">
        <v>69.78</v>
      </c>
      <c r="M30" s="97">
        <v>58.99</v>
      </c>
      <c r="N30" s="97">
        <v>49.38</v>
      </c>
      <c r="O30" s="91">
        <v>761.04000000000008</v>
      </c>
    </row>
    <row r="31" spans="2:15" x14ac:dyDescent="0.2">
      <c r="B31" s="90" t="s">
        <v>42</v>
      </c>
      <c r="C31" s="97">
        <v>0</v>
      </c>
      <c r="D31" s="97">
        <v>1.04</v>
      </c>
      <c r="E31" s="97">
        <v>0</v>
      </c>
      <c r="F31" s="97">
        <v>7.0000000000000007E-2</v>
      </c>
      <c r="G31" s="97">
        <v>0.03</v>
      </c>
      <c r="H31" s="97">
        <v>0.01</v>
      </c>
      <c r="I31" s="97">
        <v>1.1399999999999999</v>
      </c>
      <c r="J31" s="97">
        <v>0.01</v>
      </c>
      <c r="K31" s="97">
        <v>0.02</v>
      </c>
      <c r="L31" s="97">
        <v>0.06</v>
      </c>
      <c r="M31" s="97">
        <v>0</v>
      </c>
      <c r="N31" s="97">
        <v>0.43</v>
      </c>
      <c r="O31" s="91">
        <v>2.81</v>
      </c>
    </row>
    <row r="32" spans="2:15" x14ac:dyDescent="0.2">
      <c r="B32" s="90" t="s">
        <v>474</v>
      </c>
      <c r="C32" s="97">
        <v>0</v>
      </c>
      <c r="D32" s="97">
        <v>0</v>
      </c>
      <c r="E32" s="97">
        <v>0</v>
      </c>
      <c r="F32" s="97">
        <v>0</v>
      </c>
      <c r="G32" s="97">
        <v>0</v>
      </c>
      <c r="H32" s="97">
        <v>0</v>
      </c>
      <c r="I32" s="97">
        <v>0</v>
      </c>
      <c r="J32" s="97">
        <v>0</v>
      </c>
      <c r="K32" s="97">
        <v>0</v>
      </c>
      <c r="L32" s="97">
        <v>0</v>
      </c>
      <c r="M32" s="97">
        <v>0</v>
      </c>
      <c r="N32" s="97">
        <v>0.85</v>
      </c>
      <c r="O32" s="91">
        <v>0.85</v>
      </c>
    </row>
    <row r="33" spans="1:15" x14ac:dyDescent="0.2">
      <c r="B33" s="90" t="s">
        <v>665</v>
      </c>
      <c r="C33" s="97">
        <v>0</v>
      </c>
      <c r="D33" s="97">
        <v>0</v>
      </c>
      <c r="E33" s="97">
        <v>0</v>
      </c>
      <c r="F33" s="97">
        <v>0</v>
      </c>
      <c r="G33" s="97">
        <v>0</v>
      </c>
      <c r="H33" s="97">
        <v>0</v>
      </c>
      <c r="I33" s="97">
        <v>0</v>
      </c>
      <c r="J33" s="97">
        <v>0</v>
      </c>
      <c r="K33" s="97">
        <v>0</v>
      </c>
      <c r="L33" s="97">
        <v>0</v>
      </c>
      <c r="M33" s="97">
        <v>0</v>
      </c>
      <c r="N33" s="97">
        <v>0.05</v>
      </c>
      <c r="O33" s="91">
        <v>0.05</v>
      </c>
    </row>
    <row r="34" spans="1:15" x14ac:dyDescent="0.2">
      <c r="B34" s="90" t="s">
        <v>43</v>
      </c>
      <c r="C34" s="97">
        <v>0.05</v>
      </c>
      <c r="D34" s="97">
        <v>0.11</v>
      </c>
      <c r="E34" s="97">
        <v>1.27</v>
      </c>
      <c r="F34" s="97">
        <v>0.56000000000000005</v>
      </c>
      <c r="G34" s="97">
        <v>1.29</v>
      </c>
      <c r="H34" s="97">
        <v>7.0000000000000007E-2</v>
      </c>
      <c r="I34" s="97">
        <v>0.14000000000000001</v>
      </c>
      <c r="J34" s="97">
        <v>1.56</v>
      </c>
      <c r="K34" s="97">
        <v>0.47</v>
      </c>
      <c r="L34" s="97">
        <v>0.12</v>
      </c>
      <c r="M34" s="97">
        <v>0.48</v>
      </c>
      <c r="N34" s="97">
        <v>0.45</v>
      </c>
      <c r="O34" s="91">
        <v>6.5700000000000012</v>
      </c>
    </row>
    <row r="35" spans="1:15" x14ac:dyDescent="0.2">
      <c r="B35" s="90" t="s">
        <v>44</v>
      </c>
      <c r="C35" s="97">
        <v>0</v>
      </c>
      <c r="D35" s="97">
        <v>0</v>
      </c>
      <c r="E35" s="97">
        <v>0</v>
      </c>
      <c r="F35" s="97">
        <v>0.05</v>
      </c>
      <c r="G35" s="97">
        <v>0</v>
      </c>
      <c r="H35" s="97">
        <v>0</v>
      </c>
      <c r="I35" s="97">
        <v>0</v>
      </c>
      <c r="J35" s="97">
        <v>0</v>
      </c>
      <c r="K35" s="97">
        <v>0</v>
      </c>
      <c r="L35" s="97">
        <v>0</v>
      </c>
      <c r="M35" s="97">
        <v>0</v>
      </c>
      <c r="N35" s="97">
        <v>0</v>
      </c>
      <c r="O35" s="91">
        <v>0.05</v>
      </c>
    </row>
    <row r="36" spans="1:15" x14ac:dyDescent="0.2">
      <c r="B36" s="90" t="s">
        <v>45</v>
      </c>
      <c r="C36" s="97">
        <v>0.56000000000000005</v>
      </c>
      <c r="D36" s="97">
        <v>0.06</v>
      </c>
      <c r="E36" s="97">
        <v>0.02</v>
      </c>
      <c r="F36" s="97">
        <v>0</v>
      </c>
      <c r="G36" s="97">
        <v>0</v>
      </c>
      <c r="H36" s="97">
        <v>0.01</v>
      </c>
      <c r="I36" s="97">
        <v>0.01</v>
      </c>
      <c r="J36" s="97">
        <v>0.01</v>
      </c>
      <c r="K36" s="97">
        <v>0.01</v>
      </c>
      <c r="L36" s="97">
        <v>0</v>
      </c>
      <c r="M36" s="97">
        <v>0.01</v>
      </c>
      <c r="N36" s="97">
        <v>0</v>
      </c>
      <c r="O36" s="91">
        <v>0.69000000000000017</v>
      </c>
    </row>
    <row r="37" spans="1:15" ht="11.25" customHeight="1" x14ac:dyDescent="0.2">
      <c r="B37" s="90" t="s">
        <v>6</v>
      </c>
      <c r="C37" s="97"/>
      <c r="D37" s="97"/>
      <c r="E37" s="97"/>
      <c r="F37" s="97"/>
      <c r="G37" s="97"/>
      <c r="H37" s="97"/>
      <c r="I37" s="97"/>
      <c r="J37" s="97"/>
      <c r="K37" s="97"/>
      <c r="L37" s="97"/>
      <c r="M37" s="97"/>
      <c r="N37" s="97"/>
    </row>
    <row r="38" spans="1:15" s="95" customFormat="1" ht="15" x14ac:dyDescent="0.25">
      <c r="A38" s="94" t="s">
        <v>46</v>
      </c>
      <c r="C38" s="96">
        <v>2.11</v>
      </c>
      <c r="D38" s="96">
        <v>3.67</v>
      </c>
      <c r="E38" s="96">
        <v>0.42</v>
      </c>
      <c r="F38" s="96">
        <v>55.02</v>
      </c>
      <c r="G38" s="96">
        <v>1.92</v>
      </c>
      <c r="H38" s="96">
        <v>0.85000000000000009</v>
      </c>
      <c r="I38" s="96">
        <v>2.61</v>
      </c>
      <c r="J38" s="96">
        <v>1.4700000000000002</v>
      </c>
      <c r="K38" s="96">
        <v>4.7899999999999991</v>
      </c>
      <c r="L38" s="96">
        <v>12.24</v>
      </c>
      <c r="M38" s="96">
        <v>1.4600000000000002</v>
      </c>
      <c r="N38" s="96">
        <v>15.93</v>
      </c>
      <c r="O38" s="69">
        <v>102.49</v>
      </c>
    </row>
    <row r="39" spans="1:15" x14ac:dyDescent="0.2">
      <c r="B39" s="90" t="s">
        <v>47</v>
      </c>
      <c r="C39" s="97">
        <v>1.43</v>
      </c>
      <c r="D39" s="97">
        <v>0.04</v>
      </c>
      <c r="E39" s="97">
        <v>0.02</v>
      </c>
      <c r="F39" s="97">
        <v>1.06</v>
      </c>
      <c r="G39" s="97">
        <v>0.11</v>
      </c>
      <c r="H39" s="97">
        <v>0</v>
      </c>
      <c r="I39" s="97">
        <v>0.25</v>
      </c>
      <c r="J39" s="97">
        <v>0.92</v>
      </c>
      <c r="K39" s="97">
        <v>0.57999999999999996</v>
      </c>
      <c r="L39" s="97">
        <v>0.2</v>
      </c>
      <c r="M39" s="97">
        <v>0.32</v>
      </c>
      <c r="N39" s="97">
        <v>0.26</v>
      </c>
      <c r="O39" s="91">
        <v>5.1899999999999995</v>
      </c>
    </row>
    <row r="40" spans="1:15" x14ac:dyDescent="0.2">
      <c r="B40" s="90" t="s">
        <v>48</v>
      </c>
      <c r="C40" s="97">
        <v>0</v>
      </c>
      <c r="D40" s="97">
        <v>0.33</v>
      </c>
      <c r="E40" s="97">
        <v>0</v>
      </c>
      <c r="F40" s="97">
        <v>0</v>
      </c>
      <c r="G40" s="97">
        <v>0</v>
      </c>
      <c r="H40" s="97">
        <v>0</v>
      </c>
      <c r="I40" s="97">
        <v>0.01</v>
      </c>
      <c r="J40" s="97">
        <v>0</v>
      </c>
      <c r="K40" s="97">
        <v>0</v>
      </c>
      <c r="L40" s="97">
        <v>0</v>
      </c>
      <c r="M40" s="97">
        <v>0</v>
      </c>
      <c r="N40" s="97">
        <v>0</v>
      </c>
      <c r="O40" s="91">
        <v>0.34</v>
      </c>
    </row>
    <row r="41" spans="1:15" x14ac:dyDescent="0.2">
      <c r="B41" s="90" t="s">
        <v>49</v>
      </c>
      <c r="C41" s="97">
        <v>0.46</v>
      </c>
      <c r="D41" s="97">
        <v>1.67</v>
      </c>
      <c r="E41" s="97">
        <v>0.25</v>
      </c>
      <c r="F41" s="97">
        <v>49.42</v>
      </c>
      <c r="G41" s="97">
        <v>0.25</v>
      </c>
      <c r="H41" s="97">
        <v>0.19</v>
      </c>
      <c r="I41" s="97">
        <v>0.16</v>
      </c>
      <c r="J41" s="97">
        <v>0.2</v>
      </c>
      <c r="K41" s="97">
        <v>0.1</v>
      </c>
      <c r="L41" s="97">
        <v>0.37</v>
      </c>
      <c r="M41" s="97">
        <v>0.95</v>
      </c>
      <c r="N41" s="97">
        <v>0.89</v>
      </c>
      <c r="O41" s="91">
        <v>54.910000000000004</v>
      </c>
    </row>
    <row r="42" spans="1:15" x14ac:dyDescent="0.2">
      <c r="B42" s="90" t="s">
        <v>50</v>
      </c>
      <c r="C42" s="97">
        <v>0</v>
      </c>
      <c r="D42" s="97">
        <v>0</v>
      </c>
      <c r="E42" s="97">
        <v>0</v>
      </c>
      <c r="F42" s="97">
        <v>0</v>
      </c>
      <c r="G42" s="97">
        <v>0</v>
      </c>
      <c r="H42" s="97">
        <v>0</v>
      </c>
      <c r="I42" s="97">
        <v>0</v>
      </c>
      <c r="J42" s="97">
        <v>0</v>
      </c>
      <c r="K42" s="97">
        <v>0</v>
      </c>
      <c r="L42" s="97">
        <v>0</v>
      </c>
      <c r="M42" s="97">
        <v>0</v>
      </c>
      <c r="N42" s="97">
        <v>0</v>
      </c>
      <c r="O42" s="91">
        <v>0</v>
      </c>
    </row>
    <row r="43" spans="1:15" s="103" customFormat="1" x14ac:dyDescent="0.2">
      <c r="A43" s="90"/>
      <c r="B43" s="90" t="s">
        <v>51</v>
      </c>
      <c r="C43" s="97">
        <v>7.0000000000000007E-2</v>
      </c>
      <c r="D43" s="97">
        <v>0.05</v>
      </c>
      <c r="E43" s="97">
        <v>0.04</v>
      </c>
      <c r="F43" s="97">
        <v>0.11</v>
      </c>
      <c r="G43" s="97">
        <v>0.04</v>
      </c>
      <c r="H43" s="97">
        <v>0.01</v>
      </c>
      <c r="I43" s="97">
        <v>0.04</v>
      </c>
      <c r="J43" s="97">
        <v>0.11</v>
      </c>
      <c r="K43" s="97">
        <v>0.09</v>
      </c>
      <c r="L43" s="97">
        <v>0.06</v>
      </c>
      <c r="M43" s="97">
        <v>0.01</v>
      </c>
      <c r="N43" s="97">
        <v>0.01</v>
      </c>
      <c r="O43" s="91">
        <v>0.6399999999999999</v>
      </c>
    </row>
    <row r="44" spans="1:15" x14ac:dyDescent="0.2">
      <c r="B44" s="90" t="s">
        <v>52</v>
      </c>
      <c r="C44" s="97">
        <v>0.15</v>
      </c>
      <c r="D44" s="97">
        <v>0.81</v>
      </c>
      <c r="E44" s="97">
        <v>0.11</v>
      </c>
      <c r="F44" s="97">
        <v>4.42</v>
      </c>
      <c r="G44" s="97">
        <v>1.34</v>
      </c>
      <c r="H44" s="97">
        <v>0.14000000000000001</v>
      </c>
      <c r="I44" s="97">
        <v>2.0699999999999998</v>
      </c>
      <c r="J44" s="97">
        <v>0.12</v>
      </c>
      <c r="K44" s="97">
        <v>4.01</v>
      </c>
      <c r="L44" s="97">
        <v>10.99</v>
      </c>
      <c r="M44" s="97">
        <v>0.11</v>
      </c>
      <c r="N44" s="97">
        <v>14.57</v>
      </c>
      <c r="O44" s="91">
        <v>38.839999999999996</v>
      </c>
    </row>
    <row r="45" spans="1:15" x14ac:dyDescent="0.2">
      <c r="B45" s="90" t="s">
        <v>53</v>
      </c>
      <c r="C45" s="97">
        <v>0</v>
      </c>
      <c r="D45" s="97">
        <v>0.77</v>
      </c>
      <c r="E45" s="97">
        <v>0</v>
      </c>
      <c r="F45" s="97">
        <v>0.01</v>
      </c>
      <c r="G45" s="97">
        <v>0.18</v>
      </c>
      <c r="H45" s="97">
        <v>0.51</v>
      </c>
      <c r="I45" s="97">
        <v>0.08</v>
      </c>
      <c r="J45" s="97">
        <v>0.12</v>
      </c>
      <c r="K45" s="97">
        <v>0.01</v>
      </c>
      <c r="L45" s="97">
        <v>0.62</v>
      </c>
      <c r="M45" s="97">
        <v>7.0000000000000007E-2</v>
      </c>
      <c r="N45" s="97">
        <v>0.2</v>
      </c>
      <c r="O45" s="91">
        <v>2.57</v>
      </c>
    </row>
    <row r="47" spans="1:15" s="95" customFormat="1" ht="15" x14ac:dyDescent="0.25">
      <c r="A47" s="94" t="s">
        <v>54</v>
      </c>
      <c r="C47" s="96">
        <v>66.97</v>
      </c>
      <c r="D47" s="96">
        <v>68.850000000000009</v>
      </c>
      <c r="E47" s="96">
        <v>34.93</v>
      </c>
      <c r="F47" s="96">
        <v>60.66</v>
      </c>
      <c r="G47" s="96">
        <v>55.7</v>
      </c>
      <c r="H47" s="96">
        <v>55.13000000000001</v>
      </c>
      <c r="I47" s="96">
        <v>52.86</v>
      </c>
      <c r="J47" s="96">
        <v>77.199999999999989</v>
      </c>
      <c r="K47" s="96">
        <v>110.74000000000001</v>
      </c>
      <c r="L47" s="96">
        <v>63.56</v>
      </c>
      <c r="M47" s="96">
        <v>76.359999999999985</v>
      </c>
      <c r="N47" s="96">
        <v>58.7</v>
      </c>
      <c r="O47" s="69">
        <v>781.37000000000012</v>
      </c>
    </row>
    <row r="48" spans="1:15" x14ac:dyDescent="0.2">
      <c r="B48" s="90" t="s">
        <v>55</v>
      </c>
      <c r="C48" s="97">
        <v>14.84</v>
      </c>
      <c r="D48" s="97">
        <v>5.59</v>
      </c>
      <c r="E48" s="97">
        <v>3.73</v>
      </c>
      <c r="F48" s="97">
        <v>7.34</v>
      </c>
      <c r="G48" s="97">
        <v>4.16</v>
      </c>
      <c r="H48" s="97">
        <v>3.23</v>
      </c>
      <c r="I48" s="97">
        <v>9.9</v>
      </c>
      <c r="J48" s="97">
        <v>13.02</v>
      </c>
      <c r="K48" s="97">
        <v>51.79</v>
      </c>
      <c r="L48" s="97">
        <v>10.88</v>
      </c>
      <c r="M48" s="97">
        <v>9.83</v>
      </c>
      <c r="N48" s="97">
        <v>4.66</v>
      </c>
      <c r="O48" s="91">
        <v>138.97</v>
      </c>
    </row>
    <row r="49" spans="1:15" x14ac:dyDescent="0.2">
      <c r="B49" s="90" t="s">
        <v>56</v>
      </c>
      <c r="C49" s="97">
        <v>0.06</v>
      </c>
      <c r="D49" s="97">
        <v>3.07</v>
      </c>
      <c r="E49" s="97">
        <v>0</v>
      </c>
      <c r="F49" s="97">
        <v>0.01</v>
      </c>
      <c r="G49" s="97">
        <v>0.08</v>
      </c>
      <c r="H49" s="97">
        <v>0.03</v>
      </c>
      <c r="I49" s="97">
        <v>0.01</v>
      </c>
      <c r="J49" s="97">
        <v>0.08</v>
      </c>
      <c r="K49" s="97">
        <v>1.51</v>
      </c>
      <c r="L49" s="97">
        <v>0.24</v>
      </c>
      <c r="M49" s="97">
        <v>0.05</v>
      </c>
      <c r="N49" s="97">
        <v>0.04</v>
      </c>
      <c r="O49" s="91">
        <v>5.18</v>
      </c>
    </row>
    <row r="50" spans="1:15" x14ac:dyDescent="0.2">
      <c r="B50" s="90" t="s">
        <v>477</v>
      </c>
      <c r="C50" s="97">
        <v>0</v>
      </c>
      <c r="D50" s="97">
        <v>0</v>
      </c>
      <c r="E50" s="97">
        <v>0</v>
      </c>
      <c r="F50" s="97">
        <v>0</v>
      </c>
      <c r="G50" s="97">
        <v>0.16</v>
      </c>
      <c r="H50" s="97">
        <v>0</v>
      </c>
      <c r="I50" s="97">
        <v>0.13</v>
      </c>
      <c r="J50" s="97">
        <v>0</v>
      </c>
      <c r="K50" s="97">
        <v>0</v>
      </c>
      <c r="L50" s="97">
        <v>0</v>
      </c>
      <c r="M50" s="97">
        <v>0</v>
      </c>
      <c r="N50" s="97">
        <v>0</v>
      </c>
    </row>
    <row r="51" spans="1:15" x14ac:dyDescent="0.2">
      <c r="B51" s="90" t="s">
        <v>57</v>
      </c>
      <c r="C51" s="97">
        <v>20.98</v>
      </c>
      <c r="D51" s="97">
        <v>27.76</v>
      </c>
      <c r="E51" s="97">
        <v>16.62</v>
      </c>
      <c r="F51" s="97">
        <v>25.42</v>
      </c>
      <c r="G51" s="97">
        <v>21.1</v>
      </c>
      <c r="H51" s="97">
        <v>23.21</v>
      </c>
      <c r="I51" s="97">
        <v>18.829999999999998</v>
      </c>
      <c r="J51" s="97">
        <v>30.83</v>
      </c>
      <c r="K51" s="97">
        <v>23.3</v>
      </c>
      <c r="L51" s="97">
        <v>28.17</v>
      </c>
      <c r="M51" s="97">
        <v>24.7</v>
      </c>
      <c r="N51" s="97">
        <v>20.18</v>
      </c>
      <c r="O51" s="91">
        <v>281.10000000000002</v>
      </c>
    </row>
    <row r="52" spans="1:15" x14ac:dyDescent="0.2">
      <c r="B52" s="90" t="s">
        <v>58</v>
      </c>
      <c r="C52" s="97">
        <v>18.38</v>
      </c>
      <c r="D52" s="97">
        <v>7.72</v>
      </c>
      <c r="E52" s="97">
        <v>5.96</v>
      </c>
      <c r="F52" s="97">
        <v>10.19</v>
      </c>
      <c r="G52" s="97">
        <v>8.93</v>
      </c>
      <c r="H52" s="97">
        <v>6.78</v>
      </c>
      <c r="I52" s="97">
        <v>5.17</v>
      </c>
      <c r="J52" s="97">
        <v>6.19</v>
      </c>
      <c r="K52" s="97">
        <v>8.09</v>
      </c>
      <c r="L52" s="97">
        <v>4.91</v>
      </c>
      <c r="M52" s="97">
        <v>17.04</v>
      </c>
      <c r="N52" s="97">
        <v>18.010000000000002</v>
      </c>
      <c r="O52" s="91">
        <v>117.36999999999999</v>
      </c>
    </row>
    <row r="53" spans="1:15" x14ac:dyDescent="0.2">
      <c r="B53" s="90" t="s">
        <v>59</v>
      </c>
      <c r="C53" s="97">
        <v>1.58</v>
      </c>
      <c r="D53" s="97">
        <v>4.99</v>
      </c>
      <c r="E53" s="97">
        <v>0.61</v>
      </c>
      <c r="F53" s="97">
        <v>3.73</v>
      </c>
      <c r="G53" s="97">
        <v>1.75</v>
      </c>
      <c r="H53" s="97">
        <v>4.13</v>
      </c>
      <c r="I53" s="97">
        <v>3.46</v>
      </c>
      <c r="J53" s="97">
        <v>5.27</v>
      </c>
      <c r="K53" s="97">
        <v>3.76</v>
      </c>
      <c r="L53" s="97">
        <v>2.15</v>
      </c>
      <c r="M53" s="97">
        <v>5.34</v>
      </c>
      <c r="N53" s="97">
        <v>2.21</v>
      </c>
      <c r="O53" s="91">
        <v>38.979999999999997</v>
      </c>
    </row>
    <row r="54" spans="1:15" x14ac:dyDescent="0.2">
      <c r="B54" s="90" t="s">
        <v>60</v>
      </c>
      <c r="C54" s="97">
        <v>0.05</v>
      </c>
      <c r="D54" s="97">
        <v>0.31</v>
      </c>
      <c r="E54" s="97">
        <v>0.06</v>
      </c>
      <c r="F54" s="97">
        <v>0.57999999999999996</v>
      </c>
      <c r="G54" s="97">
        <v>0.05</v>
      </c>
      <c r="H54" s="97">
        <v>0.04</v>
      </c>
      <c r="I54" s="97">
        <v>0.18</v>
      </c>
      <c r="J54" s="97">
        <v>0.16</v>
      </c>
      <c r="K54" s="97">
        <v>0.04</v>
      </c>
      <c r="L54" s="97">
        <v>1.24</v>
      </c>
      <c r="M54" s="97">
        <v>0.48</v>
      </c>
      <c r="N54" s="97">
        <v>0.15</v>
      </c>
      <c r="O54" s="91">
        <v>3.34</v>
      </c>
    </row>
    <row r="55" spans="1:15" x14ac:dyDescent="0.2">
      <c r="B55" s="90" t="s">
        <v>61</v>
      </c>
      <c r="C55" s="97">
        <v>0.08</v>
      </c>
      <c r="D55" s="97">
        <v>0.1</v>
      </c>
      <c r="E55" s="97">
        <v>0.04</v>
      </c>
      <c r="F55" s="97">
        <v>0.01</v>
      </c>
      <c r="G55" s="97">
        <v>0.01</v>
      </c>
      <c r="H55" s="97">
        <v>0.02</v>
      </c>
      <c r="I55" s="97">
        <v>0.08</v>
      </c>
      <c r="J55" s="97">
        <v>0.02</v>
      </c>
      <c r="K55" s="97">
        <v>0.04</v>
      </c>
      <c r="L55" s="97">
        <v>0.06</v>
      </c>
      <c r="M55" s="97">
        <v>7.0000000000000007E-2</v>
      </c>
      <c r="N55" s="97">
        <v>0.2</v>
      </c>
      <c r="O55" s="91">
        <v>0.73</v>
      </c>
    </row>
    <row r="56" spans="1:15" x14ac:dyDescent="0.2">
      <c r="B56" s="90" t="s">
        <v>62</v>
      </c>
      <c r="C56" s="97">
        <v>0</v>
      </c>
      <c r="D56" s="97">
        <v>0</v>
      </c>
      <c r="E56" s="97">
        <v>0</v>
      </c>
      <c r="F56" s="97">
        <v>0</v>
      </c>
      <c r="G56" s="97">
        <v>0</v>
      </c>
      <c r="H56" s="97">
        <v>0</v>
      </c>
      <c r="I56" s="97">
        <v>0</v>
      </c>
      <c r="J56" s="97">
        <v>0</v>
      </c>
      <c r="K56" s="97">
        <v>0</v>
      </c>
      <c r="L56" s="97">
        <v>0</v>
      </c>
      <c r="M56" s="97">
        <v>0</v>
      </c>
      <c r="N56" s="97">
        <v>0</v>
      </c>
      <c r="O56" s="91">
        <v>0</v>
      </c>
    </row>
    <row r="57" spans="1:15" x14ac:dyDescent="0.2">
      <c r="B57" s="90" t="s">
        <v>63</v>
      </c>
      <c r="C57" s="97">
        <v>0.09</v>
      </c>
      <c r="D57" s="97">
        <v>0.11</v>
      </c>
      <c r="E57" s="97">
        <v>0.1</v>
      </c>
      <c r="F57" s="97">
        <v>0.2</v>
      </c>
      <c r="G57" s="97">
        <v>0.24</v>
      </c>
      <c r="H57" s="97">
        <v>0.24</v>
      </c>
      <c r="I57" s="97">
        <v>0.19</v>
      </c>
      <c r="J57" s="97">
        <v>0.12</v>
      </c>
      <c r="K57" s="97">
        <v>0.3</v>
      </c>
      <c r="L57" s="97">
        <v>0.14000000000000001</v>
      </c>
      <c r="M57" s="97">
        <v>0.12</v>
      </c>
      <c r="N57" s="97">
        <v>0.15</v>
      </c>
      <c r="O57" s="91">
        <v>2</v>
      </c>
    </row>
    <row r="58" spans="1:15" x14ac:dyDescent="0.2">
      <c r="B58" s="90" t="s">
        <v>64</v>
      </c>
      <c r="C58" s="97">
        <v>0.33</v>
      </c>
      <c r="D58" s="97">
        <v>7.93</v>
      </c>
      <c r="E58" s="97">
        <v>0.19</v>
      </c>
      <c r="F58" s="97">
        <v>0.22</v>
      </c>
      <c r="G58" s="97">
        <v>0.2</v>
      </c>
      <c r="H58" s="97">
        <v>0.21</v>
      </c>
      <c r="I58" s="97">
        <v>0.14000000000000001</v>
      </c>
      <c r="J58" s="97">
        <v>0.22</v>
      </c>
      <c r="K58" s="97">
        <v>0.17</v>
      </c>
      <c r="L58" s="97">
        <v>0.12</v>
      </c>
      <c r="M58" s="97">
        <v>0.12</v>
      </c>
      <c r="N58" s="97">
        <v>0.27</v>
      </c>
      <c r="O58" s="91">
        <v>10.119999999999999</v>
      </c>
    </row>
    <row r="59" spans="1:15" s="92" customFormat="1" x14ac:dyDescent="0.2">
      <c r="B59" s="105" t="s">
        <v>65</v>
      </c>
      <c r="C59" s="97">
        <v>0</v>
      </c>
      <c r="D59" s="97">
        <v>0</v>
      </c>
      <c r="E59" s="97">
        <v>0</v>
      </c>
      <c r="F59" s="97">
        <v>0.02</v>
      </c>
      <c r="G59" s="97">
        <v>0</v>
      </c>
      <c r="H59" s="97">
        <v>0</v>
      </c>
      <c r="I59" s="97">
        <v>0</v>
      </c>
      <c r="J59" s="97">
        <v>7.0000000000000007E-2</v>
      </c>
      <c r="K59" s="97">
        <v>0</v>
      </c>
      <c r="L59" s="97">
        <v>0.01</v>
      </c>
      <c r="M59" s="97">
        <v>0</v>
      </c>
      <c r="N59" s="97">
        <v>0</v>
      </c>
      <c r="O59" s="91">
        <v>0.1</v>
      </c>
    </row>
    <row r="60" spans="1:15" x14ac:dyDescent="0.2">
      <c r="B60" s="90" t="s">
        <v>66</v>
      </c>
      <c r="C60" s="97">
        <v>0</v>
      </c>
      <c r="D60" s="97">
        <v>0</v>
      </c>
      <c r="E60" s="97">
        <v>0</v>
      </c>
      <c r="F60" s="97">
        <v>0</v>
      </c>
      <c r="G60" s="97">
        <v>0.71</v>
      </c>
      <c r="H60" s="97">
        <v>0</v>
      </c>
      <c r="I60" s="97">
        <v>0</v>
      </c>
      <c r="J60" s="97">
        <v>0</v>
      </c>
      <c r="K60" s="97">
        <v>0</v>
      </c>
      <c r="L60" s="97">
        <v>0</v>
      </c>
      <c r="M60" s="97">
        <v>0</v>
      </c>
      <c r="N60" s="97">
        <v>0</v>
      </c>
      <c r="O60" s="91">
        <v>0.71</v>
      </c>
    </row>
    <row r="61" spans="1:15" x14ac:dyDescent="0.2">
      <c r="B61" s="90" t="s">
        <v>67</v>
      </c>
      <c r="C61" s="97">
        <v>10.58</v>
      </c>
      <c r="D61" s="97">
        <v>11.27</v>
      </c>
      <c r="E61" s="97">
        <v>7.62</v>
      </c>
      <c r="F61" s="97">
        <v>12.94</v>
      </c>
      <c r="G61" s="97">
        <v>18.309999999999999</v>
      </c>
      <c r="H61" s="97">
        <v>17.239999999999998</v>
      </c>
      <c r="I61" s="97">
        <v>14.77</v>
      </c>
      <c r="J61" s="97">
        <v>21.22</v>
      </c>
      <c r="K61" s="97">
        <v>21.74</v>
      </c>
      <c r="L61" s="97">
        <v>15.64</v>
      </c>
      <c r="M61" s="97">
        <v>18.61</v>
      </c>
      <c r="N61" s="97">
        <v>12.83</v>
      </c>
      <c r="O61" s="91">
        <v>182.77</v>
      </c>
    </row>
    <row r="62" spans="1:15" x14ac:dyDescent="0.2">
      <c r="B62" s="90" t="s">
        <v>68</v>
      </c>
      <c r="C62" s="97">
        <v>0</v>
      </c>
      <c r="D62" s="97">
        <v>0</v>
      </c>
      <c r="E62" s="97">
        <v>0</v>
      </c>
      <c r="F62" s="97">
        <v>0</v>
      </c>
      <c r="G62" s="97">
        <v>0</v>
      </c>
      <c r="H62" s="97">
        <v>0</v>
      </c>
      <c r="I62" s="97">
        <v>0</v>
      </c>
      <c r="J62" s="97">
        <v>0</v>
      </c>
      <c r="K62" s="97">
        <v>0</v>
      </c>
      <c r="L62" s="97">
        <v>0</v>
      </c>
      <c r="M62" s="97">
        <v>0</v>
      </c>
      <c r="N62" s="97">
        <v>0</v>
      </c>
      <c r="O62" s="91">
        <v>0</v>
      </c>
    </row>
    <row r="64" spans="1:15" s="95" customFormat="1" ht="15" x14ac:dyDescent="0.25">
      <c r="A64" s="94" t="s">
        <v>69</v>
      </c>
      <c r="C64" s="96">
        <v>0.37</v>
      </c>
      <c r="D64" s="96">
        <v>0.26</v>
      </c>
      <c r="E64" s="96">
        <v>0.11</v>
      </c>
      <c r="F64" s="96">
        <v>0.06</v>
      </c>
      <c r="G64" s="96">
        <v>0.18</v>
      </c>
      <c r="H64" s="96">
        <v>0.49</v>
      </c>
      <c r="I64" s="96">
        <v>0.02</v>
      </c>
      <c r="J64" s="96">
        <v>5.56</v>
      </c>
      <c r="K64" s="96">
        <v>0.5</v>
      </c>
      <c r="L64" s="96">
        <v>0.26</v>
      </c>
      <c r="M64" s="96">
        <v>0.48</v>
      </c>
      <c r="N64" s="96">
        <v>0.13</v>
      </c>
      <c r="O64" s="106">
        <v>8.42</v>
      </c>
    </row>
    <row r="65" spans="1:15" x14ac:dyDescent="0.2">
      <c r="B65" s="90" t="s">
        <v>70</v>
      </c>
      <c r="C65" s="97">
        <v>0.37</v>
      </c>
      <c r="D65" s="97">
        <v>0.26</v>
      </c>
      <c r="E65" s="97">
        <v>0.11</v>
      </c>
      <c r="F65" s="97">
        <v>0.06</v>
      </c>
      <c r="G65" s="97">
        <v>0.18</v>
      </c>
      <c r="H65" s="97">
        <v>0.49</v>
      </c>
      <c r="I65" s="97">
        <v>0.02</v>
      </c>
      <c r="J65" s="97">
        <v>5.56</v>
      </c>
      <c r="K65" s="97">
        <v>0.5</v>
      </c>
      <c r="L65" s="97">
        <v>0.26</v>
      </c>
      <c r="M65" s="97">
        <v>0.48</v>
      </c>
      <c r="N65" s="97">
        <v>0.13</v>
      </c>
      <c r="O65" s="91">
        <v>8.42</v>
      </c>
    </row>
    <row r="66" spans="1:15" ht="12.75" customHeight="1" x14ac:dyDescent="0.2">
      <c r="C66" s="97"/>
      <c r="D66" s="97"/>
      <c r="E66" s="97"/>
      <c r="F66" s="97"/>
      <c r="G66" s="97"/>
      <c r="H66" s="97"/>
      <c r="I66" s="97"/>
      <c r="J66" s="97"/>
      <c r="K66" s="97"/>
      <c r="L66" s="97"/>
      <c r="M66" s="97"/>
      <c r="N66" s="97"/>
    </row>
    <row r="67" spans="1:15" s="95" customFormat="1" ht="15" x14ac:dyDescent="0.25">
      <c r="A67" s="94" t="s">
        <v>71</v>
      </c>
      <c r="C67" s="96">
        <v>16.93</v>
      </c>
      <c r="D67" s="96">
        <v>44.300000000000004</v>
      </c>
      <c r="E67" s="96">
        <v>25.04</v>
      </c>
      <c r="F67" s="96">
        <v>17.3</v>
      </c>
      <c r="G67" s="96">
        <v>393.36</v>
      </c>
      <c r="H67" s="96">
        <v>16.22</v>
      </c>
      <c r="I67" s="96">
        <v>12.97</v>
      </c>
      <c r="J67" s="96">
        <v>12.58</v>
      </c>
      <c r="K67" s="96">
        <v>13.02</v>
      </c>
      <c r="L67" s="96">
        <v>42.839999999999996</v>
      </c>
      <c r="M67" s="96">
        <v>11.049999999999999</v>
      </c>
      <c r="N67" s="96">
        <v>30.419999999999998</v>
      </c>
      <c r="O67" s="106">
        <v>636.03</v>
      </c>
    </row>
    <row r="68" spans="1:15" x14ac:dyDescent="0.2">
      <c r="B68" s="90" t="s">
        <v>72</v>
      </c>
      <c r="C68" s="97">
        <v>16.850000000000001</v>
      </c>
      <c r="D68" s="97">
        <v>44.24</v>
      </c>
      <c r="E68" s="97">
        <v>25.04</v>
      </c>
      <c r="F68" s="97">
        <v>17.260000000000002</v>
      </c>
      <c r="G68" s="97">
        <v>393.29</v>
      </c>
      <c r="H68" s="97">
        <v>14.68</v>
      </c>
      <c r="I68" s="97">
        <v>12.91</v>
      </c>
      <c r="J68" s="97">
        <v>12.46</v>
      </c>
      <c r="K68" s="97">
        <v>12.94</v>
      </c>
      <c r="L68" s="97">
        <v>42.79</v>
      </c>
      <c r="M68" s="97">
        <v>11.04</v>
      </c>
      <c r="N68" s="97">
        <v>30.4</v>
      </c>
      <c r="O68" s="91">
        <v>633.9</v>
      </c>
    </row>
    <row r="69" spans="1:15" x14ac:dyDescent="0.2">
      <c r="B69" s="90" t="s">
        <v>73</v>
      </c>
      <c r="C69" s="97">
        <v>0.08</v>
      </c>
      <c r="D69" s="97">
        <v>0.06</v>
      </c>
      <c r="E69" s="97">
        <v>0</v>
      </c>
      <c r="F69" s="97">
        <v>0.04</v>
      </c>
      <c r="G69" s="97">
        <v>7.0000000000000007E-2</v>
      </c>
      <c r="H69" s="97">
        <v>1.54</v>
      </c>
      <c r="I69" s="97">
        <v>0.06</v>
      </c>
      <c r="J69" s="97">
        <v>0.12</v>
      </c>
      <c r="K69" s="97">
        <v>0.08</v>
      </c>
      <c r="L69" s="97">
        <v>0.05</v>
      </c>
      <c r="M69" s="97">
        <v>0.01</v>
      </c>
      <c r="N69" s="97">
        <v>0.02</v>
      </c>
      <c r="O69" s="91">
        <v>2.13</v>
      </c>
    </row>
    <row r="70" spans="1:15" x14ac:dyDescent="0.2">
      <c r="B70" s="90" t="s">
        <v>74</v>
      </c>
      <c r="C70" s="97">
        <v>0</v>
      </c>
      <c r="D70" s="97">
        <v>0</v>
      </c>
      <c r="E70" s="97">
        <v>0</v>
      </c>
      <c r="F70" s="97">
        <v>0</v>
      </c>
      <c r="G70" s="97">
        <v>0</v>
      </c>
      <c r="H70" s="97">
        <v>0</v>
      </c>
      <c r="I70" s="97">
        <v>0</v>
      </c>
      <c r="J70" s="97">
        <v>0</v>
      </c>
      <c r="K70" s="97">
        <v>0</v>
      </c>
      <c r="L70" s="97">
        <v>0</v>
      </c>
      <c r="M70" s="97">
        <v>0</v>
      </c>
      <c r="N70" s="97">
        <v>0</v>
      </c>
      <c r="O70" s="91">
        <v>0</v>
      </c>
    </row>
    <row r="71" spans="1:15" ht="12.75" customHeight="1" x14ac:dyDescent="0.2">
      <c r="C71" s="97"/>
      <c r="D71" s="97"/>
      <c r="E71" s="97"/>
      <c r="F71" s="97"/>
      <c r="G71" s="97"/>
      <c r="H71" s="97"/>
      <c r="I71" s="97"/>
      <c r="J71" s="97"/>
      <c r="K71" s="97"/>
      <c r="L71" s="97"/>
      <c r="M71" s="97"/>
      <c r="N71" s="97"/>
    </row>
    <row r="72" spans="1:15" s="95" customFormat="1" ht="15" x14ac:dyDescent="0.25">
      <c r="A72" s="94" t="s">
        <v>75</v>
      </c>
      <c r="C72" s="96">
        <v>0.17</v>
      </c>
      <c r="D72" s="96">
        <v>9.9999999999999992E-2</v>
      </c>
      <c r="E72" s="96">
        <v>0</v>
      </c>
      <c r="F72" s="96">
        <v>0.01</v>
      </c>
      <c r="G72" s="96">
        <v>0</v>
      </c>
      <c r="H72" s="96">
        <v>0.11</v>
      </c>
      <c r="I72" s="96">
        <v>0.03</v>
      </c>
      <c r="J72" s="96">
        <v>0.01</v>
      </c>
      <c r="K72" s="96">
        <v>0.05</v>
      </c>
      <c r="L72" s="96">
        <v>0</v>
      </c>
      <c r="M72" s="96">
        <v>0</v>
      </c>
      <c r="N72" s="96">
        <v>0</v>
      </c>
      <c r="O72" s="106">
        <v>0.48000000000000004</v>
      </c>
    </row>
    <row r="73" spans="1:15" x14ac:dyDescent="0.2">
      <c r="B73" s="90" t="s">
        <v>76</v>
      </c>
      <c r="C73" s="97">
        <v>0</v>
      </c>
      <c r="D73" s="97">
        <v>0.01</v>
      </c>
      <c r="E73" s="97">
        <v>0</v>
      </c>
      <c r="F73" s="97">
        <v>0</v>
      </c>
      <c r="G73" s="97">
        <v>0</v>
      </c>
      <c r="H73" s="97">
        <v>0</v>
      </c>
      <c r="I73" s="97">
        <v>0</v>
      </c>
      <c r="J73" s="97">
        <v>0</v>
      </c>
      <c r="K73" s="97">
        <v>0</v>
      </c>
      <c r="L73" s="97">
        <v>0</v>
      </c>
      <c r="M73" s="97">
        <v>0</v>
      </c>
      <c r="N73" s="97"/>
      <c r="O73" s="91">
        <v>0.01</v>
      </c>
    </row>
    <row r="74" spans="1:15" x14ac:dyDescent="0.2">
      <c r="B74" s="90" t="s">
        <v>77</v>
      </c>
      <c r="C74" s="97">
        <v>0.17</v>
      </c>
      <c r="D74" s="97">
        <v>0.09</v>
      </c>
      <c r="E74" s="97">
        <v>0</v>
      </c>
      <c r="F74" s="97">
        <v>0.01</v>
      </c>
      <c r="G74" s="97">
        <v>0</v>
      </c>
      <c r="H74" s="97">
        <v>0.11</v>
      </c>
      <c r="I74" s="97">
        <v>0.03</v>
      </c>
      <c r="J74" s="97">
        <v>0.01</v>
      </c>
      <c r="K74" s="97">
        <v>0.05</v>
      </c>
      <c r="L74" s="97">
        <v>0</v>
      </c>
      <c r="M74" s="97">
        <v>0</v>
      </c>
      <c r="N74" s="97"/>
      <c r="O74" s="91">
        <v>0.47000000000000003</v>
      </c>
    </row>
    <row r="75" spans="1:15" x14ac:dyDescent="0.2">
      <c r="C75" s="97"/>
      <c r="D75" s="97"/>
      <c r="E75" s="97"/>
      <c r="F75" s="97"/>
      <c r="G75" s="97"/>
      <c r="H75" s="97"/>
      <c r="I75" s="97"/>
      <c r="J75" s="97"/>
      <c r="K75" s="97"/>
      <c r="L75" s="97"/>
      <c r="M75" s="97"/>
      <c r="N75" s="97"/>
    </row>
    <row r="76" spans="1:15" s="95" customFormat="1" ht="15" x14ac:dyDescent="0.25">
      <c r="A76" s="94" t="s">
        <v>78</v>
      </c>
      <c r="C76" s="96">
        <v>86.36999999999999</v>
      </c>
      <c r="D76" s="96">
        <v>115.64</v>
      </c>
      <c r="E76" s="96">
        <v>65.66</v>
      </c>
      <c r="F76" s="96">
        <v>57.959999999999987</v>
      </c>
      <c r="G76" s="96">
        <v>62.75</v>
      </c>
      <c r="H76" s="96">
        <v>51.18</v>
      </c>
      <c r="I76" s="96">
        <v>62.1</v>
      </c>
      <c r="J76" s="96">
        <v>74.940000000000012</v>
      </c>
      <c r="K76" s="96">
        <v>525.17000000000007</v>
      </c>
      <c r="L76" s="96">
        <v>237.26999999999998</v>
      </c>
      <c r="M76" s="96">
        <v>101.17</v>
      </c>
      <c r="N76" s="96">
        <v>55.160000000000011</v>
      </c>
      <c r="O76" s="106">
        <v>1495.37</v>
      </c>
    </row>
    <row r="77" spans="1:15" x14ac:dyDescent="0.2">
      <c r="B77" s="90" t="s">
        <v>79</v>
      </c>
      <c r="C77" s="97">
        <v>64.38</v>
      </c>
      <c r="D77" s="97">
        <v>36.97</v>
      </c>
      <c r="E77" s="97">
        <v>49.38</v>
      </c>
      <c r="F77" s="97">
        <v>32.96</v>
      </c>
      <c r="G77" s="97">
        <v>44.05</v>
      </c>
      <c r="H77" s="97">
        <v>29.1</v>
      </c>
      <c r="I77" s="97">
        <v>38.51</v>
      </c>
      <c r="J77" s="97">
        <v>21.1</v>
      </c>
      <c r="K77" s="97">
        <v>35.409999999999997</v>
      </c>
      <c r="L77" s="97">
        <v>25.29</v>
      </c>
      <c r="M77" s="97">
        <v>75.92</v>
      </c>
      <c r="N77" s="97">
        <v>27.14</v>
      </c>
      <c r="O77" s="91">
        <v>480.21000000000004</v>
      </c>
    </row>
    <row r="78" spans="1:15" x14ac:dyDescent="0.2">
      <c r="B78" s="90" t="s">
        <v>80</v>
      </c>
      <c r="C78" s="97">
        <v>0</v>
      </c>
      <c r="D78" s="97">
        <v>0.04</v>
      </c>
      <c r="E78" s="97">
        <v>0.01</v>
      </c>
      <c r="F78" s="97">
        <v>0.01</v>
      </c>
      <c r="G78" s="97">
        <v>0.01</v>
      </c>
      <c r="H78" s="97">
        <v>0</v>
      </c>
      <c r="I78" s="97">
        <v>0</v>
      </c>
      <c r="J78" s="97">
        <v>0.02</v>
      </c>
      <c r="K78" s="97">
        <v>0.01</v>
      </c>
      <c r="L78" s="97">
        <v>0.01</v>
      </c>
      <c r="M78" s="97">
        <v>0.02</v>
      </c>
      <c r="N78" s="97">
        <v>0</v>
      </c>
      <c r="O78" s="91">
        <v>0.13</v>
      </c>
    </row>
    <row r="79" spans="1:15" x14ac:dyDescent="0.2">
      <c r="B79" s="90" t="s">
        <v>81</v>
      </c>
      <c r="C79" s="97">
        <v>0.21</v>
      </c>
      <c r="D79" s="97">
        <v>0.05</v>
      </c>
      <c r="E79" s="97">
        <v>1.03</v>
      </c>
      <c r="F79" s="97">
        <v>0.05</v>
      </c>
      <c r="G79" s="97">
        <v>0.06</v>
      </c>
      <c r="H79" s="97">
        <v>0</v>
      </c>
      <c r="I79" s="97">
        <v>0</v>
      </c>
      <c r="J79" s="97">
        <v>0.01</v>
      </c>
      <c r="K79" s="97">
        <v>11.17</v>
      </c>
      <c r="L79" s="97">
        <v>0.12</v>
      </c>
      <c r="M79" s="97">
        <v>0.01</v>
      </c>
      <c r="N79" s="97">
        <v>3.74</v>
      </c>
      <c r="O79" s="91">
        <v>16.45</v>
      </c>
    </row>
    <row r="80" spans="1:15" x14ac:dyDescent="0.2">
      <c r="B80" s="90" t="s">
        <v>82</v>
      </c>
      <c r="C80" s="97">
        <v>8.57</v>
      </c>
      <c r="D80" s="97">
        <v>12.98</v>
      </c>
      <c r="E80" s="97">
        <v>10.31</v>
      </c>
      <c r="F80" s="97">
        <v>9.61</v>
      </c>
      <c r="G80" s="97">
        <v>8.69</v>
      </c>
      <c r="H80" s="97">
        <v>10.91</v>
      </c>
      <c r="I80" s="97">
        <v>13.98</v>
      </c>
      <c r="J80" s="97">
        <v>11.68</v>
      </c>
      <c r="K80" s="97">
        <v>17.48</v>
      </c>
      <c r="L80" s="97">
        <v>18.75</v>
      </c>
      <c r="M80" s="97">
        <v>10.95</v>
      </c>
      <c r="N80" s="97">
        <v>8.17</v>
      </c>
      <c r="O80" s="91">
        <v>142.07999999999998</v>
      </c>
    </row>
    <row r="81" spans="1:15" x14ac:dyDescent="0.2">
      <c r="B81" s="90" t="s">
        <v>83</v>
      </c>
      <c r="C81" s="97">
        <v>7.0000000000000007E-2</v>
      </c>
      <c r="D81" s="97">
        <v>49.2</v>
      </c>
      <c r="E81" s="97">
        <v>0.19</v>
      </c>
      <c r="F81" s="97">
        <v>0.36</v>
      </c>
      <c r="G81" s="97">
        <v>0.45</v>
      </c>
      <c r="H81" s="97">
        <v>7.0000000000000007E-2</v>
      </c>
      <c r="I81" s="97">
        <v>0</v>
      </c>
      <c r="J81" s="97">
        <v>1.46</v>
      </c>
      <c r="K81" s="97">
        <v>447.56</v>
      </c>
      <c r="L81" s="97">
        <v>181.09</v>
      </c>
      <c r="M81" s="97">
        <v>0.31</v>
      </c>
      <c r="N81" s="97">
        <v>0.03</v>
      </c>
      <c r="O81" s="91">
        <v>680.79</v>
      </c>
    </row>
    <row r="82" spans="1:15" x14ac:dyDescent="0.2">
      <c r="B82" s="90" t="s">
        <v>84</v>
      </c>
      <c r="C82" s="97">
        <v>12.04</v>
      </c>
      <c r="D82" s="97">
        <v>14.66</v>
      </c>
      <c r="E82" s="97">
        <v>4.28</v>
      </c>
      <c r="F82" s="97">
        <v>14.41</v>
      </c>
      <c r="G82" s="97">
        <v>9.0500000000000007</v>
      </c>
      <c r="H82" s="97">
        <v>10.62</v>
      </c>
      <c r="I82" s="97">
        <v>9.23</v>
      </c>
      <c r="J82" s="97">
        <v>39.82</v>
      </c>
      <c r="K82" s="97">
        <v>13.01</v>
      </c>
      <c r="L82" s="97">
        <v>11.49</v>
      </c>
      <c r="M82" s="97">
        <v>12.03</v>
      </c>
      <c r="N82" s="97">
        <v>15.71</v>
      </c>
      <c r="O82" s="91">
        <v>166.35000000000002</v>
      </c>
    </row>
    <row r="83" spans="1:15" x14ac:dyDescent="0.2">
      <c r="B83" s="90" t="s">
        <v>85</v>
      </c>
      <c r="C83" s="97">
        <v>0.84</v>
      </c>
      <c r="D83" s="97">
        <v>1.68</v>
      </c>
      <c r="E83" s="97">
        <v>0.44</v>
      </c>
      <c r="F83" s="97">
        <v>0.47</v>
      </c>
      <c r="G83" s="97">
        <v>0.38</v>
      </c>
      <c r="H83" s="97">
        <v>0.43</v>
      </c>
      <c r="I83" s="97">
        <v>0.34</v>
      </c>
      <c r="J83" s="97">
        <v>0.8</v>
      </c>
      <c r="K83" s="97">
        <v>0.45</v>
      </c>
      <c r="L83" s="97">
        <v>0.32</v>
      </c>
      <c r="M83" s="97">
        <v>0.52</v>
      </c>
      <c r="N83" s="97">
        <v>0.34</v>
      </c>
      <c r="O83" s="91">
        <v>7.01</v>
      </c>
    </row>
    <row r="84" spans="1:15" x14ac:dyDescent="0.2">
      <c r="B84" s="90" t="s">
        <v>86</v>
      </c>
      <c r="C84" s="97">
        <v>0.03</v>
      </c>
      <c r="D84" s="97">
        <v>0</v>
      </c>
      <c r="E84" s="97">
        <v>0</v>
      </c>
      <c r="F84" s="97">
        <v>0.01</v>
      </c>
      <c r="G84" s="97">
        <v>0.01</v>
      </c>
      <c r="H84" s="97">
        <v>0</v>
      </c>
      <c r="I84" s="97">
        <v>0</v>
      </c>
      <c r="J84" s="97">
        <v>0.01</v>
      </c>
      <c r="K84" s="97">
        <v>0.01</v>
      </c>
      <c r="L84" s="97">
        <v>0</v>
      </c>
      <c r="M84" s="97">
        <v>1.34</v>
      </c>
      <c r="N84" s="97">
        <v>0</v>
      </c>
      <c r="O84" s="91">
        <v>1.4100000000000001</v>
      </c>
    </row>
    <row r="85" spans="1:15" x14ac:dyDescent="0.2">
      <c r="B85" s="90" t="s">
        <v>87</v>
      </c>
      <c r="C85" s="97">
        <v>0.23</v>
      </c>
      <c r="D85" s="97">
        <v>0.06</v>
      </c>
      <c r="E85" s="97">
        <v>0.02</v>
      </c>
      <c r="F85" s="97">
        <v>0.08</v>
      </c>
      <c r="G85" s="97">
        <v>0.05</v>
      </c>
      <c r="H85" s="97">
        <v>0.05</v>
      </c>
      <c r="I85" s="97">
        <v>0.04</v>
      </c>
      <c r="J85" s="97">
        <v>0.04</v>
      </c>
      <c r="K85" s="97">
        <v>7.0000000000000007E-2</v>
      </c>
      <c r="L85" s="97">
        <v>0.2</v>
      </c>
      <c r="M85" s="97">
        <v>7.0000000000000007E-2</v>
      </c>
      <c r="N85" s="97">
        <v>0.03</v>
      </c>
      <c r="O85" s="91">
        <v>0.94000000000000017</v>
      </c>
    </row>
    <row r="86" spans="1:15" ht="12.75" customHeight="1" x14ac:dyDescent="0.2">
      <c r="C86" s="97"/>
      <c r="D86" s="97"/>
      <c r="E86" s="97"/>
      <c r="F86" s="97"/>
      <c r="G86" s="97"/>
      <c r="H86" s="97"/>
      <c r="I86" s="97"/>
      <c r="J86" s="97"/>
      <c r="K86" s="97"/>
      <c r="L86" s="97"/>
      <c r="M86" s="97"/>
      <c r="N86" s="97"/>
    </row>
    <row r="87" spans="1:15" s="95" customFormat="1" ht="15" x14ac:dyDescent="0.25">
      <c r="A87" s="94" t="s">
        <v>88</v>
      </c>
      <c r="C87" s="96">
        <v>307.15999999999997</v>
      </c>
      <c r="D87" s="96">
        <v>610.54</v>
      </c>
      <c r="E87" s="96">
        <v>192.4</v>
      </c>
      <c r="F87" s="96">
        <v>158.95000000000002</v>
      </c>
      <c r="G87" s="96">
        <v>124.46</v>
      </c>
      <c r="H87" s="96">
        <v>157.83000000000001</v>
      </c>
      <c r="I87" s="115">
        <v>904.94</v>
      </c>
      <c r="J87" s="96">
        <v>388.76000000000005</v>
      </c>
      <c r="K87" s="96">
        <v>240.70999999999998</v>
      </c>
      <c r="L87" s="96">
        <v>186.5</v>
      </c>
      <c r="M87" s="96">
        <v>139.21</v>
      </c>
      <c r="N87" s="96">
        <v>300.08999999999997</v>
      </c>
      <c r="O87" s="106">
        <v>3711.5499999999997</v>
      </c>
    </row>
    <row r="88" spans="1:15" x14ac:dyDescent="0.2">
      <c r="B88" s="105" t="s">
        <v>89</v>
      </c>
      <c r="C88" s="97">
        <v>0.01</v>
      </c>
      <c r="D88" s="97">
        <v>0.05</v>
      </c>
      <c r="E88" s="97">
        <v>3.82</v>
      </c>
      <c r="F88" s="97">
        <v>0.05</v>
      </c>
      <c r="G88" s="97">
        <v>0.05</v>
      </c>
      <c r="H88" s="97">
        <v>1.23</v>
      </c>
      <c r="I88" s="97">
        <v>0.02</v>
      </c>
      <c r="J88" s="97">
        <v>0.13</v>
      </c>
      <c r="K88" s="97">
        <v>0.03</v>
      </c>
      <c r="L88" s="97">
        <v>0.03</v>
      </c>
      <c r="M88" s="97">
        <v>0.01</v>
      </c>
      <c r="N88" s="97">
        <v>0.01</v>
      </c>
      <c r="O88" s="91">
        <v>5.4399999999999986</v>
      </c>
    </row>
    <row r="89" spans="1:15" x14ac:dyDescent="0.2">
      <c r="B89" s="105" t="s">
        <v>90</v>
      </c>
      <c r="C89" s="97">
        <v>0</v>
      </c>
      <c r="D89" s="97">
        <v>0</v>
      </c>
      <c r="E89" s="97">
        <v>0</v>
      </c>
      <c r="F89" s="97">
        <v>0</v>
      </c>
      <c r="G89" s="97">
        <v>4</v>
      </c>
      <c r="H89" s="97">
        <v>0</v>
      </c>
      <c r="I89" s="97">
        <v>0.19</v>
      </c>
      <c r="J89" s="97">
        <v>0.53</v>
      </c>
      <c r="K89" s="97">
        <v>0.09</v>
      </c>
      <c r="L89" s="97">
        <v>0.39</v>
      </c>
      <c r="M89" s="97">
        <v>0.01</v>
      </c>
      <c r="N89" s="97">
        <v>0.05</v>
      </c>
      <c r="O89" s="91">
        <v>5.26</v>
      </c>
    </row>
    <row r="90" spans="1:15" x14ac:dyDescent="0.2">
      <c r="B90" s="105" t="s">
        <v>666</v>
      </c>
      <c r="C90" s="97">
        <v>0</v>
      </c>
      <c r="D90" s="97">
        <v>1.35</v>
      </c>
      <c r="E90" s="97">
        <v>0</v>
      </c>
      <c r="F90" s="97">
        <v>0</v>
      </c>
      <c r="G90" s="97">
        <v>0</v>
      </c>
      <c r="H90" s="97">
        <v>0.02</v>
      </c>
      <c r="I90" s="97">
        <v>0</v>
      </c>
      <c r="J90" s="97">
        <v>0</v>
      </c>
      <c r="K90" s="97">
        <v>0.2</v>
      </c>
      <c r="L90" s="97">
        <v>0</v>
      </c>
      <c r="M90" s="97">
        <v>0</v>
      </c>
      <c r="N90" s="97">
        <v>0</v>
      </c>
      <c r="O90" s="91">
        <v>1.57</v>
      </c>
    </row>
    <row r="91" spans="1:15" x14ac:dyDescent="0.2">
      <c r="B91" s="105" t="s">
        <v>91</v>
      </c>
      <c r="C91" s="97">
        <v>307.14999999999998</v>
      </c>
      <c r="D91" s="97">
        <v>609.14</v>
      </c>
      <c r="E91" s="97">
        <v>188.58</v>
      </c>
      <c r="F91" s="97">
        <v>158.9</v>
      </c>
      <c r="G91" s="97">
        <v>120.41</v>
      </c>
      <c r="H91" s="97">
        <v>156.58000000000001</v>
      </c>
      <c r="I91" s="97">
        <v>904.73</v>
      </c>
      <c r="J91" s="97">
        <v>388.1</v>
      </c>
      <c r="K91" s="97">
        <v>240.39</v>
      </c>
      <c r="L91" s="97">
        <v>186.08</v>
      </c>
      <c r="M91" s="97">
        <v>139.19</v>
      </c>
      <c r="N91" s="97">
        <v>300.02999999999997</v>
      </c>
      <c r="O91" s="91">
        <v>3699.2799999999997</v>
      </c>
    </row>
    <row r="92" spans="1:15" ht="12.75" customHeight="1" x14ac:dyDescent="0.2">
      <c r="C92" s="97"/>
      <c r="D92" s="97"/>
      <c r="E92" s="97"/>
      <c r="F92" s="97"/>
      <c r="G92" s="97"/>
      <c r="H92" s="97"/>
      <c r="I92" s="97"/>
      <c r="J92" s="97"/>
      <c r="K92" s="97"/>
      <c r="L92" s="97"/>
      <c r="M92" s="97"/>
      <c r="N92" s="97"/>
    </row>
    <row r="93" spans="1:15" s="95" customFormat="1" ht="15" x14ac:dyDescent="0.25">
      <c r="A93" s="94" t="s">
        <v>92</v>
      </c>
      <c r="C93" s="96">
        <v>244.69000000000003</v>
      </c>
      <c r="D93" s="96">
        <v>335.26</v>
      </c>
      <c r="E93" s="96">
        <v>220.47000000000003</v>
      </c>
      <c r="F93" s="96">
        <v>333.65</v>
      </c>
      <c r="G93" s="96">
        <v>279.63</v>
      </c>
      <c r="H93" s="96">
        <v>241.38</v>
      </c>
      <c r="I93" s="96">
        <v>321.89999999999998</v>
      </c>
      <c r="J93" s="96">
        <v>432.91</v>
      </c>
      <c r="K93" s="96">
        <v>286.83</v>
      </c>
      <c r="L93" s="96">
        <v>318.10000000000002</v>
      </c>
      <c r="M93" s="96">
        <v>207.87</v>
      </c>
      <c r="N93" s="96">
        <v>190.86</v>
      </c>
      <c r="O93" s="106">
        <v>3413.55</v>
      </c>
    </row>
    <row r="94" spans="1:15" x14ac:dyDescent="0.2">
      <c r="B94" s="90" t="s">
        <v>93</v>
      </c>
      <c r="C94" s="97">
        <v>243.08</v>
      </c>
      <c r="D94" s="97">
        <v>330.17</v>
      </c>
      <c r="E94" s="97">
        <v>218.36</v>
      </c>
      <c r="F94" s="97">
        <v>329.53</v>
      </c>
      <c r="G94" s="97">
        <v>274.19</v>
      </c>
      <c r="H94" s="97">
        <v>238.48</v>
      </c>
      <c r="I94" s="97">
        <v>320.2</v>
      </c>
      <c r="J94" s="97">
        <v>429.22</v>
      </c>
      <c r="K94" s="97">
        <v>284.44</v>
      </c>
      <c r="L94" s="97">
        <v>315.74</v>
      </c>
      <c r="M94" s="97">
        <v>205.53</v>
      </c>
      <c r="N94" s="97">
        <v>189.3</v>
      </c>
      <c r="O94" s="91">
        <v>3378.2400000000002</v>
      </c>
    </row>
    <row r="95" spans="1:15" x14ac:dyDescent="0.2">
      <c r="B95" s="90" t="s">
        <v>94</v>
      </c>
      <c r="C95" s="97">
        <v>1.61</v>
      </c>
      <c r="D95" s="97">
        <v>5.09</v>
      </c>
      <c r="E95" s="97">
        <v>2.11</v>
      </c>
      <c r="F95" s="97">
        <v>4.12</v>
      </c>
      <c r="G95" s="97">
        <v>5.44</v>
      </c>
      <c r="H95" s="97">
        <v>2.9</v>
      </c>
      <c r="I95" s="97">
        <v>1.7</v>
      </c>
      <c r="J95" s="97">
        <v>3.69</v>
      </c>
      <c r="K95" s="97">
        <v>2.39</v>
      </c>
      <c r="L95" s="97">
        <v>2.36</v>
      </c>
      <c r="M95" s="97">
        <v>2.34</v>
      </c>
      <c r="N95" s="97">
        <v>1.56</v>
      </c>
      <c r="O95" s="91">
        <v>35.31</v>
      </c>
    </row>
    <row r="96" spans="1:15" x14ac:dyDescent="0.2">
      <c r="B96" s="90" t="s">
        <v>95</v>
      </c>
      <c r="C96" s="97">
        <v>0</v>
      </c>
      <c r="D96" s="97">
        <v>0</v>
      </c>
      <c r="E96" s="97">
        <v>0</v>
      </c>
      <c r="F96" s="97">
        <v>0</v>
      </c>
      <c r="G96" s="97">
        <v>0</v>
      </c>
      <c r="H96" s="97">
        <v>0</v>
      </c>
      <c r="I96" s="97">
        <v>0</v>
      </c>
      <c r="J96" s="97">
        <v>0</v>
      </c>
      <c r="K96" s="97">
        <v>0</v>
      </c>
      <c r="L96" s="97">
        <v>0</v>
      </c>
      <c r="M96" s="97">
        <v>0</v>
      </c>
      <c r="N96" s="97">
        <v>0</v>
      </c>
      <c r="O96" s="91">
        <v>0</v>
      </c>
    </row>
    <row r="97" spans="1:15" ht="12.75" customHeight="1" x14ac:dyDescent="0.2">
      <c r="C97" s="97"/>
      <c r="D97" s="97"/>
      <c r="E97" s="97"/>
      <c r="F97" s="97"/>
      <c r="G97" s="97"/>
      <c r="H97" s="97"/>
      <c r="I97" s="97"/>
      <c r="J97" s="97"/>
      <c r="K97" s="97"/>
      <c r="L97" s="97"/>
      <c r="M97" s="97"/>
      <c r="N97" s="97"/>
    </row>
    <row r="98" spans="1:15" s="95" customFormat="1" ht="15" x14ac:dyDescent="0.25">
      <c r="A98" s="94" t="s">
        <v>96</v>
      </c>
      <c r="C98" s="96">
        <v>80.11</v>
      </c>
      <c r="D98" s="96">
        <v>16.900000000000002</v>
      </c>
      <c r="E98" s="96">
        <v>13.14</v>
      </c>
      <c r="F98" s="96">
        <v>22.14</v>
      </c>
      <c r="G98" s="96">
        <v>79.699999999999989</v>
      </c>
      <c r="H98" s="96">
        <v>14.25</v>
      </c>
      <c r="I98" s="96">
        <v>16.68</v>
      </c>
      <c r="J98" s="96">
        <v>32.1</v>
      </c>
      <c r="K98" s="96">
        <v>19.399999999999999</v>
      </c>
      <c r="L98" s="96">
        <v>8.65</v>
      </c>
      <c r="M98" s="96">
        <v>16.89</v>
      </c>
      <c r="N98" s="96">
        <v>19.05</v>
      </c>
      <c r="O98" s="106">
        <v>339.01</v>
      </c>
    </row>
    <row r="99" spans="1:15" x14ac:dyDescent="0.2">
      <c r="B99" s="90" t="s">
        <v>97</v>
      </c>
      <c r="C99" s="97">
        <v>78.48</v>
      </c>
      <c r="D99" s="97">
        <v>13.63</v>
      </c>
      <c r="E99" s="97">
        <v>12.08</v>
      </c>
      <c r="F99" s="97">
        <v>20.8</v>
      </c>
      <c r="G99" s="97">
        <v>9.64</v>
      </c>
      <c r="H99" s="97">
        <v>13.68</v>
      </c>
      <c r="I99" s="97">
        <v>15.52</v>
      </c>
      <c r="J99" s="97">
        <v>27.71</v>
      </c>
      <c r="K99" s="97">
        <v>17.28</v>
      </c>
      <c r="L99" s="97">
        <v>7.82</v>
      </c>
      <c r="M99" s="97">
        <v>15.8</v>
      </c>
      <c r="N99" s="97">
        <v>18.63</v>
      </c>
      <c r="O99" s="91">
        <v>251.07000000000002</v>
      </c>
    </row>
    <row r="100" spans="1:15" x14ac:dyDescent="0.2">
      <c r="B100" s="90" t="s">
        <v>98</v>
      </c>
      <c r="C100" s="97">
        <v>1</v>
      </c>
      <c r="D100" s="97">
        <v>2.2599999999999998</v>
      </c>
      <c r="E100" s="97">
        <v>0.57999999999999996</v>
      </c>
      <c r="F100" s="97">
        <v>0.56999999999999995</v>
      </c>
      <c r="G100" s="97">
        <v>69.489999999999995</v>
      </c>
      <c r="H100" s="97">
        <v>0</v>
      </c>
      <c r="I100" s="97">
        <v>0.11</v>
      </c>
      <c r="J100" s="97">
        <v>1.37</v>
      </c>
      <c r="K100" s="97">
        <v>1.56</v>
      </c>
      <c r="L100" s="97">
        <v>0.25</v>
      </c>
      <c r="M100" s="97">
        <v>0.24</v>
      </c>
      <c r="N100" s="97">
        <v>0</v>
      </c>
      <c r="O100" s="91">
        <v>77.429999999999993</v>
      </c>
    </row>
    <row r="101" spans="1:15" x14ac:dyDescent="0.2">
      <c r="B101" s="90" t="s">
        <v>99</v>
      </c>
      <c r="C101" s="97">
        <v>0.63</v>
      </c>
      <c r="D101" s="97">
        <v>1.01</v>
      </c>
      <c r="E101" s="97">
        <v>0.48</v>
      </c>
      <c r="F101" s="97">
        <v>0.77</v>
      </c>
      <c r="G101" s="97">
        <v>0.56999999999999995</v>
      </c>
      <c r="H101" s="97">
        <v>0.56999999999999995</v>
      </c>
      <c r="I101" s="97">
        <v>1.05</v>
      </c>
      <c r="J101" s="97">
        <v>3.02</v>
      </c>
      <c r="K101" s="97">
        <v>0.56000000000000005</v>
      </c>
      <c r="L101" s="97">
        <v>0.57999999999999996</v>
      </c>
      <c r="M101" s="97">
        <v>0.85</v>
      </c>
      <c r="N101" s="97">
        <v>0.42</v>
      </c>
      <c r="O101" s="91">
        <v>10.51</v>
      </c>
    </row>
    <row r="102" spans="1:15" x14ac:dyDescent="0.2">
      <c r="B102" s="90" t="s">
        <v>100</v>
      </c>
      <c r="C102" s="97">
        <v>0</v>
      </c>
      <c r="D102" s="97">
        <v>0</v>
      </c>
      <c r="E102" s="97">
        <v>0</v>
      </c>
      <c r="F102" s="97">
        <v>0</v>
      </c>
      <c r="G102" s="97">
        <v>0</v>
      </c>
      <c r="H102" s="97">
        <v>0</v>
      </c>
      <c r="I102" s="97">
        <v>0</v>
      </c>
      <c r="J102" s="97">
        <v>0</v>
      </c>
      <c r="K102" s="97">
        <v>0</v>
      </c>
      <c r="L102" s="97">
        <v>0</v>
      </c>
      <c r="M102" s="97">
        <v>0</v>
      </c>
      <c r="N102" s="97">
        <v>0</v>
      </c>
      <c r="O102" s="91">
        <v>0</v>
      </c>
    </row>
    <row r="103" spans="1:15" x14ac:dyDescent="0.2">
      <c r="B103" s="90" t="s">
        <v>101</v>
      </c>
      <c r="C103" s="97">
        <v>0</v>
      </c>
      <c r="D103" s="97">
        <v>0</v>
      </c>
      <c r="E103" s="97">
        <v>0</v>
      </c>
      <c r="F103" s="97">
        <v>0</v>
      </c>
      <c r="G103" s="97">
        <v>0</v>
      </c>
      <c r="H103" s="97">
        <v>0</v>
      </c>
      <c r="I103" s="97">
        <v>0</v>
      </c>
      <c r="J103" s="97">
        <v>0</v>
      </c>
      <c r="K103" s="97">
        <v>0</v>
      </c>
      <c r="L103" s="97">
        <v>0</v>
      </c>
      <c r="M103" s="97">
        <v>0</v>
      </c>
      <c r="N103" s="97">
        <v>0</v>
      </c>
      <c r="O103" s="91">
        <v>0</v>
      </c>
    </row>
    <row r="104" spans="1:15" ht="12.75" customHeight="1" x14ac:dyDescent="0.2">
      <c r="C104" s="97"/>
      <c r="D104" s="97"/>
      <c r="E104" s="97"/>
      <c r="F104" s="97"/>
      <c r="G104" s="97"/>
      <c r="H104" s="97"/>
      <c r="I104" s="97"/>
      <c r="J104" s="97"/>
      <c r="K104" s="97"/>
      <c r="L104" s="97"/>
      <c r="M104" s="97"/>
      <c r="N104" s="97"/>
    </row>
    <row r="105" spans="1:15" s="95" customFormat="1" ht="15" x14ac:dyDescent="0.25">
      <c r="A105" s="94" t="s">
        <v>102</v>
      </c>
      <c r="C105" s="96">
        <v>3.42</v>
      </c>
      <c r="D105" s="96">
        <v>8.36</v>
      </c>
      <c r="E105" s="96">
        <v>15.23</v>
      </c>
      <c r="F105" s="96">
        <v>10.709999999999999</v>
      </c>
      <c r="G105" s="96">
        <v>4.28</v>
      </c>
      <c r="H105" s="96">
        <v>3.22</v>
      </c>
      <c r="I105" s="96">
        <v>2.94</v>
      </c>
      <c r="J105" s="96">
        <v>6.04</v>
      </c>
      <c r="K105" s="96">
        <v>15.260000000000002</v>
      </c>
      <c r="L105" s="96">
        <v>9.19</v>
      </c>
      <c r="M105" s="96">
        <v>3.3999999999999995</v>
      </c>
      <c r="N105" s="96">
        <v>1.1600000000000001</v>
      </c>
      <c r="O105" s="106">
        <v>83.210000000000008</v>
      </c>
    </row>
    <row r="106" spans="1:15" x14ac:dyDescent="0.2">
      <c r="B106" s="90" t="s">
        <v>103</v>
      </c>
      <c r="C106" s="97">
        <v>1.21</v>
      </c>
      <c r="D106" s="97">
        <v>1.1599999999999999</v>
      </c>
      <c r="E106" s="97">
        <v>0.24</v>
      </c>
      <c r="F106" s="97">
        <v>0.37</v>
      </c>
      <c r="G106" s="97">
        <v>0.25</v>
      </c>
      <c r="H106" s="97">
        <v>0.57999999999999996</v>
      </c>
      <c r="I106" s="97">
        <v>0.21</v>
      </c>
      <c r="J106" s="97">
        <v>0.68</v>
      </c>
      <c r="K106" s="97">
        <v>2.98</v>
      </c>
      <c r="L106" s="97">
        <v>1.1399999999999999</v>
      </c>
      <c r="M106" s="97">
        <v>0.4</v>
      </c>
      <c r="N106" s="97">
        <v>0.39</v>
      </c>
      <c r="O106" s="91">
        <v>9.6100000000000012</v>
      </c>
    </row>
    <row r="107" spans="1:15" x14ac:dyDescent="0.2">
      <c r="B107" s="90" t="s">
        <v>104</v>
      </c>
      <c r="C107" s="97">
        <v>0.55000000000000004</v>
      </c>
      <c r="D107" s="97">
        <v>3.79</v>
      </c>
      <c r="E107" s="97">
        <v>5.08</v>
      </c>
      <c r="F107" s="97">
        <v>1.39</v>
      </c>
      <c r="G107" s="97">
        <v>2.59</v>
      </c>
      <c r="H107" s="97">
        <v>0.37</v>
      </c>
      <c r="I107" s="97">
        <v>0.05</v>
      </c>
      <c r="J107" s="97">
        <v>1.33</v>
      </c>
      <c r="K107" s="97">
        <v>0.43</v>
      </c>
      <c r="L107" s="97">
        <v>1.08</v>
      </c>
      <c r="M107" s="97">
        <v>1.98</v>
      </c>
      <c r="N107" s="97">
        <v>0</v>
      </c>
      <c r="O107" s="91">
        <v>18.64</v>
      </c>
    </row>
    <row r="108" spans="1:15" x14ac:dyDescent="0.2">
      <c r="B108" s="90" t="s">
        <v>105</v>
      </c>
      <c r="C108" s="97">
        <v>0.37</v>
      </c>
      <c r="D108" s="97">
        <v>2.2999999999999998</v>
      </c>
      <c r="E108" s="97">
        <v>8.81</v>
      </c>
      <c r="F108" s="97">
        <v>7.51</v>
      </c>
      <c r="G108" s="97">
        <v>0.62</v>
      </c>
      <c r="H108" s="97">
        <v>1.21</v>
      </c>
      <c r="I108" s="97">
        <v>0.96</v>
      </c>
      <c r="J108" s="97">
        <v>1.67</v>
      </c>
      <c r="K108" s="97">
        <v>10.38</v>
      </c>
      <c r="L108" s="97">
        <v>6.6</v>
      </c>
      <c r="M108" s="97">
        <v>0.47</v>
      </c>
      <c r="N108" s="97">
        <v>0.25</v>
      </c>
      <c r="O108" s="91">
        <v>41.150000000000006</v>
      </c>
    </row>
    <row r="109" spans="1:15" x14ac:dyDescent="0.2">
      <c r="B109" s="90" t="s">
        <v>106</v>
      </c>
      <c r="C109" s="97">
        <v>1.29</v>
      </c>
      <c r="D109" s="97">
        <v>1.1100000000000001</v>
      </c>
      <c r="E109" s="97">
        <v>1.1000000000000001</v>
      </c>
      <c r="F109" s="97">
        <v>1.44</v>
      </c>
      <c r="G109" s="97">
        <v>0.82</v>
      </c>
      <c r="H109" s="97">
        <v>1.06</v>
      </c>
      <c r="I109" s="97">
        <v>1.72</v>
      </c>
      <c r="J109" s="97">
        <v>2.36</v>
      </c>
      <c r="K109" s="97">
        <v>1.47</v>
      </c>
      <c r="L109" s="97">
        <v>0.37</v>
      </c>
      <c r="M109" s="97">
        <v>0.55000000000000004</v>
      </c>
      <c r="N109" s="97">
        <v>0.52</v>
      </c>
      <c r="O109" s="91">
        <v>13.81</v>
      </c>
    </row>
    <row r="110" spans="1:15" ht="12.75" customHeight="1" x14ac:dyDescent="0.2">
      <c r="C110" s="97"/>
      <c r="D110" s="97"/>
      <c r="E110" s="97"/>
      <c r="F110" s="97"/>
      <c r="G110" s="97"/>
      <c r="H110" s="97"/>
      <c r="I110" s="97"/>
      <c r="J110" s="97"/>
      <c r="K110" s="97"/>
      <c r="L110" s="97"/>
      <c r="M110" s="97"/>
      <c r="N110" s="97"/>
    </row>
    <row r="111" spans="1:15" s="95" customFormat="1" ht="15" x14ac:dyDescent="0.25">
      <c r="A111" s="94" t="s">
        <v>107</v>
      </c>
      <c r="C111" s="19">
        <v>1107.1899999999998</v>
      </c>
      <c r="D111" s="19">
        <v>1597.59</v>
      </c>
      <c r="E111" s="96">
        <v>867.46</v>
      </c>
      <c r="F111" s="19">
        <v>1233.1400000000001</v>
      </c>
      <c r="G111" s="19">
        <v>1079.43</v>
      </c>
      <c r="H111" s="96">
        <v>977.61999999999989</v>
      </c>
      <c r="I111" s="19">
        <v>1097.77</v>
      </c>
      <c r="J111" s="19">
        <v>1618.6100000000001</v>
      </c>
      <c r="K111" s="19">
        <v>1691.94</v>
      </c>
      <c r="L111" s="19">
        <v>1264.2400000000002</v>
      </c>
      <c r="M111" s="19">
        <v>1247.71</v>
      </c>
      <c r="N111" s="96">
        <v>773.67000000000007</v>
      </c>
      <c r="O111" s="106">
        <v>14556.369999999999</v>
      </c>
    </row>
    <row r="112" spans="1:15" x14ac:dyDescent="0.2">
      <c r="B112" s="90" t="s">
        <v>108</v>
      </c>
      <c r="C112" s="97">
        <v>3.95</v>
      </c>
      <c r="D112" s="97">
        <v>8.58</v>
      </c>
      <c r="E112" s="97">
        <v>4.54</v>
      </c>
      <c r="F112" s="97">
        <v>6.02</v>
      </c>
      <c r="G112" s="97">
        <v>4.62</v>
      </c>
      <c r="H112" s="97">
        <v>5.34</v>
      </c>
      <c r="I112" s="97">
        <v>4.5199999999999996</v>
      </c>
      <c r="J112" s="97">
        <v>36.380000000000003</v>
      </c>
      <c r="K112" s="97">
        <v>5.99</v>
      </c>
      <c r="L112" s="97">
        <v>6.05</v>
      </c>
      <c r="M112" s="97">
        <v>4.68</v>
      </c>
      <c r="N112" s="97">
        <v>4.43</v>
      </c>
      <c r="O112" s="91">
        <v>95.1</v>
      </c>
    </row>
    <row r="113" spans="1:15" x14ac:dyDescent="0.2">
      <c r="B113" s="90" t="s">
        <v>109</v>
      </c>
      <c r="C113" s="97">
        <v>0.31</v>
      </c>
      <c r="D113" s="97">
        <v>1.97</v>
      </c>
      <c r="E113" s="97">
        <v>0.22</v>
      </c>
      <c r="F113" s="97">
        <v>0.22</v>
      </c>
      <c r="G113" s="97">
        <v>0.12</v>
      </c>
      <c r="H113" s="97">
        <v>0.13</v>
      </c>
      <c r="I113" s="97">
        <v>0.24</v>
      </c>
      <c r="J113" s="97">
        <v>0.24</v>
      </c>
      <c r="K113" s="97">
        <v>0.38</v>
      </c>
      <c r="L113" s="97">
        <v>0.69</v>
      </c>
      <c r="M113" s="97">
        <v>0.32</v>
      </c>
      <c r="N113" s="97">
        <v>0</v>
      </c>
      <c r="O113" s="91">
        <v>4.84</v>
      </c>
    </row>
    <row r="114" spans="1:15" x14ac:dyDescent="0.2">
      <c r="B114" s="90" t="s">
        <v>110</v>
      </c>
      <c r="C114" s="97">
        <v>441.53</v>
      </c>
      <c r="D114" s="97">
        <v>827.03</v>
      </c>
      <c r="E114" s="97">
        <v>361.49</v>
      </c>
      <c r="F114" s="97">
        <v>552.33000000000004</v>
      </c>
      <c r="G114" s="97">
        <v>423.82</v>
      </c>
      <c r="H114" s="97">
        <v>396.07</v>
      </c>
      <c r="I114" s="97">
        <v>472.95</v>
      </c>
      <c r="J114" s="97">
        <v>884.5</v>
      </c>
      <c r="K114" s="97">
        <v>631.54999999999995</v>
      </c>
      <c r="L114" s="97">
        <v>642.6</v>
      </c>
      <c r="M114" s="97">
        <v>511.51</v>
      </c>
      <c r="N114" s="97">
        <v>357.31</v>
      </c>
      <c r="O114" s="91">
        <v>6502.6900000000014</v>
      </c>
    </row>
    <row r="115" spans="1:15" x14ac:dyDescent="0.2">
      <c r="B115" s="90" t="s">
        <v>111</v>
      </c>
      <c r="C115" s="97">
        <v>619.17999999999995</v>
      </c>
      <c r="D115" s="97">
        <v>728.52</v>
      </c>
      <c r="E115" s="97">
        <v>465.46</v>
      </c>
      <c r="F115" s="97">
        <v>635.67999999999995</v>
      </c>
      <c r="G115" s="97">
        <v>618.91</v>
      </c>
      <c r="H115" s="97">
        <v>539.80999999999995</v>
      </c>
      <c r="I115" s="97">
        <v>587.98</v>
      </c>
      <c r="J115" s="97">
        <v>661.53</v>
      </c>
      <c r="K115" s="97">
        <v>1029.5999999999999</v>
      </c>
      <c r="L115" s="97">
        <v>580.44000000000005</v>
      </c>
      <c r="M115" s="97">
        <v>687.21</v>
      </c>
      <c r="N115" s="97">
        <v>400.44</v>
      </c>
      <c r="O115" s="91">
        <v>7554.7599999999984</v>
      </c>
    </row>
    <row r="116" spans="1:15" x14ac:dyDescent="0.2">
      <c r="B116" s="90" t="s">
        <v>112</v>
      </c>
      <c r="C116" s="97">
        <v>42.22</v>
      </c>
      <c r="D116" s="97">
        <v>31.49</v>
      </c>
      <c r="E116" s="97">
        <v>35.75</v>
      </c>
      <c r="F116" s="97">
        <v>38.89</v>
      </c>
      <c r="G116" s="97">
        <v>31.96</v>
      </c>
      <c r="H116" s="97">
        <v>36.270000000000003</v>
      </c>
      <c r="I116" s="97">
        <v>32.08</v>
      </c>
      <c r="J116" s="97">
        <v>35.96</v>
      </c>
      <c r="K116" s="97">
        <v>24.42</v>
      </c>
      <c r="L116" s="97">
        <v>34.46</v>
      </c>
      <c r="M116" s="97">
        <v>43.99</v>
      </c>
      <c r="N116" s="97">
        <v>11.49</v>
      </c>
      <c r="O116" s="91">
        <v>398.98</v>
      </c>
    </row>
    <row r="117" spans="1:15" x14ac:dyDescent="0.2">
      <c r="C117" s="97"/>
      <c r="D117" s="97"/>
      <c r="E117" s="97"/>
      <c r="F117" s="97"/>
      <c r="G117" s="97"/>
      <c r="H117" s="97"/>
      <c r="I117" s="97"/>
      <c r="J117" s="97"/>
      <c r="K117" s="97"/>
      <c r="L117" s="97"/>
      <c r="M117" s="97"/>
      <c r="N117" s="97"/>
    </row>
    <row r="118" spans="1:15" s="95" customFormat="1" ht="15" x14ac:dyDescent="0.25">
      <c r="A118" s="94" t="s">
        <v>113</v>
      </c>
      <c r="C118" s="96">
        <v>81.819999999999993</v>
      </c>
      <c r="D118" s="96">
        <v>152.26000000000002</v>
      </c>
      <c r="E118" s="96">
        <v>64.72</v>
      </c>
      <c r="F118" s="96">
        <v>104.95999999999998</v>
      </c>
      <c r="G118" s="96">
        <v>88.089999999999989</v>
      </c>
      <c r="H118" s="96">
        <v>80.439999999999984</v>
      </c>
      <c r="I118" s="96">
        <v>65.830000000000013</v>
      </c>
      <c r="J118" s="96">
        <v>135.37</v>
      </c>
      <c r="K118" s="96">
        <v>102.28000000000002</v>
      </c>
      <c r="L118" s="96">
        <v>102.56</v>
      </c>
      <c r="M118" s="96">
        <v>110.88000000000002</v>
      </c>
      <c r="N118" s="96">
        <v>87.170000000000016</v>
      </c>
      <c r="O118" s="106">
        <v>1176.3799999999999</v>
      </c>
    </row>
    <row r="119" spans="1:15" x14ac:dyDescent="0.2">
      <c r="B119" s="90" t="s">
        <v>108</v>
      </c>
      <c r="C119" s="97">
        <v>52.87</v>
      </c>
      <c r="D119" s="97">
        <v>97.42</v>
      </c>
      <c r="E119" s="97">
        <v>43.96</v>
      </c>
      <c r="F119" s="97">
        <v>80.77</v>
      </c>
      <c r="G119" s="97">
        <v>71.599999999999994</v>
      </c>
      <c r="H119" s="97">
        <v>64.349999999999994</v>
      </c>
      <c r="I119" s="97">
        <v>56.77</v>
      </c>
      <c r="J119" s="97">
        <v>117.88</v>
      </c>
      <c r="K119" s="97">
        <v>77.95</v>
      </c>
      <c r="L119" s="97">
        <v>86.61</v>
      </c>
      <c r="M119" s="97">
        <v>86.67</v>
      </c>
      <c r="N119" s="97">
        <v>70.16</v>
      </c>
      <c r="O119" s="91">
        <v>907.01</v>
      </c>
    </row>
    <row r="120" spans="1:15" x14ac:dyDescent="0.2">
      <c r="B120" s="90" t="s">
        <v>114</v>
      </c>
      <c r="C120" s="97">
        <v>0.05</v>
      </c>
      <c r="D120" s="97">
        <v>0</v>
      </c>
      <c r="E120" s="97">
        <v>0</v>
      </c>
      <c r="F120" s="97">
        <v>0.01</v>
      </c>
      <c r="G120" s="97">
        <v>0.06</v>
      </c>
      <c r="H120" s="97">
        <v>0</v>
      </c>
      <c r="I120" s="97">
        <v>0</v>
      </c>
      <c r="J120" s="97">
        <v>0.02</v>
      </c>
      <c r="K120" s="97">
        <v>0.01</v>
      </c>
      <c r="L120" s="97">
        <v>0</v>
      </c>
      <c r="M120" s="97">
        <v>0.12</v>
      </c>
      <c r="N120" s="97">
        <v>0.01</v>
      </c>
      <c r="O120" s="91">
        <v>0.28000000000000003</v>
      </c>
    </row>
    <row r="121" spans="1:15" x14ac:dyDescent="0.2">
      <c r="B121" s="90" t="s">
        <v>115</v>
      </c>
      <c r="C121" s="97">
        <v>0.04</v>
      </c>
      <c r="D121" s="97">
        <v>0.18</v>
      </c>
      <c r="E121" s="97">
        <v>0.02</v>
      </c>
      <c r="F121" s="97">
        <v>0.24</v>
      </c>
      <c r="G121" s="97">
        <v>0.13</v>
      </c>
      <c r="H121" s="97">
        <v>1.22</v>
      </c>
      <c r="I121" s="97">
        <v>0.64</v>
      </c>
      <c r="J121" s="97">
        <v>0.09</v>
      </c>
      <c r="K121" s="97">
        <v>0.1</v>
      </c>
      <c r="L121" s="97">
        <v>0.05</v>
      </c>
      <c r="M121" s="97">
        <v>0.06</v>
      </c>
      <c r="N121" s="97">
        <v>0.84</v>
      </c>
      <c r="O121" s="91">
        <v>3.61</v>
      </c>
    </row>
    <row r="122" spans="1:15" x14ac:dyDescent="0.2">
      <c r="B122" s="90" t="s">
        <v>116</v>
      </c>
      <c r="C122" s="97">
        <v>0.02</v>
      </c>
      <c r="D122" s="97">
        <v>0.01</v>
      </c>
      <c r="E122" s="97">
        <v>0</v>
      </c>
      <c r="F122" s="97">
        <v>0.11</v>
      </c>
      <c r="G122" s="97">
        <v>0.01</v>
      </c>
      <c r="H122" s="97">
        <v>0</v>
      </c>
      <c r="I122" s="97">
        <v>0.02</v>
      </c>
      <c r="J122" s="97">
        <v>1.87</v>
      </c>
      <c r="K122" s="97">
        <v>0</v>
      </c>
      <c r="L122" s="97">
        <v>0.01</v>
      </c>
      <c r="M122" s="97">
        <v>1.5</v>
      </c>
      <c r="N122" s="97">
        <v>0</v>
      </c>
      <c r="O122" s="91">
        <v>3.55</v>
      </c>
    </row>
    <row r="123" spans="1:15" ht="12.75" customHeight="1" x14ac:dyDescent="0.2">
      <c r="B123" s="90" t="s">
        <v>117</v>
      </c>
      <c r="C123" s="97">
        <v>0.04</v>
      </c>
      <c r="D123" s="97">
        <v>0.04</v>
      </c>
      <c r="E123" s="97">
        <v>0</v>
      </c>
      <c r="F123" s="97">
        <v>0</v>
      </c>
      <c r="G123" s="97">
        <v>0</v>
      </c>
      <c r="H123" s="97">
        <v>0</v>
      </c>
      <c r="I123" s="97">
        <v>0</v>
      </c>
      <c r="J123" s="97">
        <v>0</v>
      </c>
      <c r="K123" s="97">
        <v>0</v>
      </c>
      <c r="L123" s="97">
        <v>0</v>
      </c>
      <c r="M123" s="97">
        <v>0</v>
      </c>
      <c r="N123" s="97">
        <v>0.01</v>
      </c>
      <c r="O123" s="91">
        <v>0.09</v>
      </c>
    </row>
    <row r="124" spans="1:15" x14ac:dyDescent="0.2">
      <c r="B124" s="90" t="s">
        <v>118</v>
      </c>
      <c r="C124" s="97">
        <v>24.96</v>
      </c>
      <c r="D124" s="97">
        <v>33.520000000000003</v>
      </c>
      <c r="E124" s="97">
        <v>14.9</v>
      </c>
      <c r="F124" s="97">
        <v>16.79</v>
      </c>
      <c r="G124" s="97">
        <v>13.75</v>
      </c>
      <c r="H124" s="97">
        <v>13.91</v>
      </c>
      <c r="I124" s="97">
        <v>7.26</v>
      </c>
      <c r="J124" s="97">
        <v>14.37</v>
      </c>
      <c r="K124" s="97">
        <v>18.399999999999999</v>
      </c>
      <c r="L124" s="97">
        <v>14.8</v>
      </c>
      <c r="M124" s="97">
        <v>17.79</v>
      </c>
      <c r="N124" s="97">
        <v>13.45</v>
      </c>
      <c r="O124" s="91">
        <v>203.9</v>
      </c>
    </row>
    <row r="125" spans="1:15" ht="12.75" customHeight="1" x14ac:dyDescent="0.2">
      <c r="B125" s="90" t="s">
        <v>119</v>
      </c>
      <c r="C125" s="97">
        <v>3.5</v>
      </c>
      <c r="D125" s="97">
        <v>20.99</v>
      </c>
      <c r="E125" s="97">
        <v>5.21</v>
      </c>
      <c r="F125" s="97">
        <v>6.74</v>
      </c>
      <c r="G125" s="97">
        <v>2.38</v>
      </c>
      <c r="H125" s="97">
        <v>0.8</v>
      </c>
      <c r="I125" s="97">
        <v>0.91</v>
      </c>
      <c r="J125" s="97">
        <v>0.8</v>
      </c>
      <c r="K125" s="97">
        <v>5.73</v>
      </c>
      <c r="L125" s="97">
        <v>0.92</v>
      </c>
      <c r="M125" s="97">
        <v>4.2300000000000004</v>
      </c>
      <c r="N125" s="97">
        <v>2.41</v>
      </c>
      <c r="O125" s="91">
        <v>54.61999999999999</v>
      </c>
    </row>
    <row r="126" spans="1:15" ht="12.75" customHeight="1" x14ac:dyDescent="0.2">
      <c r="B126" s="90" t="s">
        <v>120</v>
      </c>
      <c r="C126" s="97">
        <v>0.34</v>
      </c>
      <c r="D126" s="97">
        <v>0.1</v>
      </c>
      <c r="E126" s="97">
        <v>0.63</v>
      </c>
      <c r="F126" s="97">
        <v>0.3</v>
      </c>
      <c r="G126" s="97">
        <v>0.16</v>
      </c>
      <c r="H126" s="97">
        <v>0.16</v>
      </c>
      <c r="I126" s="97">
        <v>0.23</v>
      </c>
      <c r="J126" s="97">
        <v>0.34</v>
      </c>
      <c r="K126" s="97">
        <v>0.09</v>
      </c>
      <c r="L126" s="97">
        <v>0.17</v>
      </c>
      <c r="M126" s="97">
        <v>0.51</v>
      </c>
      <c r="N126" s="97">
        <v>0.28999999999999998</v>
      </c>
      <c r="O126" s="91">
        <v>3.3199999999999994</v>
      </c>
    </row>
    <row r="127" spans="1:15" ht="12.75" customHeight="1" x14ac:dyDescent="0.2">
      <c r="C127" s="97"/>
      <c r="D127" s="97"/>
      <c r="E127" s="97"/>
      <c r="F127" s="97"/>
      <c r="G127" s="97"/>
      <c r="H127" s="97"/>
      <c r="I127" s="97"/>
      <c r="J127" s="97"/>
      <c r="K127" s="97"/>
      <c r="L127" s="97"/>
      <c r="M127" s="97"/>
      <c r="N127" s="97"/>
    </row>
    <row r="128" spans="1:15" s="95" customFormat="1" ht="12.75" customHeight="1" x14ac:dyDescent="0.25">
      <c r="A128" s="94" t="s">
        <v>121</v>
      </c>
      <c r="C128" s="96">
        <v>3.57</v>
      </c>
      <c r="D128" s="96">
        <v>2.56</v>
      </c>
      <c r="E128" s="96">
        <v>2.29</v>
      </c>
      <c r="F128" s="96">
        <v>3.74</v>
      </c>
      <c r="G128" s="96">
        <v>2.4500000000000002</v>
      </c>
      <c r="H128" s="96">
        <v>2.2200000000000002</v>
      </c>
      <c r="I128" s="96">
        <v>2.69</v>
      </c>
      <c r="J128" s="96">
        <v>3.79</v>
      </c>
      <c r="K128" s="96">
        <v>3.18</v>
      </c>
      <c r="L128" s="96">
        <v>3.49</v>
      </c>
      <c r="M128" s="96">
        <v>22.4</v>
      </c>
      <c r="N128" s="96">
        <v>9.26</v>
      </c>
      <c r="O128" s="106">
        <v>61.639999999999993</v>
      </c>
    </row>
    <row r="129" spans="1:15" ht="12.75" customHeight="1" x14ac:dyDescent="0.2">
      <c r="B129" s="90" t="s">
        <v>108</v>
      </c>
      <c r="C129" s="97">
        <v>3.57</v>
      </c>
      <c r="D129" s="97">
        <v>2.56</v>
      </c>
      <c r="E129" s="97">
        <v>2.29</v>
      </c>
      <c r="F129" s="97">
        <v>3.74</v>
      </c>
      <c r="G129" s="97">
        <v>2.4500000000000002</v>
      </c>
      <c r="H129" s="97">
        <v>2.2200000000000002</v>
      </c>
      <c r="I129" s="97">
        <v>2.69</v>
      </c>
      <c r="J129" s="97">
        <v>3.79</v>
      </c>
      <c r="K129" s="97">
        <v>3.18</v>
      </c>
      <c r="L129" s="97">
        <v>3.49</v>
      </c>
      <c r="M129" s="97">
        <v>22.4</v>
      </c>
      <c r="N129" s="97">
        <v>9.26</v>
      </c>
      <c r="O129" s="91">
        <v>61.639999999999993</v>
      </c>
    </row>
    <row r="130" spans="1:15" ht="12.75" customHeight="1" x14ac:dyDescent="0.2">
      <c r="C130" s="97"/>
      <c r="D130" s="97"/>
      <c r="E130" s="97"/>
      <c r="F130" s="97"/>
      <c r="G130" s="97"/>
      <c r="H130" s="97"/>
      <c r="I130" s="97"/>
      <c r="J130" s="97"/>
      <c r="K130" s="97"/>
      <c r="L130" s="97"/>
      <c r="M130" s="97"/>
      <c r="N130" s="97"/>
    </row>
    <row r="131" spans="1:15" s="95" customFormat="1" ht="15" x14ac:dyDescent="0.25">
      <c r="A131" s="94" t="s">
        <v>122</v>
      </c>
      <c r="C131" s="96">
        <v>101.85000000000001</v>
      </c>
      <c r="D131" s="96">
        <v>109.97</v>
      </c>
      <c r="E131" s="96">
        <v>125.8</v>
      </c>
      <c r="F131" s="96">
        <v>91.649999999999991</v>
      </c>
      <c r="G131" s="96">
        <v>170.62</v>
      </c>
      <c r="H131" s="96">
        <v>195.03</v>
      </c>
      <c r="I131" s="96">
        <v>164.1</v>
      </c>
      <c r="J131" s="96">
        <v>261.27</v>
      </c>
      <c r="K131" s="96">
        <v>167.16</v>
      </c>
      <c r="L131" s="96">
        <v>160.03</v>
      </c>
      <c r="M131" s="96">
        <v>137.19</v>
      </c>
      <c r="N131" s="96">
        <v>115.50999999999999</v>
      </c>
      <c r="O131" s="106">
        <v>1800.1800000000003</v>
      </c>
    </row>
    <row r="132" spans="1:15" x14ac:dyDescent="0.2">
      <c r="B132" s="90" t="s">
        <v>123</v>
      </c>
      <c r="C132" s="97">
        <v>0</v>
      </c>
      <c r="D132" s="97">
        <v>0</v>
      </c>
      <c r="E132" s="97">
        <v>0</v>
      </c>
      <c r="F132" s="97">
        <v>0</v>
      </c>
      <c r="G132" s="97">
        <v>0</v>
      </c>
      <c r="H132" s="97">
        <v>0</v>
      </c>
      <c r="I132" s="97">
        <v>0</v>
      </c>
      <c r="J132" s="97">
        <v>0</v>
      </c>
      <c r="K132" s="97">
        <v>0</v>
      </c>
      <c r="L132" s="97">
        <v>0</v>
      </c>
      <c r="M132" s="97">
        <v>0</v>
      </c>
      <c r="N132" s="97">
        <v>0</v>
      </c>
      <c r="O132" s="91">
        <v>0</v>
      </c>
    </row>
    <row r="133" spans="1:15" x14ac:dyDescent="0.2">
      <c r="B133" s="90" t="s">
        <v>124</v>
      </c>
      <c r="C133" s="97">
        <v>101.84</v>
      </c>
      <c r="D133" s="97">
        <v>109.25</v>
      </c>
      <c r="E133" s="97">
        <v>125.77</v>
      </c>
      <c r="F133" s="97">
        <v>91.63</v>
      </c>
      <c r="G133" s="97">
        <v>170.56</v>
      </c>
      <c r="H133" s="97">
        <v>194.82</v>
      </c>
      <c r="I133" s="97">
        <v>164.04</v>
      </c>
      <c r="J133" s="97">
        <v>261.13</v>
      </c>
      <c r="K133" s="97">
        <v>167.15</v>
      </c>
      <c r="L133" s="97">
        <v>159.84</v>
      </c>
      <c r="M133" s="97">
        <v>137.16999999999999</v>
      </c>
      <c r="N133" s="97">
        <v>115.41</v>
      </c>
      <c r="O133" s="91">
        <v>1798.6100000000001</v>
      </c>
    </row>
    <row r="134" spans="1:15" x14ac:dyDescent="0.2">
      <c r="B134" s="90" t="s">
        <v>126</v>
      </c>
      <c r="C134" s="97">
        <v>0.01</v>
      </c>
      <c r="D134" s="97">
        <v>0.06</v>
      </c>
      <c r="E134" s="97">
        <v>0.03</v>
      </c>
      <c r="F134" s="97">
        <v>0.02</v>
      </c>
      <c r="G134" s="97">
        <v>0.06</v>
      </c>
      <c r="H134" s="97">
        <v>0.21</v>
      </c>
      <c r="I134" s="97">
        <v>0.06</v>
      </c>
      <c r="J134" s="97">
        <v>0.14000000000000001</v>
      </c>
      <c r="K134" s="97">
        <v>0.01</v>
      </c>
      <c r="L134" s="97">
        <v>0.19</v>
      </c>
      <c r="M134" s="97">
        <v>0.02</v>
      </c>
      <c r="N134" s="97">
        <v>0.1</v>
      </c>
      <c r="O134" s="91">
        <v>0.91</v>
      </c>
    </row>
    <row r="135" spans="1:15" x14ac:dyDescent="0.2">
      <c r="B135" s="90" t="s">
        <v>127</v>
      </c>
      <c r="C135" s="97">
        <v>0</v>
      </c>
      <c r="D135" s="97">
        <v>0.66</v>
      </c>
      <c r="E135" s="97">
        <v>0</v>
      </c>
      <c r="F135" s="97">
        <v>0</v>
      </c>
      <c r="G135" s="97">
        <v>0</v>
      </c>
      <c r="H135" s="97">
        <v>0</v>
      </c>
      <c r="I135" s="97">
        <v>0</v>
      </c>
      <c r="J135" s="97">
        <v>0</v>
      </c>
      <c r="K135" s="97">
        <v>0</v>
      </c>
      <c r="L135" s="97">
        <v>0</v>
      </c>
      <c r="M135" s="97">
        <v>0</v>
      </c>
      <c r="N135" s="97">
        <v>0</v>
      </c>
      <c r="O135" s="91">
        <v>0.66</v>
      </c>
    </row>
    <row r="136" spans="1:15" x14ac:dyDescent="0.2">
      <c r="C136" s="97"/>
      <c r="D136" s="97"/>
      <c r="E136" s="97"/>
      <c r="F136" s="97"/>
      <c r="G136" s="97"/>
      <c r="H136" s="97"/>
      <c r="I136" s="97"/>
      <c r="J136" s="97"/>
      <c r="K136" s="97"/>
      <c r="L136" s="97"/>
      <c r="M136" s="97"/>
      <c r="N136" s="97"/>
    </row>
    <row r="137" spans="1:15" s="95" customFormat="1" ht="15" x14ac:dyDescent="0.25">
      <c r="A137" s="94" t="s">
        <v>128</v>
      </c>
      <c r="C137" s="96">
        <v>320.53000000000003</v>
      </c>
      <c r="D137" s="96">
        <v>242.75</v>
      </c>
      <c r="E137" s="96">
        <v>873.03</v>
      </c>
      <c r="F137" s="96">
        <v>234.64</v>
      </c>
      <c r="G137" s="96">
        <v>129.88999999999999</v>
      </c>
      <c r="H137" s="96">
        <v>98.9</v>
      </c>
      <c r="I137" s="96">
        <v>154.48000000000002</v>
      </c>
      <c r="J137" s="96">
        <v>153.32000000000002</v>
      </c>
      <c r="K137" s="96">
        <v>236.71</v>
      </c>
      <c r="L137" s="96">
        <v>142.82000000000002</v>
      </c>
      <c r="M137" s="96">
        <v>2238.6</v>
      </c>
      <c r="N137" s="96">
        <v>1951.4299999999998</v>
      </c>
      <c r="O137" s="106">
        <v>6777.1</v>
      </c>
    </row>
    <row r="138" spans="1:15" x14ac:dyDescent="0.2">
      <c r="B138" s="90" t="s">
        <v>129</v>
      </c>
      <c r="C138" s="97">
        <v>0</v>
      </c>
      <c r="D138" s="97">
        <v>0</v>
      </c>
      <c r="E138" s="97">
        <v>0</v>
      </c>
      <c r="F138" s="97">
        <v>0</v>
      </c>
      <c r="G138" s="97">
        <v>0</v>
      </c>
      <c r="H138" s="97">
        <v>0</v>
      </c>
      <c r="I138" s="97">
        <v>0</v>
      </c>
      <c r="J138" s="97">
        <v>0</v>
      </c>
      <c r="K138" s="97">
        <v>0</v>
      </c>
      <c r="L138" s="97">
        <v>0</v>
      </c>
      <c r="M138" s="97">
        <v>0</v>
      </c>
      <c r="N138" s="97">
        <v>0</v>
      </c>
      <c r="O138" s="91">
        <v>0</v>
      </c>
    </row>
    <row r="139" spans="1:15" x14ac:dyDescent="0.2">
      <c r="B139" s="90" t="s">
        <v>130</v>
      </c>
      <c r="C139" s="97">
        <v>314.66000000000003</v>
      </c>
      <c r="D139" s="97">
        <v>222.29</v>
      </c>
      <c r="E139" s="97">
        <v>859.76</v>
      </c>
      <c r="F139" s="97">
        <v>225.41</v>
      </c>
      <c r="G139" s="97">
        <v>123.28</v>
      </c>
      <c r="H139" s="97">
        <v>90.32</v>
      </c>
      <c r="I139" s="97">
        <v>132.93</v>
      </c>
      <c r="J139" s="97">
        <v>141.99</v>
      </c>
      <c r="K139" s="97">
        <v>220.78</v>
      </c>
      <c r="L139" s="97">
        <v>84.87</v>
      </c>
      <c r="M139" s="97">
        <v>2230.54</v>
      </c>
      <c r="N139" s="97">
        <v>1944.74</v>
      </c>
      <c r="O139" s="91">
        <v>6591.57</v>
      </c>
    </row>
    <row r="140" spans="1:15" x14ac:dyDescent="0.2">
      <c r="B140" s="90" t="s">
        <v>131</v>
      </c>
      <c r="C140" s="97">
        <v>5.6</v>
      </c>
      <c r="D140" s="97">
        <v>20.28</v>
      </c>
      <c r="E140" s="97">
        <v>13.25</v>
      </c>
      <c r="F140" s="97">
        <v>9.1199999999999992</v>
      </c>
      <c r="G140" s="97">
        <v>6.53</v>
      </c>
      <c r="H140" s="97">
        <v>8.2100000000000009</v>
      </c>
      <c r="I140" s="97">
        <v>21.44</v>
      </c>
      <c r="J140" s="97">
        <v>11.19</v>
      </c>
      <c r="K140" s="97">
        <v>15.88</v>
      </c>
      <c r="L140" s="97">
        <v>56.27</v>
      </c>
      <c r="M140" s="97">
        <v>7.56</v>
      </c>
      <c r="N140" s="97">
        <v>6.56</v>
      </c>
      <c r="O140" s="91">
        <v>181.89000000000001</v>
      </c>
    </row>
    <row r="141" spans="1:15" x14ac:dyDescent="0.2">
      <c r="B141" s="90" t="s">
        <v>132</v>
      </c>
      <c r="C141" s="97">
        <v>0</v>
      </c>
      <c r="D141" s="97">
        <v>0</v>
      </c>
      <c r="E141" s="97">
        <v>0</v>
      </c>
      <c r="F141" s="97">
        <v>0</v>
      </c>
      <c r="G141" s="97">
        <v>0</v>
      </c>
      <c r="H141" s="97">
        <v>0</v>
      </c>
      <c r="I141" s="97">
        <v>0</v>
      </c>
      <c r="J141" s="97">
        <v>0</v>
      </c>
      <c r="K141" s="97">
        <v>0</v>
      </c>
      <c r="L141" s="97">
        <v>0</v>
      </c>
      <c r="M141" s="97">
        <v>0</v>
      </c>
      <c r="N141" s="97">
        <v>0</v>
      </c>
      <c r="O141" s="91">
        <v>0</v>
      </c>
    </row>
    <row r="142" spans="1:15" x14ac:dyDescent="0.2">
      <c r="B142" s="90" t="s">
        <v>133</v>
      </c>
      <c r="C142" s="97">
        <v>0</v>
      </c>
      <c r="D142" s="97">
        <v>0</v>
      </c>
      <c r="E142" s="97">
        <v>0</v>
      </c>
      <c r="F142" s="97">
        <v>0</v>
      </c>
      <c r="G142" s="97">
        <v>0</v>
      </c>
      <c r="H142" s="97">
        <v>0</v>
      </c>
      <c r="I142" s="97">
        <v>0</v>
      </c>
      <c r="J142" s="97">
        <v>0</v>
      </c>
      <c r="K142" s="97">
        <v>0</v>
      </c>
      <c r="L142" s="97">
        <v>0</v>
      </c>
      <c r="M142" s="97">
        <v>0</v>
      </c>
      <c r="N142" s="97">
        <v>0</v>
      </c>
      <c r="O142" s="91">
        <v>0</v>
      </c>
    </row>
    <row r="143" spans="1:15" x14ac:dyDescent="0.2">
      <c r="B143" s="90" t="s">
        <v>134</v>
      </c>
      <c r="C143" s="97">
        <v>0</v>
      </c>
      <c r="D143" s="97">
        <v>0</v>
      </c>
      <c r="E143" s="97">
        <v>0</v>
      </c>
      <c r="F143" s="97">
        <v>0</v>
      </c>
      <c r="G143" s="97">
        <v>0</v>
      </c>
      <c r="H143" s="97">
        <v>0</v>
      </c>
      <c r="I143" s="97">
        <v>0</v>
      </c>
      <c r="J143" s="97">
        <v>0</v>
      </c>
      <c r="K143" s="97">
        <v>0</v>
      </c>
      <c r="L143" s="97">
        <v>0</v>
      </c>
      <c r="M143" s="97">
        <v>0</v>
      </c>
      <c r="N143" s="97">
        <v>0</v>
      </c>
      <c r="O143" s="91">
        <v>0</v>
      </c>
    </row>
    <row r="144" spans="1:15" x14ac:dyDescent="0.2">
      <c r="B144" s="90" t="s">
        <v>135</v>
      </c>
      <c r="C144" s="97">
        <v>0</v>
      </c>
      <c r="D144" s="97">
        <v>0</v>
      </c>
      <c r="E144" s="97">
        <v>0</v>
      </c>
      <c r="F144" s="97">
        <v>0</v>
      </c>
      <c r="G144" s="97">
        <v>0.03</v>
      </c>
      <c r="H144" s="97">
        <v>0</v>
      </c>
      <c r="I144" s="97">
        <v>0</v>
      </c>
      <c r="J144" s="97">
        <v>0</v>
      </c>
      <c r="K144" s="97">
        <v>0</v>
      </c>
      <c r="L144" s="97">
        <v>0</v>
      </c>
      <c r="M144" s="97">
        <v>0.02</v>
      </c>
      <c r="N144" s="97">
        <v>0</v>
      </c>
      <c r="O144" s="91">
        <v>0.05</v>
      </c>
    </row>
    <row r="145" spans="1:15" x14ac:dyDescent="0.2">
      <c r="B145" s="90" t="s">
        <v>136</v>
      </c>
      <c r="C145" s="97">
        <v>0</v>
      </c>
      <c r="D145" s="97">
        <v>0</v>
      </c>
      <c r="E145" s="97">
        <v>0</v>
      </c>
      <c r="F145" s="97">
        <v>0</v>
      </c>
      <c r="G145" s="97">
        <v>0</v>
      </c>
      <c r="H145" s="97">
        <v>0</v>
      </c>
      <c r="I145" s="97">
        <v>0</v>
      </c>
      <c r="J145" s="97">
        <v>0</v>
      </c>
      <c r="K145" s="97">
        <v>0</v>
      </c>
      <c r="L145" s="97">
        <v>0</v>
      </c>
      <c r="M145" s="97">
        <v>0</v>
      </c>
      <c r="N145" s="97">
        <v>0</v>
      </c>
      <c r="O145" s="91">
        <v>0</v>
      </c>
    </row>
    <row r="146" spans="1:15" x14ac:dyDescent="0.2">
      <c r="B146" s="90" t="s">
        <v>137</v>
      </c>
      <c r="C146" s="97">
        <v>0.25</v>
      </c>
      <c r="D146" s="97">
        <v>0.06</v>
      </c>
      <c r="E146" s="97">
        <v>0.02</v>
      </c>
      <c r="F146" s="97">
        <v>0.03</v>
      </c>
      <c r="G146" s="97">
        <v>0.03</v>
      </c>
      <c r="H146" s="97">
        <v>0.37</v>
      </c>
      <c r="I146" s="97">
        <v>0.05</v>
      </c>
      <c r="J146" s="97">
        <v>7.0000000000000007E-2</v>
      </c>
      <c r="K146" s="97">
        <v>0.03</v>
      </c>
      <c r="L146" s="97">
        <v>1.61</v>
      </c>
      <c r="M146" s="97">
        <v>0.35</v>
      </c>
      <c r="N146" s="97">
        <v>7.0000000000000007E-2</v>
      </c>
      <c r="O146" s="91">
        <v>2.9400000000000004</v>
      </c>
    </row>
    <row r="147" spans="1:15" x14ac:dyDescent="0.2">
      <c r="B147" s="90" t="s">
        <v>138</v>
      </c>
      <c r="C147" s="97">
        <v>0.02</v>
      </c>
      <c r="D147" s="97">
        <v>0</v>
      </c>
      <c r="E147" s="97">
        <v>0</v>
      </c>
      <c r="F147" s="97">
        <v>0.01</v>
      </c>
      <c r="G147" s="97">
        <v>0.01</v>
      </c>
      <c r="H147" s="97">
        <v>0</v>
      </c>
      <c r="I147" s="97">
        <v>0.01</v>
      </c>
      <c r="J147" s="97">
        <v>0.02</v>
      </c>
      <c r="K147" s="97">
        <v>0.02</v>
      </c>
      <c r="L147" s="97">
        <v>0</v>
      </c>
      <c r="M147" s="97">
        <v>0.01</v>
      </c>
      <c r="N147" s="97">
        <v>0.03</v>
      </c>
      <c r="O147" s="91">
        <v>0.13</v>
      </c>
    </row>
    <row r="148" spans="1:15" x14ac:dyDescent="0.2">
      <c r="B148" s="90" t="s">
        <v>139</v>
      </c>
      <c r="C148" s="97">
        <v>0</v>
      </c>
      <c r="D148" s="97">
        <v>0.12</v>
      </c>
      <c r="E148" s="97">
        <v>0</v>
      </c>
      <c r="F148" s="97">
        <v>7.0000000000000007E-2</v>
      </c>
      <c r="G148" s="97">
        <v>0.01</v>
      </c>
      <c r="H148" s="97">
        <v>0</v>
      </c>
      <c r="I148" s="97">
        <v>0.05</v>
      </c>
      <c r="J148" s="97">
        <v>0.05</v>
      </c>
      <c r="K148" s="97">
        <v>0</v>
      </c>
      <c r="L148" s="97">
        <v>7.0000000000000007E-2</v>
      </c>
      <c r="M148" s="97">
        <v>0.12</v>
      </c>
      <c r="N148" s="97">
        <v>0.03</v>
      </c>
      <c r="O148" s="91">
        <v>0.52</v>
      </c>
    </row>
    <row r="149" spans="1:15" ht="12.75" customHeight="1" x14ac:dyDescent="0.25">
      <c r="A149" s="93"/>
      <c r="B149" s="93"/>
      <c r="C149" s="93"/>
      <c r="D149" s="93"/>
      <c r="E149" s="93"/>
      <c r="F149" s="93"/>
      <c r="G149" s="93"/>
      <c r="H149" s="93"/>
      <c r="I149" s="93"/>
      <c r="J149" s="93"/>
      <c r="K149" s="93"/>
      <c r="L149" s="93"/>
      <c r="M149" s="93"/>
      <c r="N149" s="93"/>
    </row>
    <row r="150" spans="1:15" s="95" customFormat="1" ht="15" x14ac:dyDescent="0.25">
      <c r="A150" s="94" t="s">
        <v>140</v>
      </c>
      <c r="C150" s="96">
        <v>43.089999999999996</v>
      </c>
      <c r="D150" s="96">
        <v>46.650000000000006</v>
      </c>
      <c r="E150" s="96">
        <v>27.960000000000004</v>
      </c>
      <c r="F150" s="96">
        <v>62.349999999999994</v>
      </c>
      <c r="G150" s="96">
        <v>27.050000000000008</v>
      </c>
      <c r="H150" s="96">
        <v>24.250000000000004</v>
      </c>
      <c r="I150" s="96">
        <v>31.190000000000005</v>
      </c>
      <c r="J150" s="96">
        <v>40.920000000000009</v>
      </c>
      <c r="K150" s="96">
        <v>55.14</v>
      </c>
      <c r="L150" s="96">
        <v>65.27</v>
      </c>
      <c r="M150" s="96">
        <v>31.770000000000003</v>
      </c>
      <c r="N150" s="96">
        <v>21.839999999999996</v>
      </c>
      <c r="O150" s="106">
        <v>477.47999999999996</v>
      </c>
    </row>
    <row r="151" spans="1:15" x14ac:dyDescent="0.2">
      <c r="B151" s="90" t="s">
        <v>141</v>
      </c>
      <c r="C151" s="97">
        <v>31.06</v>
      </c>
      <c r="D151" s="97">
        <v>23.1</v>
      </c>
      <c r="E151" s="97">
        <v>17.52</v>
      </c>
      <c r="F151" s="97">
        <v>36.450000000000003</v>
      </c>
      <c r="G151" s="97">
        <v>17.98</v>
      </c>
      <c r="H151" s="97">
        <v>17.75</v>
      </c>
      <c r="I151" s="97">
        <v>24.15</v>
      </c>
      <c r="J151" s="97">
        <v>20.149999999999999</v>
      </c>
      <c r="K151" s="97">
        <v>33.15</v>
      </c>
      <c r="L151" s="97">
        <v>52.23</v>
      </c>
      <c r="M151" s="97">
        <v>24.28</v>
      </c>
      <c r="N151" s="97">
        <v>15.6</v>
      </c>
      <c r="O151" s="91">
        <v>313.42000000000007</v>
      </c>
    </row>
    <row r="152" spans="1:15" x14ac:dyDescent="0.2">
      <c r="B152" s="90" t="s">
        <v>142</v>
      </c>
      <c r="C152" s="97">
        <v>1.02</v>
      </c>
      <c r="D152" s="97">
        <v>1.22</v>
      </c>
      <c r="E152" s="97">
        <v>0.05</v>
      </c>
      <c r="F152" s="97">
        <v>1.41</v>
      </c>
      <c r="G152" s="97">
        <v>0.03</v>
      </c>
      <c r="H152" s="97">
        <v>0.66</v>
      </c>
      <c r="I152" s="97">
        <v>0.06</v>
      </c>
      <c r="J152" s="97">
        <v>0.28999999999999998</v>
      </c>
      <c r="K152" s="97">
        <v>0.28000000000000003</v>
      </c>
      <c r="L152" s="97">
        <v>7.0000000000000007E-2</v>
      </c>
      <c r="M152" s="97">
        <v>0.06</v>
      </c>
      <c r="N152" s="97">
        <v>0.19</v>
      </c>
      <c r="O152" s="91">
        <v>5.34</v>
      </c>
    </row>
    <row r="153" spans="1:15" x14ac:dyDescent="0.2">
      <c r="B153" s="90" t="s">
        <v>143</v>
      </c>
      <c r="C153" s="97">
        <v>0.93</v>
      </c>
      <c r="D153" s="97">
        <v>4.1100000000000003</v>
      </c>
      <c r="E153" s="97">
        <v>0.15</v>
      </c>
      <c r="F153" s="97">
        <v>0.16</v>
      </c>
      <c r="G153" s="97">
        <v>0.24</v>
      </c>
      <c r="H153" s="97">
        <v>0.05</v>
      </c>
      <c r="I153" s="97">
        <v>7.0000000000000007E-2</v>
      </c>
      <c r="J153" s="97">
        <v>0.62</v>
      </c>
      <c r="K153" s="97">
        <v>0.47</v>
      </c>
      <c r="L153" s="97">
        <v>0.24</v>
      </c>
      <c r="M153" s="97">
        <v>0.11</v>
      </c>
      <c r="N153" s="97">
        <v>0</v>
      </c>
      <c r="O153" s="91">
        <v>7.1500000000000012</v>
      </c>
    </row>
    <row r="154" spans="1:15" x14ac:dyDescent="0.2">
      <c r="B154" s="90" t="s">
        <v>144</v>
      </c>
      <c r="C154" s="97">
        <v>0.42</v>
      </c>
      <c r="D154" s="97">
        <v>0.42</v>
      </c>
      <c r="E154" s="97">
        <v>0.76</v>
      </c>
      <c r="F154" s="97">
        <v>0.26</v>
      </c>
      <c r="G154" s="97">
        <v>0.67</v>
      </c>
      <c r="H154" s="97">
        <v>0.3</v>
      </c>
      <c r="I154" s="97">
        <v>0.5</v>
      </c>
      <c r="J154" s="97">
        <v>0.28999999999999998</v>
      </c>
      <c r="K154" s="97">
        <v>0.46</v>
      </c>
      <c r="L154" s="97">
        <v>0.43</v>
      </c>
      <c r="M154" s="97">
        <v>0.35</v>
      </c>
      <c r="N154" s="97">
        <v>0.38</v>
      </c>
      <c r="O154" s="91">
        <v>5.2399999999999993</v>
      </c>
    </row>
    <row r="155" spans="1:15" x14ac:dyDescent="0.2">
      <c r="B155" s="90" t="s">
        <v>145</v>
      </c>
      <c r="C155" s="97">
        <v>1.65</v>
      </c>
      <c r="D155" s="97">
        <v>5.29</v>
      </c>
      <c r="E155" s="97">
        <v>2.2599999999999998</v>
      </c>
      <c r="F155" s="97">
        <v>7.04</v>
      </c>
      <c r="G155" s="97">
        <v>1.89</v>
      </c>
      <c r="H155" s="97">
        <v>0.36</v>
      </c>
      <c r="I155" s="97">
        <v>1.33</v>
      </c>
      <c r="J155" s="97">
        <v>6.59</v>
      </c>
      <c r="K155" s="97">
        <v>7.71</v>
      </c>
      <c r="L155" s="97">
        <v>2.2200000000000002</v>
      </c>
      <c r="M155" s="97">
        <v>0.63</v>
      </c>
      <c r="N155" s="97">
        <v>0</v>
      </c>
      <c r="O155" s="91">
        <v>36.97</v>
      </c>
    </row>
    <row r="156" spans="1:15" x14ac:dyDescent="0.2">
      <c r="B156" s="90" t="s">
        <v>146</v>
      </c>
      <c r="C156" s="97">
        <v>1.27</v>
      </c>
      <c r="D156" s="97">
        <v>2.95</v>
      </c>
      <c r="E156" s="97">
        <v>1.87</v>
      </c>
      <c r="F156" s="97">
        <v>2.62</v>
      </c>
      <c r="G156" s="97">
        <v>1.19</v>
      </c>
      <c r="H156" s="97">
        <v>0.26</v>
      </c>
      <c r="I156" s="97">
        <v>0.75</v>
      </c>
      <c r="J156" s="97">
        <v>3.79</v>
      </c>
      <c r="K156" s="97">
        <v>5.03</v>
      </c>
      <c r="L156" s="97">
        <v>1.56</v>
      </c>
      <c r="M156" s="97">
        <v>0.43</v>
      </c>
      <c r="N156" s="97">
        <v>0</v>
      </c>
      <c r="O156" s="91">
        <v>21.72</v>
      </c>
    </row>
    <row r="157" spans="1:15" x14ac:dyDescent="0.2">
      <c r="B157" s="90" t="s">
        <v>147</v>
      </c>
      <c r="C157" s="97">
        <v>0.01</v>
      </c>
      <c r="D157" s="97">
        <v>0.02</v>
      </c>
      <c r="E157" s="97">
        <v>0.03</v>
      </c>
      <c r="F157" s="97">
        <v>0</v>
      </c>
      <c r="G157" s="97">
        <v>0</v>
      </c>
      <c r="H157" s="97">
        <v>0.06</v>
      </c>
      <c r="I157" s="97">
        <v>0.01</v>
      </c>
      <c r="J157" s="97">
        <v>0</v>
      </c>
      <c r="K157" s="97">
        <v>0</v>
      </c>
      <c r="L157" s="97">
        <v>0</v>
      </c>
      <c r="M157" s="97">
        <v>0.02</v>
      </c>
      <c r="N157" s="97">
        <v>0</v>
      </c>
      <c r="O157" s="91">
        <v>0.15</v>
      </c>
    </row>
    <row r="158" spans="1:15" x14ac:dyDescent="0.2">
      <c r="B158" s="90" t="s">
        <v>667</v>
      </c>
      <c r="C158" s="97">
        <v>0</v>
      </c>
      <c r="D158" s="97">
        <v>0</v>
      </c>
      <c r="E158" s="97">
        <v>0</v>
      </c>
      <c r="F158" s="97">
        <v>0</v>
      </c>
      <c r="G158" s="97">
        <v>0.01</v>
      </c>
      <c r="H158" s="97">
        <v>0</v>
      </c>
      <c r="I158" s="97">
        <v>0</v>
      </c>
      <c r="J158" s="97">
        <v>0</v>
      </c>
      <c r="K158" s="97">
        <v>0</v>
      </c>
      <c r="L158" s="97">
        <v>0</v>
      </c>
      <c r="M158" s="97">
        <v>0</v>
      </c>
      <c r="N158" s="97">
        <v>0</v>
      </c>
      <c r="O158" s="91">
        <v>0.01</v>
      </c>
    </row>
    <row r="159" spans="1:15" x14ac:dyDescent="0.2">
      <c r="B159" s="90" t="s">
        <v>668</v>
      </c>
      <c r="C159" s="97">
        <v>0</v>
      </c>
      <c r="D159" s="97">
        <v>0</v>
      </c>
      <c r="E159" s="97">
        <v>0.01</v>
      </c>
      <c r="F159" s="97">
        <v>0</v>
      </c>
      <c r="G159" s="97">
        <v>0</v>
      </c>
      <c r="H159" s="97">
        <v>0</v>
      </c>
      <c r="I159" s="97">
        <v>0</v>
      </c>
      <c r="J159" s="97">
        <v>0</v>
      </c>
      <c r="K159" s="97">
        <v>0</v>
      </c>
      <c r="L159" s="97">
        <v>0</v>
      </c>
      <c r="M159" s="97">
        <v>0</v>
      </c>
      <c r="N159" s="97">
        <v>0</v>
      </c>
      <c r="O159" s="91">
        <v>0.01</v>
      </c>
    </row>
    <row r="160" spans="1:15" x14ac:dyDescent="0.2">
      <c r="B160" s="90" t="s">
        <v>148</v>
      </c>
      <c r="C160" s="97">
        <v>0.69</v>
      </c>
      <c r="D160" s="97">
        <v>1.26</v>
      </c>
      <c r="E160" s="97">
        <v>1.07</v>
      </c>
      <c r="F160" s="97">
        <v>8.91</v>
      </c>
      <c r="G160" s="97">
        <v>1.8</v>
      </c>
      <c r="H160" s="97">
        <v>1.25</v>
      </c>
      <c r="I160" s="97">
        <v>0.6</v>
      </c>
      <c r="J160" s="97">
        <v>1</v>
      </c>
      <c r="K160" s="97">
        <v>1.1399999999999999</v>
      </c>
      <c r="L160" s="97">
        <v>1.89</v>
      </c>
      <c r="M160" s="97">
        <v>1.46</v>
      </c>
      <c r="N160" s="97">
        <v>1.2</v>
      </c>
      <c r="O160" s="91">
        <v>22.27</v>
      </c>
    </row>
    <row r="161" spans="1:15" x14ac:dyDescent="0.2">
      <c r="B161" s="90" t="s">
        <v>149</v>
      </c>
      <c r="C161" s="97">
        <v>0</v>
      </c>
      <c r="D161" s="97">
        <v>0</v>
      </c>
      <c r="E161" s="97">
        <v>0</v>
      </c>
      <c r="F161" s="97">
        <v>0</v>
      </c>
      <c r="G161" s="97">
        <v>0</v>
      </c>
      <c r="H161" s="97">
        <v>0</v>
      </c>
      <c r="I161" s="97">
        <v>0</v>
      </c>
      <c r="J161" s="97">
        <v>0</v>
      </c>
      <c r="K161" s="97">
        <v>0</v>
      </c>
      <c r="L161" s="97">
        <v>0</v>
      </c>
      <c r="M161" s="97">
        <v>0</v>
      </c>
      <c r="N161" s="97">
        <v>0</v>
      </c>
      <c r="O161" s="91">
        <v>0</v>
      </c>
    </row>
    <row r="162" spans="1:15" x14ac:dyDescent="0.2">
      <c r="B162" s="90" t="s">
        <v>150</v>
      </c>
      <c r="C162" s="97">
        <v>4.41</v>
      </c>
      <c r="D162" s="97">
        <v>6.81</v>
      </c>
      <c r="E162" s="97">
        <v>2.4700000000000002</v>
      </c>
      <c r="F162" s="97">
        <v>3.5</v>
      </c>
      <c r="G162" s="97">
        <v>1.85</v>
      </c>
      <c r="H162" s="97">
        <v>2.85</v>
      </c>
      <c r="I162" s="97">
        <v>3.37</v>
      </c>
      <c r="J162" s="97">
        <v>2.91</v>
      </c>
      <c r="K162" s="97">
        <v>2.06</v>
      </c>
      <c r="L162" s="97">
        <v>4.25</v>
      </c>
      <c r="M162" s="97">
        <v>3.59</v>
      </c>
      <c r="N162" s="97">
        <v>4.47</v>
      </c>
      <c r="O162" s="91">
        <v>42.540000000000006</v>
      </c>
    </row>
    <row r="163" spans="1:15" x14ac:dyDescent="0.2">
      <c r="B163" s="90" t="s">
        <v>151</v>
      </c>
      <c r="C163" s="97">
        <v>0.24</v>
      </c>
      <c r="D163" s="97">
        <v>0.49</v>
      </c>
      <c r="E163" s="97">
        <v>0.33</v>
      </c>
      <c r="F163" s="97">
        <v>0.22</v>
      </c>
      <c r="G163" s="97">
        <v>0.11</v>
      </c>
      <c r="H163" s="97">
        <v>0.03</v>
      </c>
      <c r="I163" s="97">
        <v>0.13</v>
      </c>
      <c r="J163" s="97">
        <v>0.88</v>
      </c>
      <c r="K163" s="97">
        <v>0.65</v>
      </c>
      <c r="L163" s="97">
        <v>0.16</v>
      </c>
      <c r="M163" s="97">
        <v>0.17</v>
      </c>
      <c r="N163" s="97">
        <v>0</v>
      </c>
      <c r="O163" s="91">
        <v>3.41</v>
      </c>
    </row>
    <row r="164" spans="1:15" x14ac:dyDescent="0.2">
      <c r="B164" s="90" t="s">
        <v>152</v>
      </c>
      <c r="C164" s="97">
        <v>0.01</v>
      </c>
      <c r="D164" s="97">
        <v>0</v>
      </c>
      <c r="E164" s="97">
        <v>0</v>
      </c>
      <c r="F164" s="97">
        <v>0</v>
      </c>
      <c r="G164" s="97">
        <v>0.08</v>
      </c>
      <c r="H164" s="97">
        <v>0.63</v>
      </c>
      <c r="I164" s="97">
        <v>0.04</v>
      </c>
      <c r="J164" s="97">
        <v>7.0000000000000007E-2</v>
      </c>
      <c r="K164" s="97">
        <v>1.1399999999999999</v>
      </c>
      <c r="L164" s="97">
        <v>0.3</v>
      </c>
      <c r="M164" s="97">
        <v>0</v>
      </c>
      <c r="N164" s="97">
        <v>0</v>
      </c>
      <c r="O164" s="91">
        <v>2.27</v>
      </c>
    </row>
    <row r="165" spans="1:15" x14ac:dyDescent="0.2">
      <c r="B165" s="90" t="s">
        <v>153</v>
      </c>
      <c r="C165" s="97">
        <v>0</v>
      </c>
      <c r="D165" s="97">
        <v>0</v>
      </c>
      <c r="E165" s="97">
        <v>0</v>
      </c>
      <c r="F165" s="97">
        <v>0</v>
      </c>
      <c r="G165" s="97">
        <v>0</v>
      </c>
      <c r="H165" s="97">
        <v>0</v>
      </c>
      <c r="I165" s="97">
        <v>0</v>
      </c>
      <c r="J165" s="97">
        <v>0</v>
      </c>
      <c r="K165" s="97">
        <v>0</v>
      </c>
      <c r="L165" s="97">
        <v>0</v>
      </c>
      <c r="M165" s="97">
        <v>0</v>
      </c>
      <c r="N165" s="97">
        <v>0</v>
      </c>
      <c r="O165" s="91">
        <v>0</v>
      </c>
    </row>
    <row r="166" spans="1:15" x14ac:dyDescent="0.2">
      <c r="B166" s="90" t="s">
        <v>154</v>
      </c>
      <c r="C166" s="97">
        <v>0</v>
      </c>
      <c r="D166" s="97">
        <v>0</v>
      </c>
      <c r="E166" s="97">
        <v>0</v>
      </c>
      <c r="F166" s="97">
        <v>0</v>
      </c>
      <c r="G166" s="97">
        <v>0</v>
      </c>
      <c r="H166" s="97">
        <v>0</v>
      </c>
      <c r="I166" s="97">
        <v>0</v>
      </c>
      <c r="J166" s="97">
        <v>0</v>
      </c>
      <c r="K166" s="97">
        <v>0</v>
      </c>
      <c r="L166" s="97">
        <v>0</v>
      </c>
      <c r="M166" s="97">
        <v>0</v>
      </c>
      <c r="N166" s="97">
        <v>0</v>
      </c>
      <c r="O166" s="91">
        <v>0</v>
      </c>
    </row>
    <row r="167" spans="1:15" x14ac:dyDescent="0.2">
      <c r="B167" s="90" t="s">
        <v>155</v>
      </c>
      <c r="C167" s="97">
        <v>0.02</v>
      </c>
      <c r="D167" s="97">
        <v>0.05</v>
      </c>
      <c r="E167" s="97">
        <v>0.05</v>
      </c>
      <c r="F167" s="97">
        <v>0.14000000000000001</v>
      </c>
      <c r="G167" s="97">
        <v>0.01</v>
      </c>
      <c r="H167" s="97">
        <v>0.02</v>
      </c>
      <c r="I167" s="97">
        <v>0.01</v>
      </c>
      <c r="J167" s="97">
        <v>7.0000000000000007E-2</v>
      </c>
      <c r="K167" s="97">
        <v>7.0000000000000007E-2</v>
      </c>
      <c r="L167" s="97">
        <v>0.02</v>
      </c>
      <c r="M167" s="97">
        <v>0</v>
      </c>
      <c r="N167" s="97">
        <v>0</v>
      </c>
      <c r="O167" s="91">
        <v>0.46000000000000008</v>
      </c>
    </row>
    <row r="168" spans="1:15" x14ac:dyDescent="0.2">
      <c r="B168" s="90" t="s">
        <v>156</v>
      </c>
      <c r="C168" s="97">
        <v>1.04</v>
      </c>
      <c r="D168" s="97">
        <v>0.93</v>
      </c>
      <c r="E168" s="97">
        <v>1.37</v>
      </c>
      <c r="F168" s="97">
        <v>1.63</v>
      </c>
      <c r="G168" s="97">
        <v>1.19</v>
      </c>
      <c r="H168" s="97">
        <v>0.03</v>
      </c>
      <c r="I168" s="97">
        <v>0.17</v>
      </c>
      <c r="J168" s="97">
        <v>4.0999999999999996</v>
      </c>
      <c r="K168" s="97">
        <v>2.84</v>
      </c>
      <c r="L168" s="97">
        <v>1.9</v>
      </c>
      <c r="M168" s="97">
        <v>0.67</v>
      </c>
      <c r="N168" s="97">
        <v>0</v>
      </c>
      <c r="O168" s="91">
        <v>15.870000000000001</v>
      </c>
    </row>
    <row r="169" spans="1:15" x14ac:dyDescent="0.2">
      <c r="B169" s="90" t="s">
        <v>157</v>
      </c>
      <c r="C169" s="97">
        <v>0.31</v>
      </c>
      <c r="D169" s="97">
        <v>0</v>
      </c>
      <c r="E169" s="97">
        <v>0</v>
      </c>
      <c r="F169" s="97">
        <v>0</v>
      </c>
      <c r="G169" s="97">
        <v>0</v>
      </c>
      <c r="H169" s="97">
        <v>0</v>
      </c>
      <c r="I169" s="97">
        <v>0</v>
      </c>
      <c r="J169" s="97">
        <v>0.14000000000000001</v>
      </c>
      <c r="K169" s="97">
        <v>0.11</v>
      </c>
      <c r="L169" s="97">
        <v>0</v>
      </c>
      <c r="M169" s="97">
        <v>0</v>
      </c>
      <c r="N169" s="97">
        <v>0</v>
      </c>
      <c r="O169" s="91">
        <v>0.56000000000000005</v>
      </c>
    </row>
    <row r="170" spans="1:15" x14ac:dyDescent="0.2">
      <c r="B170" s="90" t="s">
        <v>158</v>
      </c>
      <c r="C170" s="97">
        <v>0.01</v>
      </c>
      <c r="D170" s="97">
        <v>0</v>
      </c>
      <c r="E170" s="97">
        <v>0.02</v>
      </c>
      <c r="F170" s="97">
        <v>0.01</v>
      </c>
      <c r="G170" s="97">
        <v>0</v>
      </c>
      <c r="H170" s="97">
        <v>0</v>
      </c>
      <c r="I170" s="97">
        <v>0</v>
      </c>
      <c r="J170" s="97">
        <v>0.02</v>
      </c>
      <c r="K170" s="97">
        <v>0.03</v>
      </c>
      <c r="L170" s="97">
        <v>0</v>
      </c>
      <c r="M170" s="97">
        <v>0</v>
      </c>
      <c r="N170" s="97">
        <v>0</v>
      </c>
      <c r="O170" s="91">
        <v>0.09</v>
      </c>
    </row>
    <row r="171" spans="1:15" ht="12.75" customHeight="1" x14ac:dyDescent="0.2">
      <c r="C171" s="97"/>
      <c r="D171" s="97"/>
      <c r="E171" s="97"/>
      <c r="F171" s="97"/>
      <c r="G171" s="97"/>
      <c r="H171" s="97"/>
      <c r="I171" s="97"/>
      <c r="J171" s="97"/>
      <c r="K171" s="97"/>
      <c r="L171" s="97"/>
      <c r="M171" s="97"/>
      <c r="N171" s="97"/>
    </row>
    <row r="172" spans="1:15" s="95" customFormat="1" ht="15" x14ac:dyDescent="0.25">
      <c r="A172" s="94" t="s">
        <v>159</v>
      </c>
      <c r="C172" s="96">
        <v>21.97</v>
      </c>
      <c r="D172" s="96">
        <v>60.06</v>
      </c>
      <c r="E172" s="96">
        <v>8.6999999999999993</v>
      </c>
      <c r="F172" s="96">
        <v>15.21</v>
      </c>
      <c r="G172" s="96">
        <v>12.6</v>
      </c>
      <c r="H172" s="96">
        <v>15.2</v>
      </c>
      <c r="I172" s="96">
        <v>10.85</v>
      </c>
      <c r="J172" s="96">
        <v>28.16</v>
      </c>
      <c r="K172" s="96">
        <v>10.130000000000001</v>
      </c>
      <c r="L172" s="96">
        <v>12.15</v>
      </c>
      <c r="M172" s="96">
        <v>6.46</v>
      </c>
      <c r="N172" s="96">
        <v>81.510000000000005</v>
      </c>
      <c r="O172" s="106">
        <v>283</v>
      </c>
    </row>
    <row r="173" spans="1:15" x14ac:dyDescent="0.2">
      <c r="B173" s="90" t="s">
        <v>93</v>
      </c>
      <c r="C173" s="97">
        <v>21.97</v>
      </c>
      <c r="D173" s="97">
        <v>60.06</v>
      </c>
      <c r="E173" s="97">
        <v>8.6999999999999993</v>
      </c>
      <c r="F173" s="97">
        <v>15.21</v>
      </c>
      <c r="G173" s="97">
        <v>12.6</v>
      </c>
      <c r="H173" s="97">
        <v>15.2</v>
      </c>
      <c r="I173" s="97">
        <v>10.85</v>
      </c>
      <c r="J173" s="97">
        <v>28.16</v>
      </c>
      <c r="K173" s="97">
        <v>10.130000000000001</v>
      </c>
      <c r="L173" s="97">
        <v>12.15</v>
      </c>
      <c r="M173" s="97">
        <v>6.46</v>
      </c>
      <c r="N173" s="97">
        <v>81.510000000000005</v>
      </c>
      <c r="O173" s="91">
        <v>283</v>
      </c>
    </row>
    <row r="174" spans="1:15" x14ac:dyDescent="0.2">
      <c r="B174" s="90" t="s">
        <v>160</v>
      </c>
      <c r="C174" s="97">
        <v>0</v>
      </c>
      <c r="D174" s="97">
        <v>0</v>
      </c>
      <c r="E174" s="97">
        <v>0</v>
      </c>
      <c r="F174" s="97">
        <v>0</v>
      </c>
      <c r="G174" s="97">
        <v>0</v>
      </c>
      <c r="H174" s="97">
        <v>0</v>
      </c>
      <c r="I174" s="97">
        <v>0</v>
      </c>
      <c r="J174" s="97">
        <v>0</v>
      </c>
      <c r="K174" s="97">
        <v>0</v>
      </c>
      <c r="L174" s="97">
        <v>0</v>
      </c>
      <c r="M174" s="97">
        <v>0</v>
      </c>
      <c r="N174" s="97">
        <v>0</v>
      </c>
      <c r="O174" s="91">
        <v>0</v>
      </c>
    </row>
    <row r="175" spans="1:15" ht="12.75" customHeight="1" x14ac:dyDescent="0.2">
      <c r="C175" s="97"/>
      <c r="D175" s="97"/>
      <c r="E175" s="97"/>
      <c r="F175" s="97"/>
      <c r="G175" s="97"/>
      <c r="H175" s="97"/>
      <c r="I175" s="97"/>
      <c r="J175" s="97"/>
      <c r="K175" s="97"/>
      <c r="L175" s="97"/>
      <c r="M175" s="97"/>
      <c r="N175" s="97"/>
    </row>
    <row r="176" spans="1:15" s="95" customFormat="1" ht="15" x14ac:dyDescent="0.25">
      <c r="A176" s="94" t="s">
        <v>161</v>
      </c>
      <c r="C176" s="96">
        <v>1.26</v>
      </c>
      <c r="D176" s="96">
        <v>21.98</v>
      </c>
      <c r="E176" s="96">
        <v>1.46</v>
      </c>
      <c r="F176" s="96">
        <v>4.8499999999999996</v>
      </c>
      <c r="G176" s="96">
        <v>8.14</v>
      </c>
      <c r="H176" s="96">
        <v>1.73</v>
      </c>
      <c r="I176" s="96">
        <v>4.8100000000000005</v>
      </c>
      <c r="J176" s="96">
        <v>9.43</v>
      </c>
      <c r="K176" s="96">
        <v>5.2</v>
      </c>
      <c r="L176" s="96">
        <v>10.199999999999999</v>
      </c>
      <c r="M176" s="96">
        <v>3.5500000000000003</v>
      </c>
      <c r="N176" s="96">
        <v>3.01</v>
      </c>
      <c r="O176" s="106">
        <v>75.62</v>
      </c>
    </row>
    <row r="177" spans="1:15" x14ac:dyDescent="0.2">
      <c r="B177" s="90" t="s">
        <v>162</v>
      </c>
      <c r="C177" s="97">
        <v>0.3</v>
      </c>
      <c r="D177" s="97">
        <v>8.8000000000000007</v>
      </c>
      <c r="E177" s="97">
        <v>0.05</v>
      </c>
      <c r="F177" s="97">
        <v>0.2</v>
      </c>
      <c r="G177" s="97">
        <v>1.58</v>
      </c>
      <c r="H177" s="97">
        <v>0.16</v>
      </c>
      <c r="I177" s="97">
        <v>1.58</v>
      </c>
      <c r="J177" s="97">
        <v>0.81</v>
      </c>
      <c r="K177" s="97">
        <v>0.76</v>
      </c>
      <c r="L177" s="97">
        <v>6.62</v>
      </c>
      <c r="M177" s="97">
        <v>0.14000000000000001</v>
      </c>
      <c r="N177" s="97">
        <v>0.12</v>
      </c>
      <c r="O177" s="91">
        <v>21.120000000000005</v>
      </c>
    </row>
    <row r="178" spans="1:15" x14ac:dyDescent="0.2">
      <c r="B178" s="90" t="s">
        <v>163</v>
      </c>
      <c r="C178" s="97">
        <v>0</v>
      </c>
      <c r="D178" s="97">
        <v>0.01</v>
      </c>
      <c r="E178" s="97">
        <v>0</v>
      </c>
      <c r="F178" s="97">
        <v>0</v>
      </c>
      <c r="G178" s="97">
        <v>0.02</v>
      </c>
      <c r="H178" s="97">
        <v>0</v>
      </c>
      <c r="I178" s="97">
        <v>0</v>
      </c>
      <c r="J178" s="97">
        <v>0.01</v>
      </c>
      <c r="K178" s="97">
        <v>0.02</v>
      </c>
      <c r="L178" s="97">
        <v>0</v>
      </c>
      <c r="M178" s="97">
        <v>0</v>
      </c>
      <c r="N178" s="97">
        <v>0.01</v>
      </c>
      <c r="O178" s="91">
        <v>6.9999999999999993E-2</v>
      </c>
    </row>
    <row r="179" spans="1:15" x14ac:dyDescent="0.2">
      <c r="B179" s="90" t="s">
        <v>164</v>
      </c>
      <c r="C179" s="97">
        <v>0.02</v>
      </c>
      <c r="D179" s="97">
        <v>0.01</v>
      </c>
      <c r="E179" s="97">
        <v>0.01</v>
      </c>
      <c r="F179" s="97">
        <v>0.01</v>
      </c>
      <c r="G179" s="97">
        <v>0.02</v>
      </c>
      <c r="H179" s="97">
        <v>7.0000000000000007E-2</v>
      </c>
      <c r="I179" s="97">
        <v>0.04</v>
      </c>
      <c r="J179" s="97">
        <v>0.05</v>
      </c>
      <c r="K179" s="97">
        <v>0.02</v>
      </c>
      <c r="L179" s="97">
        <v>0.01</v>
      </c>
      <c r="M179" s="97">
        <v>0.04</v>
      </c>
      <c r="N179" s="97">
        <v>0.11</v>
      </c>
      <c r="O179" s="91">
        <v>0.41000000000000003</v>
      </c>
    </row>
    <row r="180" spans="1:15" x14ac:dyDescent="0.2">
      <c r="B180" s="90" t="s">
        <v>165</v>
      </c>
      <c r="C180" s="97">
        <v>0.94</v>
      </c>
      <c r="D180" s="97">
        <v>13.16</v>
      </c>
      <c r="E180" s="97">
        <v>1.4</v>
      </c>
      <c r="F180" s="97">
        <v>4.6399999999999997</v>
      </c>
      <c r="G180" s="97">
        <v>6.52</v>
      </c>
      <c r="H180" s="97">
        <v>1.5</v>
      </c>
      <c r="I180" s="97">
        <v>3.19</v>
      </c>
      <c r="J180" s="97">
        <v>8.56</v>
      </c>
      <c r="K180" s="97">
        <v>4.4000000000000004</v>
      </c>
      <c r="L180" s="97">
        <v>3.57</v>
      </c>
      <c r="M180" s="97">
        <v>3.37</v>
      </c>
      <c r="N180" s="97">
        <v>2.77</v>
      </c>
      <c r="O180" s="91">
        <v>54.02</v>
      </c>
    </row>
    <row r="181" spans="1:15" x14ac:dyDescent="0.2">
      <c r="C181" s="97"/>
      <c r="D181" s="97"/>
      <c r="E181" s="97"/>
      <c r="F181" s="97"/>
      <c r="G181" s="97"/>
      <c r="H181" s="97"/>
      <c r="I181" s="97"/>
      <c r="J181" s="97"/>
      <c r="K181" s="97"/>
      <c r="L181" s="97"/>
      <c r="M181" s="97"/>
      <c r="N181" s="97"/>
    </row>
    <row r="182" spans="1:15" s="95" customFormat="1" ht="15" x14ac:dyDescent="0.25">
      <c r="A182" s="94" t="s">
        <v>166</v>
      </c>
      <c r="C182" s="96">
        <v>30.64</v>
      </c>
      <c r="D182" s="96">
        <v>44.589999999999989</v>
      </c>
      <c r="E182" s="96">
        <v>26.32</v>
      </c>
      <c r="F182" s="96">
        <v>33.83</v>
      </c>
      <c r="G182" s="96">
        <v>27.64</v>
      </c>
      <c r="H182" s="96">
        <v>21.049999999999997</v>
      </c>
      <c r="I182" s="96">
        <v>26.080000000000002</v>
      </c>
      <c r="J182" s="96">
        <v>35.11</v>
      </c>
      <c r="K182" s="96">
        <v>28.420000000000005</v>
      </c>
      <c r="L182" s="96">
        <v>22.439999999999998</v>
      </c>
      <c r="M182" s="96">
        <v>26.27</v>
      </c>
      <c r="N182" s="96">
        <v>11.790000000000001</v>
      </c>
      <c r="O182" s="106">
        <v>334.18</v>
      </c>
    </row>
    <row r="183" spans="1:15" x14ac:dyDescent="0.2">
      <c r="B183" s="90" t="s">
        <v>167</v>
      </c>
      <c r="C183" s="97">
        <v>27</v>
      </c>
      <c r="D183" s="97">
        <v>38.51</v>
      </c>
      <c r="E183" s="97">
        <v>22.17</v>
      </c>
      <c r="F183" s="97">
        <v>27.87</v>
      </c>
      <c r="G183" s="97">
        <v>25.09</v>
      </c>
      <c r="H183" s="97">
        <v>20.059999999999999</v>
      </c>
      <c r="I183" s="97">
        <v>24.38</v>
      </c>
      <c r="J183" s="97">
        <v>27.66</v>
      </c>
      <c r="K183" s="97">
        <v>22.51</v>
      </c>
      <c r="L183" s="97">
        <v>19.559999999999999</v>
      </c>
      <c r="M183" s="97">
        <v>25.63</v>
      </c>
      <c r="N183" s="97">
        <v>11.51</v>
      </c>
      <c r="O183" s="91">
        <v>291.95</v>
      </c>
    </row>
    <row r="184" spans="1:15" x14ac:dyDescent="0.2">
      <c r="B184" s="90" t="s">
        <v>168</v>
      </c>
      <c r="C184" s="97">
        <v>2.71</v>
      </c>
      <c r="D184" s="97">
        <v>4.34</v>
      </c>
      <c r="E184" s="97">
        <v>2.52</v>
      </c>
      <c r="F184" s="97">
        <v>4.6399999999999997</v>
      </c>
      <c r="G184" s="97">
        <v>1.93</v>
      </c>
      <c r="H184" s="97">
        <v>0.65</v>
      </c>
      <c r="I184" s="97">
        <v>1.33</v>
      </c>
      <c r="J184" s="97">
        <v>6.44</v>
      </c>
      <c r="K184" s="97">
        <v>4.8</v>
      </c>
      <c r="L184" s="97">
        <v>2.64</v>
      </c>
      <c r="M184" s="97">
        <v>0.46</v>
      </c>
      <c r="N184" s="97">
        <v>0.14000000000000001</v>
      </c>
      <c r="O184" s="91">
        <v>32.6</v>
      </c>
    </row>
    <row r="185" spans="1:15" x14ac:dyDescent="0.2">
      <c r="B185" s="90" t="s">
        <v>169</v>
      </c>
      <c r="C185" s="97">
        <v>0.2</v>
      </c>
      <c r="D185" s="97">
        <v>0.47</v>
      </c>
      <c r="E185" s="97">
        <v>0.23</v>
      </c>
      <c r="F185" s="97">
        <v>0.17</v>
      </c>
      <c r="G185" s="97">
        <v>0.14000000000000001</v>
      </c>
      <c r="H185" s="97">
        <v>0.13</v>
      </c>
      <c r="I185" s="97">
        <v>0.11</v>
      </c>
      <c r="J185" s="97">
        <v>0.12</v>
      </c>
      <c r="K185" s="97">
        <v>0.17</v>
      </c>
      <c r="L185" s="97">
        <v>0.08</v>
      </c>
      <c r="M185" s="97">
        <v>0.08</v>
      </c>
      <c r="N185" s="97">
        <v>7.0000000000000007E-2</v>
      </c>
      <c r="O185" s="91">
        <v>1.97</v>
      </c>
    </row>
    <row r="186" spans="1:15" x14ac:dyDescent="0.2">
      <c r="B186" s="90" t="s">
        <v>170</v>
      </c>
      <c r="C186" s="97">
        <v>0</v>
      </c>
      <c r="D186" s="97">
        <v>0</v>
      </c>
      <c r="E186" s="97">
        <v>0</v>
      </c>
      <c r="F186" s="97">
        <v>0</v>
      </c>
      <c r="G186" s="97">
        <v>0</v>
      </c>
      <c r="H186" s="97">
        <v>0</v>
      </c>
      <c r="I186" s="97">
        <v>0</v>
      </c>
      <c r="J186" s="97">
        <v>0</v>
      </c>
      <c r="K186" s="97">
        <v>0</v>
      </c>
      <c r="L186" s="97">
        <v>0</v>
      </c>
      <c r="M186" s="97">
        <v>0</v>
      </c>
      <c r="N186" s="97">
        <v>0</v>
      </c>
      <c r="O186" s="91">
        <v>0</v>
      </c>
    </row>
    <row r="187" spans="1:15" x14ac:dyDescent="0.2">
      <c r="B187" s="105" t="s">
        <v>171</v>
      </c>
      <c r="C187" s="97">
        <v>0</v>
      </c>
      <c r="D187" s="97">
        <v>0</v>
      </c>
      <c r="E187" s="97">
        <v>0</v>
      </c>
      <c r="F187" s="97">
        <v>0</v>
      </c>
      <c r="G187" s="97">
        <v>0</v>
      </c>
      <c r="H187" s="97">
        <v>0</v>
      </c>
      <c r="I187" s="97">
        <v>0</v>
      </c>
      <c r="J187" s="97">
        <v>0</v>
      </c>
      <c r="K187" s="97">
        <v>0</v>
      </c>
      <c r="L187" s="97">
        <v>0</v>
      </c>
      <c r="M187" s="97">
        <v>0</v>
      </c>
      <c r="N187" s="97">
        <v>0</v>
      </c>
      <c r="O187" s="91">
        <v>0</v>
      </c>
    </row>
    <row r="188" spans="1:15" x14ac:dyDescent="0.2">
      <c r="B188" s="90" t="s">
        <v>172</v>
      </c>
      <c r="C188" s="97">
        <v>0</v>
      </c>
      <c r="D188" s="97">
        <v>0.01</v>
      </c>
      <c r="E188" s="97">
        <v>0</v>
      </c>
      <c r="F188" s="97">
        <v>0.01</v>
      </c>
      <c r="G188" s="97">
        <v>0</v>
      </c>
      <c r="H188" s="97">
        <v>0</v>
      </c>
      <c r="I188" s="97">
        <v>0</v>
      </c>
      <c r="J188" s="97">
        <v>0</v>
      </c>
      <c r="K188" s="97">
        <v>0.01</v>
      </c>
      <c r="L188" s="97">
        <v>0.01</v>
      </c>
      <c r="M188" s="97">
        <v>0.03</v>
      </c>
      <c r="N188" s="97">
        <v>0</v>
      </c>
      <c r="O188" s="91">
        <v>7.0000000000000007E-2</v>
      </c>
    </row>
    <row r="189" spans="1:15" x14ac:dyDescent="0.2">
      <c r="B189" s="90" t="s">
        <v>173</v>
      </c>
      <c r="C189" s="97">
        <v>0.73</v>
      </c>
      <c r="D189" s="97">
        <v>1.26</v>
      </c>
      <c r="E189" s="97">
        <v>1.4</v>
      </c>
      <c r="F189" s="97">
        <v>1.1399999999999999</v>
      </c>
      <c r="G189" s="97">
        <v>0.48</v>
      </c>
      <c r="H189" s="97">
        <v>0.21</v>
      </c>
      <c r="I189" s="97">
        <v>0.26</v>
      </c>
      <c r="J189" s="97">
        <v>0.89</v>
      </c>
      <c r="K189" s="97">
        <v>0.93</v>
      </c>
      <c r="L189" s="97">
        <v>0.15</v>
      </c>
      <c r="M189" s="97">
        <v>7.0000000000000007E-2</v>
      </c>
      <c r="N189" s="97">
        <v>7.0000000000000007E-2</v>
      </c>
      <c r="O189" s="91">
        <v>7.59</v>
      </c>
    </row>
    <row r="190" spans="1:15" x14ac:dyDescent="0.2">
      <c r="C190" s="97"/>
      <c r="D190" s="97"/>
      <c r="E190" s="97"/>
      <c r="F190" s="97"/>
      <c r="G190" s="97"/>
      <c r="H190" s="97"/>
      <c r="I190" s="97"/>
      <c r="J190" s="97"/>
      <c r="K190" s="97"/>
      <c r="L190" s="97"/>
      <c r="M190" s="97"/>
      <c r="N190" s="97"/>
    </row>
    <row r="191" spans="1:15" s="95" customFormat="1" ht="15" x14ac:dyDescent="0.25">
      <c r="A191" s="94" t="s">
        <v>669</v>
      </c>
      <c r="C191" s="96">
        <v>725.84</v>
      </c>
      <c r="D191" s="96">
        <v>813.58</v>
      </c>
      <c r="E191" s="96">
        <v>533.3599999999999</v>
      </c>
      <c r="F191" s="96">
        <v>820.56999999999994</v>
      </c>
      <c r="G191" s="96">
        <v>744.66</v>
      </c>
      <c r="H191" s="96">
        <v>626.3599999999999</v>
      </c>
      <c r="I191" s="96">
        <v>755.75</v>
      </c>
      <c r="J191" s="96">
        <v>776</v>
      </c>
      <c r="K191" s="96">
        <v>787.55000000000007</v>
      </c>
      <c r="L191" s="96">
        <v>760.09</v>
      </c>
      <c r="M191" s="96">
        <v>824.2399999999999</v>
      </c>
      <c r="N191" s="96">
        <v>494.1</v>
      </c>
      <c r="O191" s="106">
        <v>7545.1599999999989</v>
      </c>
    </row>
    <row r="192" spans="1:15" x14ac:dyDescent="0.2">
      <c r="B192" s="90" t="s">
        <v>175</v>
      </c>
      <c r="C192" s="97">
        <v>29.61</v>
      </c>
      <c r="D192" s="97">
        <v>19.739999999999998</v>
      </c>
      <c r="E192" s="97">
        <v>14.42</v>
      </c>
      <c r="F192" s="97">
        <v>48.1</v>
      </c>
      <c r="G192" s="97">
        <v>35.76</v>
      </c>
      <c r="H192" s="97">
        <v>43.38</v>
      </c>
      <c r="I192" s="97">
        <v>34.119999999999997</v>
      </c>
      <c r="J192" s="97">
        <v>26.35</v>
      </c>
      <c r="K192" s="97">
        <v>26.72</v>
      </c>
      <c r="L192" s="97">
        <v>24.65</v>
      </c>
      <c r="M192" s="97">
        <v>33.299999999999997</v>
      </c>
      <c r="N192" s="97">
        <v>33.82</v>
      </c>
      <c r="O192" s="91">
        <v>369.96999999999997</v>
      </c>
    </row>
    <row r="193" spans="1:15" x14ac:dyDescent="0.2">
      <c r="B193" s="90" t="s">
        <v>176</v>
      </c>
      <c r="C193" s="97">
        <v>13.03</v>
      </c>
      <c r="D193" s="97">
        <v>11.16</v>
      </c>
      <c r="E193" s="97">
        <v>4.78</v>
      </c>
      <c r="F193" s="97">
        <v>10.49</v>
      </c>
      <c r="G193" s="97">
        <v>7.52</v>
      </c>
      <c r="H193" s="97">
        <v>9.56</v>
      </c>
      <c r="I193" s="97">
        <v>7.26</v>
      </c>
      <c r="J193" s="97">
        <v>13.55</v>
      </c>
      <c r="K193" s="97">
        <v>4.05</v>
      </c>
      <c r="L193" s="97">
        <v>7.2</v>
      </c>
      <c r="M193" s="97">
        <v>13.38</v>
      </c>
      <c r="N193" s="97">
        <v>5.76</v>
      </c>
      <c r="O193" s="91">
        <v>107.74000000000001</v>
      </c>
    </row>
    <row r="194" spans="1:15" x14ac:dyDescent="0.2">
      <c r="B194" s="90" t="s">
        <v>177</v>
      </c>
      <c r="C194" s="97">
        <v>45.78</v>
      </c>
      <c r="D194" s="97">
        <v>61.44</v>
      </c>
      <c r="E194" s="97">
        <v>35.07</v>
      </c>
      <c r="F194" s="97">
        <v>67.37</v>
      </c>
      <c r="G194" s="97">
        <v>54.93</v>
      </c>
      <c r="H194" s="97">
        <v>51.31</v>
      </c>
      <c r="I194" s="97">
        <v>61.81</v>
      </c>
      <c r="J194" s="97">
        <v>55.96</v>
      </c>
      <c r="K194" s="97">
        <v>79.319999999999993</v>
      </c>
      <c r="L194" s="97">
        <v>154.01</v>
      </c>
      <c r="M194" s="97">
        <v>69.52</v>
      </c>
      <c r="N194" s="97">
        <v>36.090000000000003</v>
      </c>
      <c r="O194" s="91">
        <v>772.61</v>
      </c>
    </row>
    <row r="195" spans="1:15" x14ac:dyDescent="0.2">
      <c r="B195" s="90" t="s">
        <v>178</v>
      </c>
      <c r="C195" s="97">
        <v>571.36</v>
      </c>
      <c r="D195" s="97">
        <v>633.97</v>
      </c>
      <c r="E195" s="97">
        <v>431.82</v>
      </c>
      <c r="F195" s="97">
        <v>616.14</v>
      </c>
      <c r="G195" s="97">
        <v>582.73</v>
      </c>
      <c r="H195" s="97">
        <v>467.56</v>
      </c>
      <c r="I195" s="97">
        <v>601.1</v>
      </c>
      <c r="J195" s="97">
        <v>601.79</v>
      </c>
      <c r="K195" s="97">
        <v>608.36</v>
      </c>
      <c r="L195" s="97">
        <v>520.51</v>
      </c>
      <c r="M195" s="97">
        <v>635.29999999999995</v>
      </c>
      <c r="N195" s="97">
        <v>366.86</v>
      </c>
      <c r="O195" s="91">
        <v>5520.5599999999995</v>
      </c>
    </row>
    <row r="196" spans="1:15" x14ac:dyDescent="0.2">
      <c r="B196" s="90" t="s">
        <v>179</v>
      </c>
      <c r="C196" s="97">
        <v>0.01</v>
      </c>
      <c r="D196" s="97">
        <v>0.01</v>
      </c>
      <c r="E196" s="97">
        <v>0.01</v>
      </c>
      <c r="F196" s="97">
        <v>0.01</v>
      </c>
      <c r="G196" s="97">
        <v>0.01</v>
      </c>
      <c r="H196" s="97">
        <v>0</v>
      </c>
      <c r="I196" s="97">
        <v>0</v>
      </c>
      <c r="J196" s="97">
        <v>0.02</v>
      </c>
      <c r="K196" s="97">
        <v>0.02</v>
      </c>
      <c r="L196" s="97">
        <v>0</v>
      </c>
      <c r="M196" s="97">
        <v>0.05</v>
      </c>
      <c r="N196" s="97">
        <v>0</v>
      </c>
      <c r="O196" s="91">
        <v>0.14000000000000001</v>
      </c>
    </row>
    <row r="197" spans="1:15" x14ac:dyDescent="0.2">
      <c r="B197" s="90" t="s">
        <v>180</v>
      </c>
      <c r="C197" s="97">
        <v>65.94</v>
      </c>
      <c r="D197" s="97">
        <v>87.21</v>
      </c>
      <c r="E197" s="97">
        <v>47.25</v>
      </c>
      <c r="F197" s="97">
        <v>78.44</v>
      </c>
      <c r="G197" s="97">
        <v>63.65</v>
      </c>
      <c r="H197" s="97">
        <v>54.52</v>
      </c>
      <c r="I197" s="97">
        <v>51.44</v>
      </c>
      <c r="J197" s="97">
        <v>78.209999999999994</v>
      </c>
      <c r="K197" s="97">
        <v>69.08</v>
      </c>
      <c r="L197" s="97">
        <v>53.72</v>
      </c>
      <c r="M197" s="97">
        <v>72.66</v>
      </c>
      <c r="N197" s="97">
        <v>51.57</v>
      </c>
      <c r="O197" s="91">
        <v>773.69</v>
      </c>
    </row>
    <row r="198" spans="1:15" x14ac:dyDescent="0.2">
      <c r="B198" s="90" t="s">
        <v>181</v>
      </c>
      <c r="C198" s="97">
        <v>0.11</v>
      </c>
      <c r="D198" s="97">
        <v>0.05</v>
      </c>
      <c r="E198" s="97">
        <v>0.01</v>
      </c>
      <c r="F198" s="97">
        <v>0.02</v>
      </c>
      <c r="G198" s="97">
        <v>0.06</v>
      </c>
      <c r="H198" s="97">
        <v>0.03</v>
      </c>
      <c r="I198" s="97">
        <v>0.02</v>
      </c>
      <c r="J198" s="97">
        <v>0.12</v>
      </c>
      <c r="K198" s="97">
        <v>0</v>
      </c>
      <c r="L198" s="97">
        <v>0</v>
      </c>
      <c r="M198" s="97">
        <v>0.03</v>
      </c>
      <c r="N198" s="97">
        <v>0</v>
      </c>
      <c r="O198" s="91">
        <v>0.45000000000000007</v>
      </c>
    </row>
    <row r="199" spans="1:15" x14ac:dyDescent="0.2">
      <c r="C199" s="97"/>
      <c r="D199" s="97"/>
      <c r="E199" s="97"/>
      <c r="F199" s="97"/>
      <c r="G199" s="97"/>
      <c r="H199" s="97"/>
      <c r="I199" s="97"/>
      <c r="J199" s="97"/>
      <c r="K199" s="97"/>
      <c r="L199" s="97"/>
      <c r="M199" s="97"/>
      <c r="N199" s="97"/>
    </row>
    <row r="200" spans="1:15" s="95" customFormat="1" ht="15" x14ac:dyDescent="0.25">
      <c r="A200" s="94" t="s">
        <v>182</v>
      </c>
      <c r="C200" s="96">
        <v>47.679999999999993</v>
      </c>
      <c r="D200" s="96">
        <v>105.93999999999997</v>
      </c>
      <c r="E200" s="96">
        <v>45.539999999999992</v>
      </c>
      <c r="F200" s="96">
        <v>66.33</v>
      </c>
      <c r="G200" s="96">
        <v>41.179999999999993</v>
      </c>
      <c r="H200" s="96">
        <v>54.120000000000012</v>
      </c>
      <c r="I200" s="96">
        <v>55.639999999999993</v>
      </c>
      <c r="J200" s="96">
        <v>81.449999999999989</v>
      </c>
      <c r="K200" s="96">
        <v>75</v>
      </c>
      <c r="L200" s="96">
        <v>102.52000000000001</v>
      </c>
      <c r="M200" s="96">
        <v>61.000000000000007</v>
      </c>
      <c r="N200" s="96">
        <v>115.44</v>
      </c>
      <c r="O200" s="106">
        <v>851.83999999999992</v>
      </c>
    </row>
    <row r="201" spans="1:15" x14ac:dyDescent="0.2">
      <c r="B201" s="90" t="s">
        <v>183</v>
      </c>
      <c r="C201" s="97">
        <v>0</v>
      </c>
      <c r="D201" s="97">
        <v>0</v>
      </c>
      <c r="E201" s="97">
        <v>0</v>
      </c>
      <c r="F201" s="97">
        <v>0.03</v>
      </c>
      <c r="G201" s="97">
        <v>0</v>
      </c>
      <c r="H201" s="97">
        <v>0.04</v>
      </c>
      <c r="I201" s="97">
        <v>0</v>
      </c>
      <c r="J201" s="97">
        <v>0.08</v>
      </c>
      <c r="K201" s="97">
        <v>0</v>
      </c>
      <c r="L201" s="97">
        <v>0.93</v>
      </c>
      <c r="M201" s="97">
        <v>0</v>
      </c>
      <c r="N201" s="97">
        <v>0</v>
      </c>
      <c r="O201" s="91">
        <v>1.08</v>
      </c>
    </row>
    <row r="202" spans="1:15" x14ac:dyDescent="0.2">
      <c r="B202" s="90" t="s">
        <v>184</v>
      </c>
      <c r="C202" s="97">
        <v>0</v>
      </c>
      <c r="D202" s="97">
        <v>0.01</v>
      </c>
      <c r="E202" s="97">
        <v>0</v>
      </c>
      <c r="F202" s="97">
        <v>0</v>
      </c>
      <c r="G202" s="97">
        <v>0</v>
      </c>
      <c r="H202" s="97">
        <v>0</v>
      </c>
      <c r="I202" s="97">
        <v>0</v>
      </c>
      <c r="J202" s="97">
        <v>0.02</v>
      </c>
      <c r="K202" s="97">
        <v>0</v>
      </c>
      <c r="L202" s="97">
        <v>0</v>
      </c>
      <c r="M202" s="97">
        <v>0</v>
      </c>
      <c r="N202" s="97">
        <v>0</v>
      </c>
      <c r="O202" s="91">
        <v>0.03</v>
      </c>
    </row>
    <row r="203" spans="1:15" x14ac:dyDescent="0.2">
      <c r="B203" s="90" t="s">
        <v>185</v>
      </c>
      <c r="C203" s="97">
        <v>0</v>
      </c>
      <c r="D203" s="97">
        <v>0.02</v>
      </c>
      <c r="E203" s="97">
        <v>0</v>
      </c>
      <c r="F203" s="97">
        <v>0.06</v>
      </c>
      <c r="G203" s="97">
        <v>0.03</v>
      </c>
      <c r="H203" s="97">
        <v>0.02</v>
      </c>
      <c r="I203" s="97">
        <v>0.02</v>
      </c>
      <c r="J203" s="97">
        <v>0.05</v>
      </c>
      <c r="K203" s="97">
        <v>0.02</v>
      </c>
      <c r="L203" s="97">
        <v>0.02</v>
      </c>
      <c r="M203" s="97">
        <v>0.17</v>
      </c>
      <c r="N203" s="97">
        <v>0</v>
      </c>
      <c r="O203" s="91">
        <v>0.41000000000000003</v>
      </c>
    </row>
    <row r="204" spans="1:15" x14ac:dyDescent="0.2">
      <c r="B204" s="90" t="s">
        <v>186</v>
      </c>
      <c r="C204" s="97">
        <v>0</v>
      </c>
      <c r="D204" s="97">
        <v>0</v>
      </c>
      <c r="E204" s="97">
        <v>0</v>
      </c>
      <c r="F204" s="97">
        <v>0</v>
      </c>
      <c r="G204" s="97">
        <v>0</v>
      </c>
      <c r="H204" s="97">
        <v>0</v>
      </c>
      <c r="I204" s="97">
        <v>0</v>
      </c>
      <c r="J204" s="97">
        <v>0</v>
      </c>
      <c r="K204" s="97">
        <v>0</v>
      </c>
      <c r="L204" s="97">
        <v>0</v>
      </c>
      <c r="M204" s="97">
        <v>0</v>
      </c>
      <c r="N204" s="97">
        <v>0</v>
      </c>
      <c r="O204" s="91">
        <v>0</v>
      </c>
    </row>
    <row r="205" spans="1:15" x14ac:dyDescent="0.2">
      <c r="B205" s="90" t="s">
        <v>187</v>
      </c>
      <c r="C205" s="97">
        <v>21.95</v>
      </c>
      <c r="D205" s="97">
        <v>52.96</v>
      </c>
      <c r="E205" s="97">
        <v>20.99</v>
      </c>
      <c r="F205" s="97">
        <v>18.46</v>
      </c>
      <c r="G205" s="97">
        <v>1.06</v>
      </c>
      <c r="H205" s="97">
        <v>34.1</v>
      </c>
      <c r="I205" s="97">
        <v>16.27</v>
      </c>
      <c r="J205" s="97">
        <v>22.2</v>
      </c>
      <c r="K205" s="97">
        <v>9</v>
      </c>
      <c r="L205" s="97">
        <v>67.25</v>
      </c>
      <c r="M205" s="97">
        <v>18.7</v>
      </c>
      <c r="N205" s="97">
        <v>89.58</v>
      </c>
      <c r="O205" s="91">
        <v>372.52</v>
      </c>
    </row>
    <row r="206" spans="1:15" x14ac:dyDescent="0.2">
      <c r="B206" s="90" t="s">
        <v>188</v>
      </c>
      <c r="C206" s="97">
        <v>0</v>
      </c>
      <c r="D206" s="97">
        <v>0</v>
      </c>
      <c r="E206" s="97">
        <v>0</v>
      </c>
      <c r="F206" s="97">
        <v>0</v>
      </c>
      <c r="G206" s="97">
        <v>0</v>
      </c>
      <c r="H206" s="97">
        <v>0</v>
      </c>
      <c r="I206" s="97">
        <v>0</v>
      </c>
      <c r="J206" s="97">
        <v>0</v>
      </c>
      <c r="K206" s="97">
        <v>0</v>
      </c>
      <c r="L206" s="97">
        <v>0</v>
      </c>
      <c r="M206" s="97">
        <v>0</v>
      </c>
      <c r="N206" s="97">
        <v>0</v>
      </c>
      <c r="O206" s="91">
        <v>0</v>
      </c>
    </row>
    <row r="207" spans="1:15" x14ac:dyDescent="0.2">
      <c r="B207" s="90" t="s">
        <v>189</v>
      </c>
      <c r="C207" s="97">
        <v>0</v>
      </c>
      <c r="D207" s="97">
        <v>0.08</v>
      </c>
      <c r="E207" s="97">
        <v>0.01</v>
      </c>
      <c r="F207" s="97">
        <v>0.01</v>
      </c>
      <c r="G207" s="97">
        <v>0</v>
      </c>
      <c r="H207" s="97">
        <v>0</v>
      </c>
      <c r="I207" s="97">
        <v>0</v>
      </c>
      <c r="J207" s="97">
        <v>0</v>
      </c>
      <c r="K207" s="97">
        <v>0</v>
      </c>
      <c r="L207" s="97">
        <v>0</v>
      </c>
      <c r="M207" s="97">
        <v>0</v>
      </c>
      <c r="N207" s="97">
        <v>0</v>
      </c>
      <c r="O207" s="91">
        <v>9.9999999999999992E-2</v>
      </c>
    </row>
    <row r="208" spans="1:15" x14ac:dyDescent="0.2">
      <c r="B208" s="90" t="s">
        <v>190</v>
      </c>
      <c r="C208" s="97">
        <v>11.55</v>
      </c>
      <c r="D208" s="97">
        <v>15.65</v>
      </c>
      <c r="E208" s="97">
        <v>12.63</v>
      </c>
      <c r="F208" s="97">
        <v>22.34</v>
      </c>
      <c r="G208" s="97">
        <v>8.85</v>
      </c>
      <c r="H208" s="97">
        <v>9.3800000000000008</v>
      </c>
      <c r="I208" s="97">
        <v>17.95</v>
      </c>
      <c r="J208" s="97">
        <v>33.03</v>
      </c>
      <c r="K208" s="97">
        <v>47.46</v>
      </c>
      <c r="L208" s="97">
        <v>20.82</v>
      </c>
      <c r="M208" s="97">
        <v>6.94</v>
      </c>
      <c r="N208" s="97">
        <v>4.0199999999999996</v>
      </c>
      <c r="O208" s="91">
        <v>210.62</v>
      </c>
    </row>
    <row r="209" spans="2:15" x14ac:dyDescent="0.2">
      <c r="B209" s="90" t="s">
        <v>191</v>
      </c>
      <c r="C209" s="97">
        <v>0</v>
      </c>
      <c r="D209" s="97">
        <v>0</v>
      </c>
      <c r="E209" s="97">
        <v>0</v>
      </c>
      <c r="F209" s="97">
        <v>0.01</v>
      </c>
      <c r="G209" s="97">
        <v>0</v>
      </c>
      <c r="H209" s="97">
        <v>0</v>
      </c>
      <c r="I209" s="97">
        <v>0.01</v>
      </c>
      <c r="J209" s="97">
        <v>0</v>
      </c>
      <c r="K209" s="97">
        <v>0</v>
      </c>
      <c r="L209" s="97">
        <v>0</v>
      </c>
      <c r="M209" s="97">
        <v>0</v>
      </c>
      <c r="N209" s="97">
        <v>0</v>
      </c>
      <c r="O209" s="91">
        <v>0.02</v>
      </c>
    </row>
    <row r="210" spans="2:15" x14ac:dyDescent="0.2">
      <c r="B210" s="90" t="s">
        <v>192</v>
      </c>
      <c r="C210" s="97">
        <v>0</v>
      </c>
      <c r="D210" s="97">
        <v>0</v>
      </c>
      <c r="E210" s="97">
        <v>0</v>
      </c>
      <c r="F210" s="97">
        <v>0</v>
      </c>
      <c r="G210" s="97">
        <v>0</v>
      </c>
      <c r="H210" s="97">
        <v>0</v>
      </c>
      <c r="I210" s="97">
        <v>0</v>
      </c>
      <c r="J210" s="97">
        <v>0</v>
      </c>
      <c r="K210" s="97">
        <v>0</v>
      </c>
      <c r="L210" s="97">
        <v>0</v>
      </c>
      <c r="M210" s="97">
        <v>0</v>
      </c>
      <c r="N210" s="97">
        <v>0</v>
      </c>
      <c r="O210" s="91">
        <v>0</v>
      </c>
    </row>
    <row r="211" spans="2:15" x14ac:dyDescent="0.2">
      <c r="B211" s="90" t="s">
        <v>670</v>
      </c>
      <c r="C211" s="97">
        <v>0</v>
      </c>
      <c r="D211" s="97">
        <v>0</v>
      </c>
      <c r="E211" s="97">
        <v>0</v>
      </c>
      <c r="F211" s="97">
        <v>0</v>
      </c>
      <c r="G211" s="97">
        <v>0</v>
      </c>
      <c r="H211" s="97">
        <v>0</v>
      </c>
      <c r="I211" s="97">
        <v>0</v>
      </c>
      <c r="J211" s="97">
        <v>0</v>
      </c>
      <c r="K211" s="97">
        <v>0</v>
      </c>
      <c r="L211" s="97">
        <v>0</v>
      </c>
      <c r="M211" s="97">
        <v>0</v>
      </c>
      <c r="N211" s="97">
        <v>0</v>
      </c>
      <c r="O211" s="91">
        <v>0</v>
      </c>
    </row>
    <row r="212" spans="2:15" x14ac:dyDescent="0.2">
      <c r="B212" s="90" t="s">
        <v>193</v>
      </c>
      <c r="C212" s="97">
        <v>0</v>
      </c>
      <c r="D212" s="97">
        <v>0</v>
      </c>
      <c r="E212" s="97">
        <v>0</v>
      </c>
      <c r="F212" s="97">
        <v>0</v>
      </c>
      <c r="G212" s="97">
        <v>0.94</v>
      </c>
      <c r="H212" s="97">
        <v>0</v>
      </c>
      <c r="I212" s="97">
        <v>0</v>
      </c>
      <c r="J212" s="97">
        <v>0</v>
      </c>
      <c r="K212" s="97">
        <v>0</v>
      </c>
      <c r="L212" s="97">
        <v>0</v>
      </c>
      <c r="M212" s="97">
        <v>0</v>
      </c>
      <c r="N212" s="97">
        <v>0</v>
      </c>
      <c r="O212" s="91">
        <v>0.94</v>
      </c>
    </row>
    <row r="213" spans="2:15" x14ac:dyDescent="0.2">
      <c r="B213" s="90" t="s">
        <v>194</v>
      </c>
      <c r="C213" s="97">
        <v>0.04</v>
      </c>
      <c r="D213" s="97">
        <v>0</v>
      </c>
      <c r="E213" s="97">
        <v>0.01</v>
      </c>
      <c r="F213" s="97">
        <v>0</v>
      </c>
      <c r="G213" s="97">
        <v>0</v>
      </c>
      <c r="H213" s="97">
        <v>0</v>
      </c>
      <c r="I213" s="97">
        <v>0</v>
      </c>
      <c r="J213" s="97">
        <v>0</v>
      </c>
      <c r="K213" s="97">
        <v>0.01</v>
      </c>
      <c r="L213" s="97">
        <v>0</v>
      </c>
      <c r="M213" s="97">
        <v>0</v>
      </c>
      <c r="N213" s="97">
        <v>0</v>
      </c>
      <c r="O213" s="91">
        <v>6.0000000000000005E-2</v>
      </c>
    </row>
    <row r="214" spans="2:15" x14ac:dyDescent="0.2">
      <c r="B214" s="90" t="s">
        <v>195</v>
      </c>
      <c r="C214" s="97">
        <v>0.15</v>
      </c>
      <c r="D214" s="97">
        <v>0.27</v>
      </c>
      <c r="E214" s="97">
        <v>0.05</v>
      </c>
      <c r="F214" s="97">
        <v>0.17</v>
      </c>
      <c r="G214" s="97">
        <v>0.27</v>
      </c>
      <c r="H214" s="97">
        <v>0.02</v>
      </c>
      <c r="I214" s="97">
        <v>1.46</v>
      </c>
      <c r="J214" s="97">
        <v>0.21</v>
      </c>
      <c r="K214" s="97">
        <v>0.11</v>
      </c>
      <c r="L214" s="97">
        <v>0.27</v>
      </c>
      <c r="M214" s="97">
        <v>0.38</v>
      </c>
      <c r="N214" s="97">
        <v>0.04</v>
      </c>
      <c r="O214" s="91">
        <v>3.4</v>
      </c>
    </row>
    <row r="215" spans="2:15" x14ac:dyDescent="0.2">
      <c r="B215" s="90" t="s">
        <v>671</v>
      </c>
      <c r="C215" s="97">
        <v>0</v>
      </c>
      <c r="D215" s="97">
        <v>0</v>
      </c>
      <c r="E215" s="97">
        <v>0</v>
      </c>
      <c r="F215" s="97">
        <v>1.79</v>
      </c>
      <c r="G215" s="97">
        <v>0.11</v>
      </c>
      <c r="H215" s="97">
        <v>7.0000000000000007E-2</v>
      </c>
      <c r="I215" s="97">
        <v>0</v>
      </c>
      <c r="J215" s="97">
        <v>0</v>
      </c>
      <c r="K215" s="97">
        <v>0.11</v>
      </c>
      <c r="L215" s="97">
        <v>0.06</v>
      </c>
      <c r="M215" s="97">
        <v>1.77</v>
      </c>
      <c r="N215" s="97">
        <v>0</v>
      </c>
      <c r="O215" s="91">
        <v>3.91</v>
      </c>
    </row>
    <row r="216" spans="2:15" x14ac:dyDescent="0.2">
      <c r="B216" s="90" t="s">
        <v>196</v>
      </c>
      <c r="C216" s="97">
        <v>0</v>
      </c>
      <c r="D216" s="97">
        <v>0.14000000000000001</v>
      </c>
      <c r="E216" s="97">
        <v>0</v>
      </c>
      <c r="F216" s="97">
        <v>0</v>
      </c>
      <c r="G216" s="97">
        <v>0.13</v>
      </c>
      <c r="H216" s="97">
        <v>0</v>
      </c>
      <c r="I216" s="97">
        <v>0</v>
      </c>
      <c r="J216" s="97">
        <v>0</v>
      </c>
      <c r="K216" s="97">
        <v>0</v>
      </c>
      <c r="L216" s="97">
        <v>0</v>
      </c>
      <c r="M216" s="97">
        <v>0</v>
      </c>
      <c r="N216" s="97">
        <v>0</v>
      </c>
      <c r="O216" s="91">
        <v>0.27</v>
      </c>
    </row>
    <row r="217" spans="2:15" x14ac:dyDescent="0.2">
      <c r="B217" s="90" t="s">
        <v>197</v>
      </c>
      <c r="C217" s="97">
        <v>0</v>
      </c>
      <c r="D217" s="97">
        <v>0</v>
      </c>
      <c r="E217" s="97">
        <v>0</v>
      </c>
      <c r="F217" s="97">
        <v>0</v>
      </c>
      <c r="G217" s="97">
        <v>0</v>
      </c>
      <c r="H217" s="97">
        <v>0</v>
      </c>
      <c r="I217" s="97">
        <v>0</v>
      </c>
      <c r="J217" s="97">
        <v>0</v>
      </c>
      <c r="K217" s="97">
        <v>0</v>
      </c>
      <c r="L217" s="97">
        <v>0.02</v>
      </c>
      <c r="M217" s="97">
        <v>0</v>
      </c>
      <c r="N217" s="97">
        <v>0</v>
      </c>
      <c r="O217" s="91">
        <v>0.02</v>
      </c>
    </row>
    <row r="218" spans="2:15" x14ac:dyDescent="0.2">
      <c r="B218" s="90" t="s">
        <v>198</v>
      </c>
      <c r="C218" s="97">
        <v>0</v>
      </c>
      <c r="D218" s="97">
        <v>0</v>
      </c>
      <c r="E218" s="97">
        <v>0</v>
      </c>
      <c r="F218" s="97">
        <v>0</v>
      </c>
      <c r="G218" s="97">
        <v>0</v>
      </c>
      <c r="H218" s="97">
        <v>0</v>
      </c>
      <c r="I218" s="97">
        <v>0</v>
      </c>
      <c r="J218" s="97">
        <v>0</v>
      </c>
      <c r="K218" s="97">
        <v>0</v>
      </c>
      <c r="L218" s="97">
        <v>0</v>
      </c>
      <c r="M218" s="97">
        <v>0.01</v>
      </c>
      <c r="N218" s="97">
        <v>0</v>
      </c>
      <c r="O218" s="91">
        <v>0.01</v>
      </c>
    </row>
    <row r="219" spans="2:15" x14ac:dyDescent="0.2">
      <c r="B219" s="90" t="s">
        <v>672</v>
      </c>
      <c r="C219" s="97">
        <v>0</v>
      </c>
      <c r="D219" s="97">
        <v>0</v>
      </c>
      <c r="E219" s="97">
        <v>0</v>
      </c>
      <c r="F219" s="97">
        <v>0</v>
      </c>
      <c r="G219" s="97">
        <v>0</v>
      </c>
      <c r="H219" s="97">
        <v>0</v>
      </c>
      <c r="I219" s="97">
        <v>0</v>
      </c>
      <c r="J219" s="97">
        <v>0</v>
      </c>
      <c r="K219" s="97">
        <v>0</v>
      </c>
      <c r="L219" s="97">
        <v>0</v>
      </c>
      <c r="M219" s="97">
        <v>0</v>
      </c>
      <c r="N219" s="97">
        <v>0.05</v>
      </c>
      <c r="O219" s="91">
        <v>0.05</v>
      </c>
    </row>
    <row r="220" spans="2:15" x14ac:dyDescent="0.2">
      <c r="B220" s="90" t="s">
        <v>199</v>
      </c>
      <c r="C220" s="97">
        <v>0.11</v>
      </c>
      <c r="D220" s="97">
        <v>0.24</v>
      </c>
      <c r="E220" s="97">
        <v>0.32</v>
      </c>
      <c r="F220" s="97">
        <v>0.28999999999999998</v>
      </c>
      <c r="G220" s="97">
        <v>0.14000000000000001</v>
      </c>
      <c r="H220" s="97">
        <v>0.36</v>
      </c>
      <c r="I220" s="97">
        <v>0.06</v>
      </c>
      <c r="J220" s="97">
        <v>0.38</v>
      </c>
      <c r="K220" s="97">
        <v>0.02</v>
      </c>
      <c r="L220" s="97">
        <v>0.19</v>
      </c>
      <c r="M220" s="97">
        <v>0.7</v>
      </c>
      <c r="N220" s="97">
        <v>0.05</v>
      </c>
      <c r="O220" s="91">
        <v>2.8599999999999994</v>
      </c>
    </row>
    <row r="221" spans="2:15" x14ac:dyDescent="0.2">
      <c r="B221" s="90" t="s">
        <v>200</v>
      </c>
      <c r="C221" s="97">
        <v>1.04</v>
      </c>
      <c r="D221" s="97">
        <v>0.13</v>
      </c>
      <c r="E221" s="97">
        <v>0</v>
      </c>
      <c r="F221" s="97">
        <v>0.06</v>
      </c>
      <c r="G221" s="97">
        <v>0.35</v>
      </c>
      <c r="H221" s="97">
        <v>0.03</v>
      </c>
      <c r="I221" s="97">
        <v>0.19</v>
      </c>
      <c r="J221" s="97">
        <v>0.01</v>
      </c>
      <c r="K221" s="97">
        <v>0.28999999999999998</v>
      </c>
      <c r="L221" s="97">
        <v>0.01</v>
      </c>
      <c r="M221" s="97">
        <v>0</v>
      </c>
      <c r="N221" s="97">
        <v>0.01</v>
      </c>
      <c r="O221" s="91">
        <v>2.1199999999999997</v>
      </c>
    </row>
    <row r="222" spans="2:15" x14ac:dyDescent="0.2">
      <c r="B222" s="90" t="s">
        <v>201</v>
      </c>
      <c r="C222" s="97">
        <v>0</v>
      </c>
      <c r="D222" s="97">
        <v>0</v>
      </c>
      <c r="E222" s="97">
        <v>0</v>
      </c>
      <c r="F222" s="97">
        <v>0</v>
      </c>
      <c r="G222" s="97">
        <v>0</v>
      </c>
      <c r="H222" s="97">
        <v>0</v>
      </c>
      <c r="I222" s="97">
        <v>0</v>
      </c>
      <c r="J222" s="97">
        <v>0</v>
      </c>
      <c r="K222" s="97">
        <v>0</v>
      </c>
      <c r="L222" s="97">
        <v>0</v>
      </c>
      <c r="M222" s="97">
        <v>0</v>
      </c>
      <c r="N222" s="97">
        <v>0</v>
      </c>
      <c r="O222" s="91">
        <v>0</v>
      </c>
    </row>
    <row r="223" spans="2:15" x14ac:dyDescent="0.2">
      <c r="B223" s="90" t="s">
        <v>202</v>
      </c>
      <c r="C223" s="97">
        <v>0</v>
      </c>
      <c r="D223" s="97">
        <v>0</v>
      </c>
      <c r="E223" s="97">
        <v>0</v>
      </c>
      <c r="F223" s="97">
        <v>0</v>
      </c>
      <c r="G223" s="97">
        <v>0</v>
      </c>
      <c r="H223" s="97">
        <v>0</v>
      </c>
      <c r="I223" s="97">
        <v>0</v>
      </c>
      <c r="J223" s="97">
        <v>0</v>
      </c>
      <c r="K223" s="97">
        <v>0</v>
      </c>
      <c r="L223" s="97">
        <v>0</v>
      </c>
      <c r="M223" s="97">
        <v>0</v>
      </c>
      <c r="N223" s="97">
        <v>0</v>
      </c>
      <c r="O223" s="91">
        <v>0</v>
      </c>
    </row>
    <row r="224" spans="2:15" x14ac:dyDescent="0.2">
      <c r="B224" s="90" t="s">
        <v>203</v>
      </c>
      <c r="C224" s="97">
        <v>0</v>
      </c>
      <c r="D224" s="97">
        <v>0</v>
      </c>
      <c r="E224" s="97">
        <v>0</v>
      </c>
      <c r="F224" s="97">
        <v>0</v>
      </c>
      <c r="G224" s="97">
        <v>0.01</v>
      </c>
      <c r="H224" s="97">
        <v>0</v>
      </c>
      <c r="I224" s="97">
        <v>0</v>
      </c>
      <c r="J224" s="97">
        <v>0</v>
      </c>
      <c r="K224" s="97">
        <v>0</v>
      </c>
      <c r="L224" s="97">
        <v>0</v>
      </c>
      <c r="M224" s="97">
        <v>0</v>
      </c>
      <c r="N224" s="97">
        <v>0</v>
      </c>
      <c r="O224" s="91">
        <v>0.01</v>
      </c>
    </row>
    <row r="225" spans="2:15" x14ac:dyDescent="0.2">
      <c r="B225" s="90" t="s">
        <v>673</v>
      </c>
      <c r="C225" s="97">
        <v>0</v>
      </c>
      <c r="D225" s="97">
        <v>0</v>
      </c>
      <c r="E225" s="97">
        <v>0</v>
      </c>
      <c r="F225" s="97">
        <v>0</v>
      </c>
      <c r="G225" s="97">
        <v>0</v>
      </c>
      <c r="H225" s="97">
        <v>0</v>
      </c>
      <c r="I225" s="97">
        <v>0</v>
      </c>
      <c r="J225" s="97">
        <v>0</v>
      </c>
      <c r="K225" s="97">
        <v>0</v>
      </c>
      <c r="L225" s="97">
        <v>0</v>
      </c>
      <c r="M225" s="97">
        <v>0.34</v>
      </c>
      <c r="N225" s="97">
        <v>0</v>
      </c>
      <c r="O225" s="91">
        <v>0.34</v>
      </c>
    </row>
    <row r="226" spans="2:15" x14ac:dyDescent="0.2">
      <c r="B226" s="90" t="s">
        <v>204</v>
      </c>
      <c r="C226" s="97">
        <v>0</v>
      </c>
      <c r="D226" s="97">
        <v>0</v>
      </c>
      <c r="E226" s="97">
        <v>0</v>
      </c>
      <c r="F226" s="97">
        <v>0</v>
      </c>
      <c r="G226" s="97">
        <v>0</v>
      </c>
      <c r="H226" s="97">
        <v>0</v>
      </c>
      <c r="I226" s="97">
        <v>0</v>
      </c>
      <c r="J226" s="97">
        <v>0</v>
      </c>
      <c r="K226" s="97">
        <v>0</v>
      </c>
      <c r="L226" s="97">
        <v>0</v>
      </c>
      <c r="M226" s="97">
        <v>0</v>
      </c>
      <c r="N226" s="97">
        <v>0</v>
      </c>
      <c r="O226" s="91">
        <v>0</v>
      </c>
    </row>
    <row r="227" spans="2:15" x14ac:dyDescent="0.2">
      <c r="B227" s="90" t="s">
        <v>205</v>
      </c>
      <c r="C227" s="97">
        <v>0</v>
      </c>
      <c r="D227" s="97">
        <v>0</v>
      </c>
      <c r="E227" s="97">
        <v>0</v>
      </c>
      <c r="F227" s="97">
        <v>0</v>
      </c>
      <c r="G227" s="97">
        <v>0</v>
      </c>
      <c r="H227" s="97">
        <v>0</v>
      </c>
      <c r="I227" s="97">
        <v>0</v>
      </c>
      <c r="J227" s="97">
        <v>0</v>
      </c>
      <c r="K227" s="97">
        <v>0</v>
      </c>
      <c r="L227" s="97">
        <v>0</v>
      </c>
      <c r="M227" s="97">
        <v>0</v>
      </c>
      <c r="N227" s="97">
        <v>0</v>
      </c>
      <c r="O227" s="91">
        <v>0</v>
      </c>
    </row>
    <row r="228" spans="2:15" x14ac:dyDescent="0.2">
      <c r="B228" s="90" t="s">
        <v>206</v>
      </c>
      <c r="C228" s="97">
        <v>0.22</v>
      </c>
      <c r="D228" s="97">
        <v>0.21</v>
      </c>
      <c r="E228" s="97">
        <v>0.1</v>
      </c>
      <c r="F228" s="97">
        <v>0.11</v>
      </c>
      <c r="G228" s="97">
        <v>0.03</v>
      </c>
      <c r="H228" s="97">
        <v>0.11</v>
      </c>
      <c r="I228" s="97">
        <v>0.06</v>
      </c>
      <c r="J228" s="97">
        <v>0.11</v>
      </c>
      <c r="K228" s="97">
        <v>0.03</v>
      </c>
      <c r="L228" s="97">
        <v>0.14000000000000001</v>
      </c>
      <c r="M228" s="97">
        <v>0.09</v>
      </c>
      <c r="N228" s="97">
        <v>0.08</v>
      </c>
      <c r="O228" s="91">
        <v>1.2900000000000003</v>
      </c>
    </row>
    <row r="229" spans="2:15" x14ac:dyDescent="0.2">
      <c r="B229" s="90" t="s">
        <v>207</v>
      </c>
      <c r="C229" s="97">
        <v>0</v>
      </c>
      <c r="D229" s="97">
        <v>0</v>
      </c>
      <c r="E229" s="97">
        <v>0</v>
      </c>
      <c r="F229" s="97">
        <v>0</v>
      </c>
      <c r="G229" s="97">
        <v>0</v>
      </c>
      <c r="H229" s="97">
        <v>0</v>
      </c>
      <c r="I229" s="97">
        <v>0</v>
      </c>
      <c r="J229" s="97">
        <v>0</v>
      </c>
      <c r="K229" s="97">
        <v>0</v>
      </c>
      <c r="L229" s="97">
        <v>0</v>
      </c>
      <c r="M229" s="97">
        <v>0</v>
      </c>
      <c r="N229" s="97">
        <v>0</v>
      </c>
      <c r="O229" s="91">
        <v>0</v>
      </c>
    </row>
    <row r="230" spans="2:15" x14ac:dyDescent="0.2">
      <c r="B230" s="90" t="s">
        <v>208</v>
      </c>
      <c r="C230" s="97">
        <v>0</v>
      </c>
      <c r="D230" s="97">
        <v>0</v>
      </c>
      <c r="E230" s="97">
        <v>0</v>
      </c>
      <c r="F230" s="97">
        <v>0</v>
      </c>
      <c r="G230" s="97">
        <v>0</v>
      </c>
      <c r="H230" s="97">
        <v>0</v>
      </c>
      <c r="I230" s="97">
        <v>0</v>
      </c>
      <c r="J230" s="97">
        <v>0</v>
      </c>
      <c r="K230" s="97">
        <v>0</v>
      </c>
      <c r="L230" s="97">
        <v>0</v>
      </c>
      <c r="M230" s="97">
        <v>0</v>
      </c>
      <c r="N230" s="97">
        <v>0</v>
      </c>
      <c r="O230" s="91">
        <v>0</v>
      </c>
    </row>
    <row r="231" spans="2:15" x14ac:dyDescent="0.2">
      <c r="B231" s="90" t="s">
        <v>209</v>
      </c>
      <c r="C231" s="97">
        <v>0</v>
      </c>
      <c r="D231" s="97">
        <v>0</v>
      </c>
      <c r="E231" s="97">
        <v>0</v>
      </c>
      <c r="F231" s="97">
        <v>0</v>
      </c>
      <c r="G231" s="97">
        <v>0</v>
      </c>
      <c r="H231" s="97">
        <v>0</v>
      </c>
      <c r="I231" s="97">
        <v>0</v>
      </c>
      <c r="J231" s="97">
        <v>0</v>
      </c>
      <c r="K231" s="97">
        <v>0</v>
      </c>
      <c r="L231" s="97">
        <v>0</v>
      </c>
      <c r="M231" s="97">
        <v>0</v>
      </c>
      <c r="N231" s="97">
        <v>0</v>
      </c>
      <c r="O231" s="91">
        <v>0</v>
      </c>
    </row>
    <row r="232" spans="2:15" x14ac:dyDescent="0.2">
      <c r="B232" s="90" t="s">
        <v>210</v>
      </c>
      <c r="C232" s="97">
        <v>0</v>
      </c>
      <c r="D232" s="97">
        <v>0</v>
      </c>
      <c r="E232" s="97">
        <v>0</v>
      </c>
      <c r="F232" s="97">
        <v>0</v>
      </c>
      <c r="G232" s="97">
        <v>0</v>
      </c>
      <c r="H232" s="97">
        <v>0</v>
      </c>
      <c r="I232" s="97">
        <v>0</v>
      </c>
      <c r="J232" s="97">
        <v>0</v>
      </c>
      <c r="K232" s="97">
        <v>0</v>
      </c>
      <c r="L232" s="97">
        <v>0</v>
      </c>
      <c r="M232" s="97">
        <v>0</v>
      </c>
      <c r="N232" s="97">
        <v>0</v>
      </c>
      <c r="O232" s="91">
        <v>0</v>
      </c>
    </row>
    <row r="233" spans="2:15" x14ac:dyDescent="0.2">
      <c r="B233" s="90" t="s">
        <v>211</v>
      </c>
      <c r="C233" s="97">
        <v>0</v>
      </c>
      <c r="D233" s="97">
        <v>0</v>
      </c>
      <c r="E233" s="97">
        <v>0</v>
      </c>
      <c r="F233" s="97">
        <v>0</v>
      </c>
      <c r="G233" s="97">
        <v>0</v>
      </c>
      <c r="H233" s="97">
        <v>0</v>
      </c>
      <c r="I233" s="97">
        <v>0</v>
      </c>
      <c r="J233" s="97">
        <v>0</v>
      </c>
      <c r="K233" s="97">
        <v>0</v>
      </c>
      <c r="L233" s="97">
        <v>0</v>
      </c>
      <c r="M233" s="97">
        <v>0</v>
      </c>
      <c r="N233" s="97">
        <v>0</v>
      </c>
      <c r="O233" s="91">
        <v>0</v>
      </c>
    </row>
    <row r="234" spans="2:15" x14ac:dyDescent="0.2">
      <c r="B234" s="90" t="s">
        <v>674</v>
      </c>
      <c r="C234" s="97">
        <v>0</v>
      </c>
      <c r="D234" s="97">
        <v>0</v>
      </c>
      <c r="E234" s="97">
        <v>0</v>
      </c>
      <c r="F234" s="97">
        <v>0</v>
      </c>
      <c r="G234" s="97">
        <v>0</v>
      </c>
      <c r="H234" s="97">
        <v>0</v>
      </c>
      <c r="I234" s="97">
        <v>0</v>
      </c>
      <c r="J234" s="97">
        <v>0</v>
      </c>
      <c r="K234" s="97">
        <v>0</v>
      </c>
      <c r="L234" s="97">
        <v>0</v>
      </c>
      <c r="M234" s="97">
        <v>0</v>
      </c>
      <c r="N234" s="97">
        <v>0.01</v>
      </c>
      <c r="O234" s="91">
        <v>0.01</v>
      </c>
    </row>
    <row r="235" spans="2:15" x14ac:dyDescent="0.2">
      <c r="B235" s="90" t="s">
        <v>212</v>
      </c>
      <c r="C235" s="97">
        <v>0.01</v>
      </c>
      <c r="D235" s="97">
        <v>0</v>
      </c>
      <c r="E235" s="97">
        <v>0</v>
      </c>
      <c r="F235" s="97">
        <v>0</v>
      </c>
      <c r="G235" s="97">
        <v>0.01</v>
      </c>
      <c r="H235" s="97">
        <v>0</v>
      </c>
      <c r="I235" s="97">
        <v>0</v>
      </c>
      <c r="J235" s="97">
        <v>0.01</v>
      </c>
      <c r="K235" s="97">
        <v>0</v>
      </c>
      <c r="L235" s="97">
        <v>0</v>
      </c>
      <c r="M235" s="97">
        <v>0.03</v>
      </c>
      <c r="N235" s="97">
        <v>0.01</v>
      </c>
      <c r="O235" s="91">
        <v>6.9999999999999993E-2</v>
      </c>
    </row>
    <row r="236" spans="2:15" x14ac:dyDescent="0.2">
      <c r="B236" s="90" t="s">
        <v>213</v>
      </c>
      <c r="C236" s="97">
        <v>0</v>
      </c>
      <c r="D236" s="97">
        <v>0</v>
      </c>
      <c r="E236" s="97">
        <v>0</v>
      </c>
      <c r="F236" s="97">
        <v>0</v>
      </c>
      <c r="G236" s="97">
        <v>0</v>
      </c>
      <c r="H236" s="97">
        <v>0</v>
      </c>
      <c r="I236" s="97">
        <v>0</v>
      </c>
      <c r="J236" s="97">
        <v>0</v>
      </c>
      <c r="K236" s="97">
        <v>0</v>
      </c>
      <c r="L236" s="97">
        <v>0</v>
      </c>
      <c r="M236" s="97">
        <v>0</v>
      </c>
      <c r="N236" s="97">
        <v>0</v>
      </c>
      <c r="O236" s="91">
        <v>0</v>
      </c>
    </row>
    <row r="237" spans="2:15" x14ac:dyDescent="0.2">
      <c r="B237" s="105" t="s">
        <v>214</v>
      </c>
      <c r="C237" s="97">
        <v>0</v>
      </c>
      <c r="D237" s="97">
        <v>0</v>
      </c>
      <c r="E237" s="97">
        <v>0</v>
      </c>
      <c r="F237" s="97">
        <v>0</v>
      </c>
      <c r="G237" s="97">
        <v>0</v>
      </c>
      <c r="H237" s="97">
        <v>0</v>
      </c>
      <c r="I237" s="97">
        <v>0</v>
      </c>
      <c r="J237" s="97">
        <v>0</v>
      </c>
      <c r="K237" s="97">
        <v>0</v>
      </c>
      <c r="L237" s="97">
        <v>0</v>
      </c>
      <c r="M237" s="97">
        <v>0</v>
      </c>
      <c r="N237" s="97">
        <v>0</v>
      </c>
      <c r="O237" s="91">
        <v>0</v>
      </c>
    </row>
    <row r="238" spans="2:15" x14ac:dyDescent="0.2">
      <c r="B238" s="90" t="s">
        <v>215</v>
      </c>
      <c r="C238" s="97">
        <v>0</v>
      </c>
      <c r="D238" s="97">
        <v>6.22</v>
      </c>
      <c r="E238" s="97">
        <v>0.01</v>
      </c>
      <c r="F238" s="97">
        <v>0.03</v>
      </c>
      <c r="G238" s="97">
        <v>0.01</v>
      </c>
      <c r="H238" s="97">
        <v>0.02</v>
      </c>
      <c r="I238" s="97">
        <v>0</v>
      </c>
      <c r="J238" s="97">
        <v>0.01</v>
      </c>
      <c r="K238" s="97">
        <v>0.01</v>
      </c>
      <c r="L238" s="97">
        <v>0.03</v>
      </c>
      <c r="M238" s="97">
        <v>0.2</v>
      </c>
      <c r="N238" s="97">
        <v>0.05</v>
      </c>
      <c r="O238" s="91">
        <v>6.589999999999999</v>
      </c>
    </row>
    <row r="239" spans="2:15" x14ac:dyDescent="0.2">
      <c r="B239" s="105" t="s">
        <v>216</v>
      </c>
      <c r="C239" s="97">
        <v>0</v>
      </c>
      <c r="D239" s="97">
        <v>0</v>
      </c>
      <c r="E239" s="97">
        <v>0</v>
      </c>
      <c r="F239" s="97">
        <v>0</v>
      </c>
      <c r="G239" s="97">
        <v>0.01</v>
      </c>
      <c r="H239" s="97">
        <v>0</v>
      </c>
      <c r="I239" s="97">
        <v>0</v>
      </c>
      <c r="J239" s="97">
        <v>0</v>
      </c>
      <c r="K239" s="97">
        <v>0</v>
      </c>
      <c r="L239" s="97">
        <v>0</v>
      </c>
      <c r="M239" s="97">
        <v>0</v>
      </c>
      <c r="N239" s="97">
        <v>0</v>
      </c>
      <c r="O239" s="91">
        <v>0.01</v>
      </c>
    </row>
    <row r="240" spans="2:15" x14ac:dyDescent="0.2">
      <c r="B240" s="90" t="s">
        <v>217</v>
      </c>
      <c r="C240" s="97">
        <v>3.34</v>
      </c>
      <c r="D240" s="97">
        <v>11.5</v>
      </c>
      <c r="E240" s="97">
        <v>4.93</v>
      </c>
      <c r="F240" s="97">
        <v>9.9</v>
      </c>
      <c r="G240" s="97">
        <v>6.06</v>
      </c>
      <c r="H240" s="97">
        <v>6.83</v>
      </c>
      <c r="I240" s="97">
        <v>11.53</v>
      </c>
      <c r="J240" s="97">
        <v>17.09</v>
      </c>
      <c r="K240" s="97">
        <v>11.01</v>
      </c>
      <c r="L240" s="97">
        <v>7.95</v>
      </c>
      <c r="M240" s="97">
        <v>13.18</v>
      </c>
      <c r="N240" s="97">
        <v>13.64</v>
      </c>
      <c r="O240" s="91">
        <v>116.96000000000002</v>
      </c>
    </row>
    <row r="241" spans="1:15" x14ac:dyDescent="0.2">
      <c r="B241" s="90" t="s">
        <v>218</v>
      </c>
      <c r="C241" s="97">
        <v>0.37</v>
      </c>
      <c r="D241" s="97">
        <v>0.21</v>
      </c>
      <c r="E241" s="97">
        <v>0.11</v>
      </c>
      <c r="F241" s="97">
        <v>0.41</v>
      </c>
      <c r="G241" s="97">
        <v>0.28000000000000003</v>
      </c>
      <c r="H241" s="97">
        <v>7.0000000000000007E-2</v>
      </c>
      <c r="I241" s="97">
        <v>0.21</v>
      </c>
      <c r="J241" s="97">
        <v>0.45</v>
      </c>
      <c r="K241" s="97">
        <v>0.05</v>
      </c>
      <c r="L241" s="97">
        <v>0.25</v>
      </c>
      <c r="M241" s="97">
        <v>0.04</v>
      </c>
      <c r="N241" s="97">
        <v>0.1</v>
      </c>
      <c r="O241" s="91">
        <v>2.5499999999999998</v>
      </c>
    </row>
    <row r="242" spans="1:15" x14ac:dyDescent="0.2">
      <c r="B242" s="90" t="s">
        <v>219</v>
      </c>
      <c r="C242" s="97">
        <v>0</v>
      </c>
      <c r="D242" s="97">
        <v>0</v>
      </c>
      <c r="E242" s="97">
        <v>0</v>
      </c>
      <c r="F242" s="97">
        <v>0</v>
      </c>
      <c r="G242" s="97">
        <v>0</v>
      </c>
      <c r="H242" s="97">
        <v>0</v>
      </c>
      <c r="I242" s="97">
        <v>0</v>
      </c>
      <c r="J242" s="97">
        <v>0</v>
      </c>
      <c r="K242" s="97">
        <v>0</v>
      </c>
      <c r="L242" s="97">
        <v>0</v>
      </c>
      <c r="M242" s="97">
        <v>0</v>
      </c>
      <c r="N242" s="97">
        <v>0</v>
      </c>
      <c r="O242" s="91">
        <v>0</v>
      </c>
    </row>
    <row r="243" spans="1:15" x14ac:dyDescent="0.2">
      <c r="B243" s="90" t="s">
        <v>220</v>
      </c>
      <c r="C243" s="97">
        <v>5.08</v>
      </c>
      <c r="D243" s="97">
        <v>5.73</v>
      </c>
      <c r="E243" s="97">
        <v>2.15</v>
      </c>
      <c r="F243" s="97">
        <v>9.6199999999999992</v>
      </c>
      <c r="G243" s="97">
        <v>22.48</v>
      </c>
      <c r="H243" s="97">
        <v>2.4500000000000002</v>
      </c>
      <c r="I243" s="97">
        <v>5.97</v>
      </c>
      <c r="J243" s="97">
        <v>2.39</v>
      </c>
      <c r="K243" s="97">
        <v>3.49</v>
      </c>
      <c r="L243" s="97">
        <v>3.1</v>
      </c>
      <c r="M243" s="97">
        <v>15.02</v>
      </c>
      <c r="N243" s="97">
        <v>6.85</v>
      </c>
      <c r="O243" s="91">
        <v>84.33</v>
      </c>
    </row>
    <row r="244" spans="1:15" x14ac:dyDescent="0.2">
      <c r="B244" s="90" t="s">
        <v>221</v>
      </c>
      <c r="C244" s="97">
        <v>3.82</v>
      </c>
      <c r="D244" s="97">
        <v>12.57</v>
      </c>
      <c r="E244" s="97">
        <v>4.2300000000000004</v>
      </c>
      <c r="F244" s="97">
        <v>3.04</v>
      </c>
      <c r="G244" s="97">
        <v>0.41</v>
      </c>
      <c r="H244" s="97">
        <v>0.62</v>
      </c>
      <c r="I244" s="97">
        <v>1.91</v>
      </c>
      <c r="J244" s="97">
        <v>5.41</v>
      </c>
      <c r="K244" s="97">
        <v>3.39</v>
      </c>
      <c r="L244" s="97">
        <v>1.48</v>
      </c>
      <c r="M244" s="97">
        <v>3.43</v>
      </c>
      <c r="N244" s="97">
        <v>0.95</v>
      </c>
      <c r="O244" s="91">
        <v>41.260000000000005</v>
      </c>
    </row>
    <row r="245" spans="1:15" x14ac:dyDescent="0.2">
      <c r="C245" s="97"/>
      <c r="D245" s="97"/>
      <c r="E245" s="97"/>
      <c r="F245" s="97"/>
      <c r="G245" s="97"/>
      <c r="H245" s="97"/>
      <c r="I245" s="97"/>
      <c r="J245" s="97"/>
      <c r="K245" s="97"/>
      <c r="L245" s="97"/>
      <c r="M245" s="97"/>
      <c r="N245" s="97"/>
    </row>
    <row r="246" spans="1:15" ht="15" x14ac:dyDescent="0.25">
      <c r="B246" s="89" t="s">
        <v>222</v>
      </c>
      <c r="C246" s="111">
        <v>3657.11</v>
      </c>
      <c r="D246" s="111">
        <v>5380.0199999999995</v>
      </c>
      <c r="E246" s="111">
        <v>3332.54</v>
      </c>
      <c r="F246" s="111">
        <v>3877.9699999999993</v>
      </c>
      <c r="G246" s="111">
        <v>3579.849999999999</v>
      </c>
      <c r="H246" s="111">
        <v>2950.58</v>
      </c>
      <c r="I246" s="111">
        <v>4368.5300000000007</v>
      </c>
      <c r="J246" s="111">
        <v>4923.71</v>
      </c>
      <c r="K246" s="111">
        <v>4788.17</v>
      </c>
      <c r="L246" s="111">
        <v>6286.8899999999994</v>
      </c>
      <c r="M246" s="111">
        <v>5912.9700000000012</v>
      </c>
      <c r="N246" s="111">
        <v>3668.98</v>
      </c>
      <c r="O246" s="111">
        <v>52729.32</v>
      </c>
    </row>
    <row r="247" spans="1:15" ht="12.75" customHeight="1" x14ac:dyDescent="0.2">
      <c r="A247" s="112" t="s">
        <v>223</v>
      </c>
    </row>
    <row r="248" spans="1:15" ht="12.75" customHeight="1" x14ac:dyDescent="0.2">
      <c r="A248" s="90" t="s">
        <v>675</v>
      </c>
    </row>
    <row r="249" spans="1:15" s="92" customFormat="1" ht="12.75" customHeight="1" x14ac:dyDescent="0.2">
      <c r="A249" s="163" t="s">
        <v>676</v>
      </c>
      <c r="O249" s="164"/>
    </row>
    <row r="250" spans="1:15" ht="12.75" customHeight="1" x14ac:dyDescent="0.2">
      <c r="A250" s="163" t="s">
        <v>225</v>
      </c>
    </row>
    <row r="251" spans="1:15" ht="12" customHeight="1" x14ac:dyDescent="0.2">
      <c r="B251" s="92"/>
    </row>
    <row r="252" spans="1:15" ht="12" customHeight="1" x14ac:dyDescent="0.2">
      <c r="C252" s="91"/>
      <c r="D252" s="91"/>
      <c r="E252" s="91"/>
      <c r="F252" s="91"/>
      <c r="G252" s="91"/>
      <c r="H252" s="91"/>
      <c r="I252" s="91"/>
      <c r="J252" s="91"/>
      <c r="K252" s="91"/>
      <c r="L252" s="91"/>
      <c r="M252" s="91"/>
      <c r="N252" s="91"/>
    </row>
    <row r="253" spans="1:15" ht="12" customHeight="1" x14ac:dyDescent="0.2">
      <c r="A253" s="92" t="s">
        <v>226</v>
      </c>
    </row>
    <row r="254" spans="1:15" ht="12" customHeight="1" x14ac:dyDescent="0.2">
      <c r="A254" s="92"/>
    </row>
    <row r="255" spans="1:15" ht="12" customHeight="1" x14ac:dyDescent="0.2">
      <c r="A255" s="303"/>
      <c r="B255" s="303"/>
    </row>
  </sheetData>
  <mergeCells count="3">
    <mergeCell ref="A3:C3"/>
    <mergeCell ref="A6:B7"/>
    <mergeCell ref="A255:B255"/>
  </mergeCells>
  <printOptions horizontalCentered="1"/>
  <pageMargins left="0" right="0" top="0.74803149606299213" bottom="0.74803149606299213" header="0.31496062992125984" footer="0.31496062992125984"/>
  <pageSetup paperSize="9" scale="48" orientation="portrait" r:id="rId1"/>
  <headerFooter alignWithMargins="0">
    <oddHeader>&amp;CPage &amp;P</oddHeader>
  </headerFooter>
  <rowBreaks count="2" manualBreakCount="2">
    <brk id="103" max="14" man="1"/>
    <brk id="198"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9"/>
  <sheetViews>
    <sheetView zoomScaleNormal="100" workbookViewId="0">
      <pane xSplit="2" ySplit="7" topLeftCell="C125" activePane="bottomRight" state="frozen"/>
      <selection pane="topRight" activeCell="C1" sqref="C1"/>
      <selection pane="bottomLeft" activeCell="A8" sqref="A8"/>
      <selection pane="bottomRight" activeCell="A130" sqref="A130:XFD130"/>
    </sheetView>
  </sheetViews>
  <sheetFormatPr defaultColWidth="9.140625" defaultRowHeight="14.25" x14ac:dyDescent="0.2"/>
  <cols>
    <col min="1" max="1" width="2.140625" style="90" customWidth="1"/>
    <col min="2" max="2" width="59.7109375" style="90" customWidth="1"/>
    <col min="3" max="5" width="10.42578125" style="90" customWidth="1"/>
    <col min="6" max="13" width="10.42578125" style="91" customWidth="1"/>
    <col min="14" max="14" width="10.42578125" style="68" customWidth="1"/>
    <col min="15" max="15" width="10.42578125" style="91" customWidth="1"/>
    <col min="16" max="16384" width="9.140625" style="90"/>
  </cols>
  <sheetData>
    <row r="1" spans="1:15" ht="15.75" customHeight="1" x14ac:dyDescent="0.25">
      <c r="A1" s="89" t="s">
        <v>0</v>
      </c>
      <c r="B1" s="89"/>
      <c r="C1" s="89"/>
    </row>
    <row r="2" spans="1:15" ht="16.5" customHeight="1" x14ac:dyDescent="0.25">
      <c r="A2" s="89" t="s">
        <v>1</v>
      </c>
      <c r="B2" s="89"/>
      <c r="C2" s="89"/>
    </row>
    <row r="3" spans="1:15" ht="13.5" customHeight="1" x14ac:dyDescent="0.25">
      <c r="A3" s="300" t="s">
        <v>2</v>
      </c>
      <c r="B3" s="300"/>
      <c r="C3" s="300"/>
    </row>
    <row r="4" spans="1:15" x14ac:dyDescent="0.2">
      <c r="A4" s="90" t="s">
        <v>3</v>
      </c>
    </row>
    <row r="5" spans="1:15" x14ac:dyDescent="0.2">
      <c r="A5" s="92" t="s">
        <v>4</v>
      </c>
    </row>
    <row r="6" spans="1:15" ht="12.75" customHeight="1" x14ac:dyDescent="0.2">
      <c r="A6" s="313" t="s">
        <v>5</v>
      </c>
      <c r="B6" s="301"/>
      <c r="C6" s="155" t="s">
        <v>6</v>
      </c>
      <c r="D6" s="155" t="s">
        <v>6</v>
      </c>
      <c r="E6" s="155" t="s">
        <v>6</v>
      </c>
      <c r="F6" s="156" t="s">
        <v>6</v>
      </c>
      <c r="G6" s="156" t="s">
        <v>6</v>
      </c>
      <c r="H6" s="156" t="s">
        <v>6</v>
      </c>
      <c r="I6" s="156" t="s">
        <v>6</v>
      </c>
      <c r="J6" s="156" t="s">
        <v>6</v>
      </c>
      <c r="K6" s="156" t="s">
        <v>6</v>
      </c>
      <c r="L6" s="156" t="s">
        <v>6</v>
      </c>
      <c r="M6" s="156" t="s">
        <v>6</v>
      </c>
      <c r="N6" s="148" t="s">
        <v>6</v>
      </c>
      <c r="O6" s="157" t="s">
        <v>6</v>
      </c>
    </row>
    <row r="7" spans="1:15" ht="12.75" customHeight="1" thickBot="1" x14ac:dyDescent="0.25">
      <c r="A7" s="314"/>
      <c r="B7" s="302"/>
      <c r="C7" s="158" t="s">
        <v>7</v>
      </c>
      <c r="D7" s="158" t="s">
        <v>8</v>
      </c>
      <c r="E7" s="158" t="s">
        <v>9</v>
      </c>
      <c r="F7" s="159" t="s">
        <v>10</v>
      </c>
      <c r="G7" s="159" t="s">
        <v>11</v>
      </c>
      <c r="H7" s="159" t="s">
        <v>12</v>
      </c>
      <c r="I7" s="159" t="s">
        <v>13</v>
      </c>
      <c r="J7" s="159" t="s">
        <v>14</v>
      </c>
      <c r="K7" s="159" t="s">
        <v>15</v>
      </c>
      <c r="L7" s="159" t="s">
        <v>16</v>
      </c>
      <c r="M7" s="159" t="s">
        <v>17</v>
      </c>
      <c r="N7" s="160" t="s">
        <v>18</v>
      </c>
      <c r="O7" s="161" t="s">
        <v>19</v>
      </c>
    </row>
    <row r="8" spans="1:15" ht="12.75" customHeight="1" thickTop="1" x14ac:dyDescent="0.25">
      <c r="A8" s="93"/>
      <c r="B8" s="93"/>
      <c r="C8" s="93"/>
    </row>
    <row r="9" spans="1:15" s="95" customFormat="1" ht="15" x14ac:dyDescent="0.25">
      <c r="A9" s="94" t="s">
        <v>20</v>
      </c>
      <c r="C9" s="96">
        <f>SUM(C10:C34)</f>
        <v>478.59</v>
      </c>
      <c r="D9" s="96">
        <f t="shared" ref="D9:O9" si="0">SUM(D10:D34)</f>
        <v>877.30999999999983</v>
      </c>
      <c r="E9" s="96">
        <f t="shared" si="0"/>
        <v>379.36</v>
      </c>
      <c r="F9" s="96">
        <f t="shared" si="0"/>
        <v>217.57</v>
      </c>
      <c r="G9" s="96">
        <f t="shared" si="0"/>
        <v>411.65000000000003</v>
      </c>
      <c r="H9" s="96">
        <f t="shared" si="0"/>
        <v>247.97</v>
      </c>
      <c r="I9" s="96">
        <f t="shared" si="0"/>
        <v>301.04000000000002</v>
      </c>
      <c r="J9" s="96">
        <f t="shared" si="0"/>
        <v>361.72</v>
      </c>
      <c r="K9" s="96">
        <f t="shared" si="0"/>
        <v>401.09000000000003</v>
      </c>
      <c r="L9" s="96">
        <f t="shared" si="0"/>
        <v>1545.07</v>
      </c>
      <c r="M9" s="96">
        <f t="shared" si="0"/>
        <v>1740.0099999999995</v>
      </c>
      <c r="N9" s="96">
        <f t="shared" si="0"/>
        <v>265.04999999999995</v>
      </c>
      <c r="O9" s="96">
        <f t="shared" si="0"/>
        <v>7226.4299999999985</v>
      </c>
    </row>
    <row r="10" spans="1:15" x14ac:dyDescent="0.2">
      <c r="B10" s="90" t="s">
        <v>21</v>
      </c>
      <c r="C10" s="97">
        <v>0.18</v>
      </c>
      <c r="D10" s="71">
        <v>0.41</v>
      </c>
      <c r="E10" s="71">
        <v>0.64</v>
      </c>
      <c r="F10" s="71">
        <v>0.61</v>
      </c>
      <c r="G10" s="71">
        <v>1.79</v>
      </c>
      <c r="H10" s="71">
        <v>0.52</v>
      </c>
      <c r="I10" s="71">
        <v>1.07</v>
      </c>
      <c r="J10" s="71">
        <v>0.38</v>
      </c>
      <c r="K10" s="71">
        <v>0.57999999999999996</v>
      </c>
      <c r="L10" s="71">
        <v>0.33</v>
      </c>
      <c r="M10" s="71">
        <v>0.4</v>
      </c>
      <c r="N10" s="71">
        <v>1</v>
      </c>
      <c r="O10" s="91">
        <f>SUM(C10:N10)</f>
        <v>7.910000000000001</v>
      </c>
    </row>
    <row r="11" spans="1:15" x14ac:dyDescent="0.2">
      <c r="B11" s="90" t="s">
        <v>22</v>
      </c>
      <c r="C11" s="97">
        <v>4.17</v>
      </c>
      <c r="D11" s="71">
        <v>9.15</v>
      </c>
      <c r="E11" s="71">
        <v>8.35</v>
      </c>
      <c r="F11" s="71">
        <v>8.5500000000000007</v>
      </c>
      <c r="G11" s="71">
        <v>7.37</v>
      </c>
      <c r="H11" s="71">
        <v>7.28</v>
      </c>
      <c r="I11" s="71">
        <v>13.09</v>
      </c>
      <c r="J11" s="71">
        <v>11.61</v>
      </c>
      <c r="K11" s="71">
        <v>11.31</v>
      </c>
      <c r="L11" s="71">
        <v>4.55</v>
      </c>
      <c r="M11" s="71">
        <v>6.11</v>
      </c>
      <c r="N11" s="71">
        <v>5.68</v>
      </c>
      <c r="O11" s="91">
        <f t="shared" ref="O11:O34" si="1">SUM(C11:N11)</f>
        <v>97.22</v>
      </c>
    </row>
    <row r="12" spans="1:15" x14ac:dyDescent="0.2">
      <c r="B12" s="90" t="s">
        <v>23</v>
      </c>
      <c r="C12" s="97">
        <v>0</v>
      </c>
      <c r="D12" s="71">
        <v>0</v>
      </c>
      <c r="E12" s="71">
        <v>0</v>
      </c>
      <c r="F12" s="71">
        <v>0</v>
      </c>
      <c r="G12" s="71">
        <v>0</v>
      </c>
      <c r="H12" s="71">
        <v>0</v>
      </c>
      <c r="I12" s="71">
        <v>0.01</v>
      </c>
      <c r="J12" s="71">
        <v>0</v>
      </c>
      <c r="K12" s="71">
        <v>0</v>
      </c>
      <c r="L12" s="71">
        <v>0</v>
      </c>
      <c r="M12" s="71">
        <v>0.01</v>
      </c>
      <c r="N12" s="71">
        <v>0</v>
      </c>
      <c r="O12" s="91">
        <f t="shared" si="1"/>
        <v>0.02</v>
      </c>
    </row>
    <row r="13" spans="1:15" x14ac:dyDescent="0.2">
      <c r="B13" s="90" t="s">
        <v>24</v>
      </c>
      <c r="C13" s="97">
        <v>3.25</v>
      </c>
      <c r="D13" s="71">
        <v>1.69</v>
      </c>
      <c r="E13" s="71">
        <v>2.0299999999999998</v>
      </c>
      <c r="F13" s="71">
        <v>1.65</v>
      </c>
      <c r="G13" s="71">
        <v>3.85</v>
      </c>
      <c r="H13" s="71">
        <v>2.16</v>
      </c>
      <c r="I13" s="71">
        <v>1.23</v>
      </c>
      <c r="J13" s="71">
        <v>1.34</v>
      </c>
      <c r="K13" s="71">
        <v>1.5</v>
      </c>
      <c r="L13" s="71">
        <v>0.77</v>
      </c>
      <c r="M13" s="71">
        <v>2.95</v>
      </c>
      <c r="N13" s="71">
        <v>1.19</v>
      </c>
      <c r="O13" s="91">
        <f t="shared" si="1"/>
        <v>23.61</v>
      </c>
    </row>
    <row r="14" spans="1:15" x14ac:dyDescent="0.2">
      <c r="B14" s="90" t="s">
        <v>25</v>
      </c>
      <c r="C14" s="97">
        <v>2.31</v>
      </c>
      <c r="D14" s="71">
        <v>2.12</v>
      </c>
      <c r="E14" s="71">
        <v>2.93</v>
      </c>
      <c r="F14" s="71">
        <v>1.51</v>
      </c>
      <c r="G14" s="71">
        <v>2.52</v>
      </c>
      <c r="H14" s="71">
        <v>1.95</v>
      </c>
      <c r="I14" s="71">
        <v>1.93</v>
      </c>
      <c r="J14" s="71">
        <v>2.67</v>
      </c>
      <c r="K14" s="71">
        <v>2.02</v>
      </c>
      <c r="L14" s="71">
        <v>1.31</v>
      </c>
      <c r="M14" s="71">
        <v>2.5299999999999998</v>
      </c>
      <c r="N14" s="71">
        <v>1.83</v>
      </c>
      <c r="O14" s="91">
        <f t="shared" si="1"/>
        <v>25.629999999999995</v>
      </c>
    </row>
    <row r="15" spans="1:15" s="98" customFormat="1" x14ac:dyDescent="0.2">
      <c r="B15" s="98" t="s">
        <v>26</v>
      </c>
      <c r="C15" s="99">
        <v>23.139999999999997</v>
      </c>
      <c r="D15" s="100">
        <v>20.46</v>
      </c>
      <c r="E15" s="100">
        <v>16.32</v>
      </c>
      <c r="F15" s="100">
        <v>1.9</v>
      </c>
      <c r="G15" s="100">
        <v>62.55</v>
      </c>
      <c r="H15" s="100">
        <v>5.17</v>
      </c>
      <c r="I15" s="100">
        <v>3.22</v>
      </c>
      <c r="J15" s="100">
        <v>15.29</v>
      </c>
      <c r="K15" s="100">
        <v>16.13</v>
      </c>
      <c r="L15" s="100">
        <v>669.63</v>
      </c>
      <c r="M15" s="100">
        <v>501.77</v>
      </c>
      <c r="N15" s="100">
        <v>9.41</v>
      </c>
      <c r="O15" s="91">
        <f t="shared" si="1"/>
        <v>1344.99</v>
      </c>
    </row>
    <row r="16" spans="1:15" x14ac:dyDescent="0.2">
      <c r="B16" s="90" t="s">
        <v>27</v>
      </c>
      <c r="C16" s="97">
        <v>0.51</v>
      </c>
      <c r="D16" s="71">
        <v>0.48</v>
      </c>
      <c r="E16" s="71">
        <v>1.41</v>
      </c>
      <c r="F16" s="71">
        <v>1.9</v>
      </c>
      <c r="G16" s="71">
        <v>1.23</v>
      </c>
      <c r="H16" s="71">
        <v>1.69</v>
      </c>
      <c r="I16" s="71">
        <v>0.54</v>
      </c>
      <c r="J16" s="71">
        <v>1.1000000000000001</v>
      </c>
      <c r="K16" s="71">
        <v>1.33</v>
      </c>
      <c r="L16" s="71">
        <v>0.16</v>
      </c>
      <c r="M16" s="71">
        <v>1.44</v>
      </c>
      <c r="N16" s="71">
        <v>1</v>
      </c>
      <c r="O16" s="91">
        <f t="shared" si="1"/>
        <v>12.79</v>
      </c>
    </row>
    <row r="17" spans="2:15" x14ac:dyDescent="0.2">
      <c r="B17" s="90" t="s">
        <v>28</v>
      </c>
      <c r="C17" s="97">
        <v>0.16</v>
      </c>
      <c r="D17" s="71">
        <v>1.36</v>
      </c>
      <c r="E17" s="71">
        <v>0.27</v>
      </c>
      <c r="F17" s="71">
        <v>0.72</v>
      </c>
      <c r="G17" s="71">
        <v>1</v>
      </c>
      <c r="H17" s="71">
        <v>0.14000000000000001</v>
      </c>
      <c r="I17" s="71">
        <v>7.0000000000000007E-2</v>
      </c>
      <c r="J17" s="71">
        <v>0.81</v>
      </c>
      <c r="K17" s="71">
        <v>1.3</v>
      </c>
      <c r="L17" s="71">
        <v>0</v>
      </c>
      <c r="M17" s="71">
        <v>0.3</v>
      </c>
      <c r="N17" s="71">
        <v>0.86</v>
      </c>
      <c r="O17" s="91">
        <f t="shared" si="1"/>
        <v>6.9899999999999993</v>
      </c>
    </row>
    <row r="18" spans="2:15" x14ac:dyDescent="0.2">
      <c r="B18" s="90" t="s">
        <v>29</v>
      </c>
      <c r="C18" s="97">
        <v>0</v>
      </c>
      <c r="D18" s="97">
        <v>0</v>
      </c>
      <c r="E18" s="97">
        <v>0</v>
      </c>
      <c r="F18" s="97">
        <v>0</v>
      </c>
      <c r="G18" s="97">
        <v>0.02</v>
      </c>
      <c r="H18" s="97">
        <v>0.02</v>
      </c>
      <c r="I18" s="97">
        <v>0</v>
      </c>
      <c r="J18" s="97">
        <v>0</v>
      </c>
      <c r="K18" s="97">
        <v>0.03</v>
      </c>
      <c r="L18" s="97">
        <v>0</v>
      </c>
      <c r="M18" s="97">
        <v>0</v>
      </c>
      <c r="N18" s="97">
        <v>0</v>
      </c>
      <c r="O18" s="91">
        <f t="shared" si="1"/>
        <v>7.0000000000000007E-2</v>
      </c>
    </row>
    <row r="19" spans="2:15" x14ac:dyDescent="0.2">
      <c r="B19" s="90" t="s">
        <v>30</v>
      </c>
      <c r="C19" s="97">
        <v>0</v>
      </c>
      <c r="D19" s="71">
        <v>0</v>
      </c>
      <c r="E19" s="71">
        <v>0</v>
      </c>
      <c r="F19" s="71">
        <v>0</v>
      </c>
      <c r="G19" s="71">
        <v>0</v>
      </c>
      <c r="H19" s="71">
        <v>0</v>
      </c>
      <c r="I19" s="71">
        <v>0</v>
      </c>
      <c r="J19" s="71">
        <v>0</v>
      </c>
      <c r="K19" s="71">
        <v>0</v>
      </c>
      <c r="L19" s="71">
        <v>0</v>
      </c>
      <c r="M19" s="71">
        <v>0</v>
      </c>
      <c r="N19" s="71">
        <v>0</v>
      </c>
      <c r="O19" s="91">
        <f t="shared" si="1"/>
        <v>0</v>
      </c>
    </row>
    <row r="20" spans="2:15" x14ac:dyDescent="0.2">
      <c r="B20" s="90" t="s">
        <v>31</v>
      </c>
      <c r="C20" s="97">
        <v>0</v>
      </c>
      <c r="D20" s="71">
        <v>0.19</v>
      </c>
      <c r="E20" s="71">
        <v>0</v>
      </c>
      <c r="F20" s="71">
        <v>0</v>
      </c>
      <c r="G20" s="71">
        <v>0.03</v>
      </c>
      <c r="H20" s="71">
        <v>0.05</v>
      </c>
      <c r="I20" s="71">
        <v>0.06</v>
      </c>
      <c r="J20" s="71">
        <v>0.04</v>
      </c>
      <c r="K20" s="71">
        <v>7.0000000000000007E-2</v>
      </c>
      <c r="L20" s="71">
        <v>0.01</v>
      </c>
      <c r="M20" s="71">
        <v>0.18</v>
      </c>
      <c r="N20" s="71">
        <v>0.02</v>
      </c>
      <c r="O20" s="91">
        <f t="shared" si="1"/>
        <v>0.65</v>
      </c>
    </row>
    <row r="21" spans="2:15" x14ac:dyDescent="0.2">
      <c r="B21" s="90" t="s">
        <v>32</v>
      </c>
      <c r="C21" s="97">
        <v>0</v>
      </c>
      <c r="D21" s="71">
        <v>0</v>
      </c>
      <c r="E21" s="71">
        <v>0</v>
      </c>
      <c r="F21" s="71">
        <v>0</v>
      </c>
      <c r="G21" s="71">
        <v>0</v>
      </c>
      <c r="H21" s="71">
        <v>0</v>
      </c>
      <c r="I21" s="71">
        <v>0</v>
      </c>
      <c r="J21" s="71">
        <v>0</v>
      </c>
      <c r="K21" s="71">
        <v>0</v>
      </c>
      <c r="L21" s="71">
        <v>0</v>
      </c>
      <c r="M21" s="71">
        <v>0</v>
      </c>
      <c r="N21" s="71">
        <v>0</v>
      </c>
      <c r="O21" s="91">
        <f t="shared" si="1"/>
        <v>0</v>
      </c>
    </row>
    <row r="22" spans="2:15" x14ac:dyDescent="0.2">
      <c r="B22" s="90" t="s">
        <v>33</v>
      </c>
      <c r="C22" s="97">
        <v>0</v>
      </c>
      <c r="D22" s="71">
        <v>0</v>
      </c>
      <c r="E22" s="71">
        <v>0</v>
      </c>
      <c r="F22" s="71">
        <v>0</v>
      </c>
      <c r="G22" s="71">
        <v>0</v>
      </c>
      <c r="H22" s="71">
        <v>0</v>
      </c>
      <c r="I22" s="71">
        <v>0</v>
      </c>
      <c r="J22" s="71">
        <v>0</v>
      </c>
      <c r="K22" s="71">
        <v>0</v>
      </c>
      <c r="L22" s="71">
        <v>0</v>
      </c>
      <c r="M22" s="71">
        <v>0</v>
      </c>
      <c r="N22" s="71">
        <v>0</v>
      </c>
      <c r="O22" s="91">
        <f t="shared" si="1"/>
        <v>0</v>
      </c>
    </row>
    <row r="23" spans="2:15" x14ac:dyDescent="0.2">
      <c r="B23" s="90" t="s">
        <v>34</v>
      </c>
      <c r="C23" s="97">
        <v>0</v>
      </c>
      <c r="D23" s="97">
        <v>0</v>
      </c>
      <c r="E23" s="97">
        <v>0.04</v>
      </c>
      <c r="F23" s="97">
        <v>0</v>
      </c>
      <c r="G23" s="97">
        <v>0</v>
      </c>
      <c r="H23" s="97">
        <v>0</v>
      </c>
      <c r="I23" s="97">
        <v>0</v>
      </c>
      <c r="J23" s="97">
        <v>0</v>
      </c>
      <c r="K23" s="97">
        <v>0</v>
      </c>
      <c r="L23" s="97">
        <v>0</v>
      </c>
      <c r="M23" s="97">
        <v>0</v>
      </c>
      <c r="N23" s="97">
        <v>0</v>
      </c>
      <c r="O23" s="91">
        <f t="shared" si="1"/>
        <v>0.04</v>
      </c>
    </row>
    <row r="24" spans="2:15" x14ac:dyDescent="0.2">
      <c r="B24" s="90" t="s">
        <v>35</v>
      </c>
      <c r="C24" s="97">
        <v>0.24</v>
      </c>
      <c r="D24" s="71">
        <v>0.13</v>
      </c>
      <c r="E24" s="71">
        <v>0.28999999999999998</v>
      </c>
      <c r="F24" s="71">
        <v>0.35</v>
      </c>
      <c r="G24" s="71">
        <v>0.2</v>
      </c>
      <c r="H24" s="71">
        <v>0.21</v>
      </c>
      <c r="I24" s="71">
        <v>0.22</v>
      </c>
      <c r="J24" s="71">
        <v>0.35</v>
      </c>
      <c r="K24" s="71">
        <v>0.36</v>
      </c>
      <c r="L24" s="71">
        <v>0.13</v>
      </c>
      <c r="M24" s="71">
        <v>0.16</v>
      </c>
      <c r="N24" s="71">
        <v>0.37</v>
      </c>
      <c r="O24" s="91">
        <f t="shared" si="1"/>
        <v>3.01</v>
      </c>
    </row>
    <row r="25" spans="2:15" s="101" customFormat="1" x14ac:dyDescent="0.2">
      <c r="B25" s="101" t="s">
        <v>36</v>
      </c>
      <c r="C25" s="97">
        <v>11.1</v>
      </c>
      <c r="D25" s="71">
        <v>0</v>
      </c>
      <c r="E25" s="71">
        <v>0</v>
      </c>
      <c r="F25" s="71">
        <v>0</v>
      </c>
      <c r="G25" s="71">
        <v>2.2999999999999998</v>
      </c>
      <c r="H25" s="71">
        <v>0</v>
      </c>
      <c r="I25" s="71">
        <v>0</v>
      </c>
      <c r="J25" s="71">
        <v>0</v>
      </c>
      <c r="K25" s="71">
        <v>0</v>
      </c>
      <c r="L25" s="71">
        <v>0.04</v>
      </c>
      <c r="M25" s="71">
        <v>0.51</v>
      </c>
      <c r="N25" s="71">
        <v>0.42</v>
      </c>
      <c r="O25" s="91">
        <f t="shared" si="1"/>
        <v>14.369999999999997</v>
      </c>
    </row>
    <row r="26" spans="2:15" s="98" customFormat="1" x14ac:dyDescent="0.2">
      <c r="B26" s="98" t="s">
        <v>37</v>
      </c>
      <c r="C26" s="99">
        <v>277.79000000000002</v>
      </c>
      <c r="D26" s="100">
        <v>717.66</v>
      </c>
      <c r="E26" s="100">
        <v>257.43</v>
      </c>
      <c r="F26" s="100">
        <v>153.16</v>
      </c>
      <c r="G26" s="100">
        <v>225.99</v>
      </c>
      <c r="H26" s="100">
        <v>134.15</v>
      </c>
      <c r="I26" s="100">
        <v>165.59</v>
      </c>
      <c r="J26" s="100">
        <v>270.61</v>
      </c>
      <c r="K26" s="100">
        <v>311.99</v>
      </c>
      <c r="L26" s="100">
        <v>841.43</v>
      </c>
      <c r="M26" s="100">
        <v>1172.32</v>
      </c>
      <c r="N26" s="100">
        <v>190.36</v>
      </c>
      <c r="O26" s="91">
        <f t="shared" si="1"/>
        <v>4718.4799999999996</v>
      </c>
    </row>
    <row r="27" spans="2:15" x14ac:dyDescent="0.2">
      <c r="B27" s="90" t="s">
        <v>38</v>
      </c>
      <c r="C27" s="97">
        <v>1.52</v>
      </c>
      <c r="D27" s="71">
        <v>0.65</v>
      </c>
      <c r="E27" s="71">
        <v>1.32</v>
      </c>
      <c r="F27" s="71">
        <v>1.4</v>
      </c>
      <c r="G27" s="71">
        <v>3.7</v>
      </c>
      <c r="H27" s="71">
        <v>1.26</v>
      </c>
      <c r="I27" s="71">
        <v>2.0499999999999998</v>
      </c>
      <c r="J27" s="71">
        <v>2.25</v>
      </c>
      <c r="K27" s="71">
        <v>2.54</v>
      </c>
      <c r="L27" s="71">
        <v>1.27</v>
      </c>
      <c r="M27" s="71">
        <v>2.5</v>
      </c>
      <c r="N27" s="71">
        <v>1.57</v>
      </c>
      <c r="O27" s="91">
        <f t="shared" si="1"/>
        <v>22.029999999999998</v>
      </c>
    </row>
    <row r="28" spans="2:15" x14ac:dyDescent="0.2">
      <c r="B28" s="90" t="s">
        <v>39</v>
      </c>
      <c r="C28" s="97">
        <v>7.89</v>
      </c>
      <c r="D28" s="71">
        <v>4.91</v>
      </c>
      <c r="E28" s="71">
        <v>6.49</v>
      </c>
      <c r="F28" s="71">
        <v>3.91</v>
      </c>
      <c r="G28" s="71">
        <v>7.95</v>
      </c>
      <c r="H28" s="71">
        <v>4.37</v>
      </c>
      <c r="I28" s="71">
        <v>3.24</v>
      </c>
      <c r="J28" s="71">
        <v>7</v>
      </c>
      <c r="K28" s="71">
        <v>6.39</v>
      </c>
      <c r="L28" s="71">
        <v>3.23</v>
      </c>
      <c r="M28" s="71">
        <v>5.87</v>
      </c>
      <c r="N28" s="71">
        <v>6.69</v>
      </c>
      <c r="O28" s="91">
        <f t="shared" si="1"/>
        <v>67.94</v>
      </c>
    </row>
    <row r="29" spans="2:15" x14ac:dyDescent="0.2">
      <c r="B29" s="90" t="s">
        <v>40</v>
      </c>
      <c r="C29" s="97">
        <v>0</v>
      </c>
      <c r="D29" s="71">
        <v>0.01</v>
      </c>
      <c r="E29" s="71">
        <v>0</v>
      </c>
      <c r="F29" s="71">
        <v>0</v>
      </c>
      <c r="G29" s="71">
        <v>0</v>
      </c>
      <c r="H29" s="71">
        <v>0</v>
      </c>
      <c r="I29" s="71">
        <v>0</v>
      </c>
      <c r="J29" s="71">
        <v>0</v>
      </c>
      <c r="K29" s="71">
        <v>0</v>
      </c>
      <c r="L29" s="71">
        <v>0</v>
      </c>
      <c r="M29" s="71">
        <v>0</v>
      </c>
      <c r="N29" s="71">
        <v>0</v>
      </c>
      <c r="O29" s="91">
        <f t="shared" si="1"/>
        <v>0.01</v>
      </c>
    </row>
    <row r="30" spans="2:15" x14ac:dyDescent="0.2">
      <c r="B30" s="90" t="s">
        <v>41</v>
      </c>
      <c r="C30" s="97">
        <v>145.43</v>
      </c>
      <c r="D30" s="71">
        <v>117.76</v>
      </c>
      <c r="E30" s="71">
        <v>80.77</v>
      </c>
      <c r="F30" s="71">
        <v>41.76</v>
      </c>
      <c r="G30" s="71">
        <v>89.85</v>
      </c>
      <c r="H30" s="71">
        <v>88.86</v>
      </c>
      <c r="I30" s="71">
        <v>108.64</v>
      </c>
      <c r="J30" s="71">
        <v>47.11</v>
      </c>
      <c r="K30" s="71">
        <v>44.41</v>
      </c>
      <c r="L30" s="71">
        <v>22.15</v>
      </c>
      <c r="M30" s="71">
        <v>42.8</v>
      </c>
      <c r="N30" s="71">
        <v>43.61</v>
      </c>
      <c r="O30" s="91">
        <f t="shared" si="1"/>
        <v>873.14999999999986</v>
      </c>
    </row>
    <row r="31" spans="2:15" x14ac:dyDescent="0.2">
      <c r="B31" s="90" t="s">
        <v>42</v>
      </c>
      <c r="C31" s="97">
        <v>0.02</v>
      </c>
      <c r="D31" s="71">
        <v>0</v>
      </c>
      <c r="E31" s="71">
        <v>0.02</v>
      </c>
      <c r="F31" s="71">
        <v>0</v>
      </c>
      <c r="G31" s="71">
        <v>0.01</v>
      </c>
      <c r="H31" s="71">
        <v>0</v>
      </c>
      <c r="I31" s="71">
        <v>0</v>
      </c>
      <c r="J31" s="71">
        <v>0</v>
      </c>
      <c r="K31" s="71">
        <v>0.06</v>
      </c>
      <c r="L31" s="71">
        <v>0</v>
      </c>
      <c r="M31" s="71">
        <v>0</v>
      </c>
      <c r="N31" s="71">
        <v>0</v>
      </c>
      <c r="O31" s="91">
        <f t="shared" si="1"/>
        <v>0.11</v>
      </c>
    </row>
    <row r="32" spans="2:15" x14ac:dyDescent="0.2">
      <c r="B32" s="90" t="s">
        <v>43</v>
      </c>
      <c r="C32" s="97">
        <v>0.83</v>
      </c>
      <c r="D32" s="71">
        <v>0.05</v>
      </c>
      <c r="E32" s="71">
        <v>1</v>
      </c>
      <c r="F32" s="71">
        <v>7.0000000000000007E-2</v>
      </c>
      <c r="G32" s="71">
        <v>0.91</v>
      </c>
      <c r="H32" s="71">
        <v>0.1</v>
      </c>
      <c r="I32" s="71">
        <v>0.06</v>
      </c>
      <c r="J32" s="71">
        <v>1.1499999999999999</v>
      </c>
      <c r="K32" s="71">
        <v>1.02</v>
      </c>
      <c r="L32" s="71">
        <v>0.05</v>
      </c>
      <c r="M32" s="71">
        <v>0.05</v>
      </c>
      <c r="N32" s="71">
        <v>1.03</v>
      </c>
      <c r="O32" s="91">
        <f t="shared" si="1"/>
        <v>6.3199999999999994</v>
      </c>
    </row>
    <row r="33" spans="1:15" x14ac:dyDescent="0.2">
      <c r="B33" s="90" t="s">
        <v>44</v>
      </c>
      <c r="C33" s="97">
        <v>0</v>
      </c>
      <c r="D33" s="71">
        <v>0.06</v>
      </c>
      <c r="E33" s="71">
        <v>0.01</v>
      </c>
      <c r="F33" s="71">
        <v>0.06</v>
      </c>
      <c r="G33" s="71">
        <v>0.02</v>
      </c>
      <c r="H33" s="71">
        <v>0.02</v>
      </c>
      <c r="I33" s="71">
        <v>0</v>
      </c>
      <c r="J33" s="71">
        <v>0</v>
      </c>
      <c r="K33" s="71">
        <v>0</v>
      </c>
      <c r="L33" s="71">
        <v>0</v>
      </c>
      <c r="M33" s="71">
        <v>0.1</v>
      </c>
      <c r="N33" s="71">
        <v>0</v>
      </c>
      <c r="O33" s="91">
        <f t="shared" si="1"/>
        <v>0.27</v>
      </c>
    </row>
    <row r="34" spans="1:15" x14ac:dyDescent="0.2">
      <c r="B34" s="90" t="s">
        <v>45</v>
      </c>
      <c r="C34" s="97">
        <v>0.05</v>
      </c>
      <c r="D34" s="71">
        <v>0.22</v>
      </c>
      <c r="E34" s="71">
        <v>0.04</v>
      </c>
      <c r="F34" s="71">
        <v>0.02</v>
      </c>
      <c r="G34" s="71">
        <v>0.36</v>
      </c>
      <c r="H34" s="71">
        <v>0.02</v>
      </c>
      <c r="I34" s="71">
        <v>0.02</v>
      </c>
      <c r="J34" s="71">
        <v>0.01</v>
      </c>
      <c r="K34" s="71">
        <v>0.05</v>
      </c>
      <c r="L34" s="71">
        <v>0.01</v>
      </c>
      <c r="M34" s="71">
        <v>0.01</v>
      </c>
      <c r="N34" s="71">
        <v>0.01</v>
      </c>
      <c r="O34" s="91">
        <f t="shared" si="1"/>
        <v>0.82000000000000006</v>
      </c>
    </row>
    <row r="35" spans="1:15" ht="11.25" customHeight="1" x14ac:dyDescent="0.2">
      <c r="B35" s="90" t="s">
        <v>6</v>
      </c>
      <c r="C35" s="97"/>
      <c r="D35" s="71"/>
      <c r="E35" s="71"/>
    </row>
    <row r="36" spans="1:15" s="95" customFormat="1" ht="15" x14ac:dyDescent="0.25">
      <c r="A36" s="94" t="s">
        <v>46</v>
      </c>
      <c r="C36" s="96">
        <f>SUM(C37:C43)</f>
        <v>5.18</v>
      </c>
      <c r="D36" s="96">
        <f t="shared" ref="D36:O36" si="2">SUM(D37:D43)</f>
        <v>2.7800000000000002</v>
      </c>
      <c r="E36" s="96">
        <f t="shared" si="2"/>
        <v>0.85000000000000009</v>
      </c>
      <c r="F36" s="96">
        <f t="shared" si="2"/>
        <v>3.94</v>
      </c>
      <c r="G36" s="96">
        <f t="shared" si="2"/>
        <v>0.77</v>
      </c>
      <c r="H36" s="96">
        <f t="shared" si="2"/>
        <v>1.9500000000000002</v>
      </c>
      <c r="I36" s="96">
        <f t="shared" si="2"/>
        <v>1.2599999999999998</v>
      </c>
      <c r="J36" s="96">
        <f t="shared" si="2"/>
        <v>3.09</v>
      </c>
      <c r="K36" s="96">
        <f t="shared" si="2"/>
        <v>10.659999999999998</v>
      </c>
      <c r="L36" s="96">
        <f t="shared" si="2"/>
        <v>0.91</v>
      </c>
      <c r="M36" s="96">
        <f t="shared" si="2"/>
        <v>3.1</v>
      </c>
      <c r="N36" s="96">
        <f t="shared" si="2"/>
        <v>0.74</v>
      </c>
      <c r="O36" s="96">
        <f t="shared" si="2"/>
        <v>35.229999999999997</v>
      </c>
    </row>
    <row r="37" spans="1:15" x14ac:dyDescent="0.2">
      <c r="B37" s="90" t="s">
        <v>47</v>
      </c>
      <c r="C37" s="97">
        <v>0.66</v>
      </c>
      <c r="D37" s="97">
        <v>0.41</v>
      </c>
      <c r="E37" s="97">
        <v>0.11</v>
      </c>
      <c r="F37" s="97">
        <v>0.04</v>
      </c>
      <c r="G37" s="97">
        <v>0.13</v>
      </c>
      <c r="H37" s="97">
        <v>7.0000000000000007E-2</v>
      </c>
      <c r="I37" s="97">
        <v>0.18</v>
      </c>
      <c r="J37" s="97">
        <v>0</v>
      </c>
      <c r="K37" s="97">
        <v>10.08</v>
      </c>
      <c r="L37" s="97">
        <v>0.02</v>
      </c>
      <c r="M37" s="97">
        <v>0.08</v>
      </c>
      <c r="N37" s="97">
        <v>0.17</v>
      </c>
      <c r="O37" s="91">
        <f>SUM(C37:N37)</f>
        <v>11.95</v>
      </c>
    </row>
    <row r="38" spans="1:15" x14ac:dyDescent="0.2">
      <c r="B38" s="90" t="s">
        <v>48</v>
      </c>
      <c r="C38" s="97">
        <v>0</v>
      </c>
      <c r="D38" s="97">
        <v>0</v>
      </c>
      <c r="E38" s="97">
        <v>0</v>
      </c>
      <c r="F38" s="97">
        <v>0</v>
      </c>
      <c r="G38" s="97">
        <v>0</v>
      </c>
      <c r="H38" s="97">
        <v>0.01</v>
      </c>
      <c r="I38" s="97">
        <v>0</v>
      </c>
      <c r="J38" s="97">
        <v>0.06</v>
      </c>
      <c r="K38" s="97">
        <v>0.01</v>
      </c>
      <c r="L38" s="97">
        <v>0</v>
      </c>
      <c r="M38" s="97">
        <v>0.01</v>
      </c>
      <c r="N38" s="97">
        <v>0.02</v>
      </c>
      <c r="O38" s="91">
        <f t="shared" ref="O38:O43" si="3">SUM(C38:N38)</f>
        <v>0.10999999999999999</v>
      </c>
    </row>
    <row r="39" spans="1:15" x14ac:dyDescent="0.2">
      <c r="B39" s="90" t="s">
        <v>49</v>
      </c>
      <c r="C39" s="97">
        <v>1.66</v>
      </c>
      <c r="D39" s="97">
        <v>1.24</v>
      </c>
      <c r="E39" s="97">
        <v>0.51</v>
      </c>
      <c r="F39" s="97">
        <v>0.18</v>
      </c>
      <c r="G39" s="97">
        <v>0.28000000000000003</v>
      </c>
      <c r="H39" s="97">
        <v>0.55000000000000004</v>
      </c>
      <c r="I39" s="97">
        <v>0.17</v>
      </c>
      <c r="J39" s="97">
        <v>0.28000000000000003</v>
      </c>
      <c r="K39" s="97">
        <v>0.2</v>
      </c>
      <c r="L39" s="97">
        <v>0.11</v>
      </c>
      <c r="M39" s="97">
        <v>1.24</v>
      </c>
      <c r="N39" s="97">
        <v>0.03</v>
      </c>
      <c r="O39" s="91">
        <f t="shared" si="3"/>
        <v>6.4500000000000011</v>
      </c>
    </row>
    <row r="40" spans="1:15" x14ac:dyDescent="0.2">
      <c r="B40" s="90" t="s">
        <v>50</v>
      </c>
      <c r="C40" s="97">
        <v>0</v>
      </c>
      <c r="D40" s="71">
        <v>0</v>
      </c>
      <c r="E40" s="71">
        <v>0</v>
      </c>
      <c r="F40" s="102">
        <v>0</v>
      </c>
      <c r="G40" s="102">
        <v>0</v>
      </c>
      <c r="H40" s="102">
        <v>0</v>
      </c>
      <c r="I40" s="91">
        <v>0</v>
      </c>
      <c r="J40" s="102">
        <v>0</v>
      </c>
      <c r="K40" s="91">
        <v>0</v>
      </c>
      <c r="L40" s="102">
        <v>0</v>
      </c>
      <c r="M40" s="102">
        <v>0</v>
      </c>
      <c r="N40" s="72">
        <v>0</v>
      </c>
      <c r="O40" s="91">
        <f t="shared" si="3"/>
        <v>0</v>
      </c>
    </row>
    <row r="41" spans="1:15" s="103" customFormat="1" x14ac:dyDescent="0.2">
      <c r="A41" s="90"/>
      <c r="B41" s="90" t="s">
        <v>51</v>
      </c>
      <c r="C41" s="97">
        <v>0.03</v>
      </c>
      <c r="D41" s="97">
        <v>0.02</v>
      </c>
      <c r="E41" s="97">
        <v>0.05</v>
      </c>
      <c r="F41" s="97">
        <v>0.08</v>
      </c>
      <c r="G41" s="97">
        <v>0.01</v>
      </c>
      <c r="H41" s="97">
        <v>0.04</v>
      </c>
      <c r="I41" s="97">
        <v>0.08</v>
      </c>
      <c r="J41" s="97">
        <v>0.05</v>
      </c>
      <c r="K41" s="97">
        <v>0.09</v>
      </c>
      <c r="L41" s="97">
        <v>0.11</v>
      </c>
      <c r="M41" s="97">
        <v>0.03</v>
      </c>
      <c r="N41" s="97">
        <v>0.06</v>
      </c>
      <c r="O41" s="91">
        <f t="shared" si="3"/>
        <v>0.64999999999999991</v>
      </c>
    </row>
    <row r="42" spans="1:15" x14ac:dyDescent="0.2">
      <c r="B42" s="90" t="s">
        <v>52</v>
      </c>
      <c r="C42" s="97">
        <v>0</v>
      </c>
      <c r="D42" s="97">
        <v>0.03</v>
      </c>
      <c r="E42" s="97">
        <v>0.02</v>
      </c>
      <c r="F42" s="97">
        <v>3.58</v>
      </c>
      <c r="G42" s="97">
        <v>0.16</v>
      </c>
      <c r="H42" s="97">
        <v>0.16</v>
      </c>
      <c r="I42" s="97">
        <v>0.24</v>
      </c>
      <c r="J42" s="97">
        <v>1.72</v>
      </c>
      <c r="K42" s="97">
        <v>0.26</v>
      </c>
      <c r="L42" s="97">
        <v>0.65</v>
      </c>
      <c r="M42" s="97">
        <v>1.7</v>
      </c>
      <c r="N42" s="97">
        <v>0.16</v>
      </c>
      <c r="O42" s="91">
        <f t="shared" si="3"/>
        <v>8.68</v>
      </c>
    </row>
    <row r="43" spans="1:15" x14ac:dyDescent="0.2">
      <c r="B43" s="90" t="s">
        <v>53</v>
      </c>
      <c r="C43" s="97">
        <v>2.83</v>
      </c>
      <c r="D43" s="97">
        <v>1.08</v>
      </c>
      <c r="E43" s="97">
        <v>0.16</v>
      </c>
      <c r="F43" s="97">
        <v>0.06</v>
      </c>
      <c r="G43" s="97">
        <v>0.19</v>
      </c>
      <c r="H43" s="97">
        <v>1.1200000000000001</v>
      </c>
      <c r="I43" s="97">
        <v>0.59</v>
      </c>
      <c r="J43" s="97">
        <v>0.98</v>
      </c>
      <c r="K43" s="97">
        <v>0.02</v>
      </c>
      <c r="L43" s="97">
        <v>0.02</v>
      </c>
      <c r="M43" s="97">
        <v>0.04</v>
      </c>
      <c r="N43" s="97">
        <v>0.3</v>
      </c>
      <c r="O43" s="91">
        <f t="shared" si="3"/>
        <v>7.3899999999999988</v>
      </c>
    </row>
    <row r="44" spans="1:15" x14ac:dyDescent="0.2">
      <c r="D44" s="71"/>
      <c r="E44" s="71"/>
    </row>
    <row r="45" spans="1:15" s="95" customFormat="1" ht="15" x14ac:dyDescent="0.25">
      <c r="A45" s="94" t="s">
        <v>54</v>
      </c>
      <c r="C45" s="96">
        <f>SUM(C46:C59)</f>
        <v>105.90000000000002</v>
      </c>
      <c r="D45" s="96">
        <f t="shared" ref="D45:O45" si="4">SUM(D46:D59)</f>
        <v>38.75</v>
      </c>
      <c r="E45" s="96">
        <f t="shared" si="4"/>
        <v>53.99</v>
      </c>
      <c r="F45" s="96">
        <f t="shared" si="4"/>
        <v>33.51</v>
      </c>
      <c r="G45" s="96">
        <f t="shared" si="4"/>
        <v>54.930000000000007</v>
      </c>
      <c r="H45" s="96">
        <f t="shared" si="4"/>
        <v>46.779999999999994</v>
      </c>
      <c r="I45" s="96">
        <f t="shared" si="4"/>
        <v>49.65</v>
      </c>
      <c r="J45" s="96">
        <f t="shared" si="4"/>
        <v>50.78</v>
      </c>
      <c r="K45" s="96">
        <f t="shared" si="4"/>
        <v>53.180000000000007</v>
      </c>
      <c r="L45" s="96">
        <f t="shared" si="4"/>
        <v>36.96</v>
      </c>
      <c r="M45" s="96">
        <f t="shared" si="4"/>
        <v>58.019999999999996</v>
      </c>
      <c r="N45" s="96">
        <f t="shared" si="4"/>
        <v>37.729999999999997</v>
      </c>
      <c r="O45" s="96">
        <f t="shared" si="4"/>
        <v>620.17999999999995</v>
      </c>
    </row>
    <row r="46" spans="1:15" x14ac:dyDescent="0.2">
      <c r="B46" s="90" t="s">
        <v>55</v>
      </c>
      <c r="C46" s="97">
        <v>5.59</v>
      </c>
      <c r="D46" s="97">
        <v>2.35</v>
      </c>
      <c r="E46" s="97">
        <v>5.23</v>
      </c>
      <c r="F46" s="97">
        <v>2.29</v>
      </c>
      <c r="G46" s="97">
        <v>3.33</v>
      </c>
      <c r="H46" s="97">
        <v>5.6</v>
      </c>
      <c r="I46" s="97">
        <v>3.51</v>
      </c>
      <c r="J46" s="97">
        <v>2.65</v>
      </c>
      <c r="K46" s="97">
        <v>4.82</v>
      </c>
      <c r="L46" s="97">
        <v>3.74</v>
      </c>
      <c r="M46" s="97">
        <v>10.18</v>
      </c>
      <c r="N46" s="97">
        <v>2.88</v>
      </c>
      <c r="O46" s="91">
        <f>SUM(C46:N46)</f>
        <v>52.17</v>
      </c>
    </row>
    <row r="47" spans="1:15" x14ac:dyDescent="0.2">
      <c r="B47" s="90" t="s">
        <v>56</v>
      </c>
      <c r="C47" s="97">
        <v>0.4</v>
      </c>
      <c r="D47" s="97">
        <v>0</v>
      </c>
      <c r="E47" s="97">
        <v>0.27</v>
      </c>
      <c r="F47" s="97">
        <v>0.02</v>
      </c>
      <c r="G47" s="97">
        <v>0</v>
      </c>
      <c r="H47" s="97">
        <v>0.02</v>
      </c>
      <c r="I47" s="97">
        <v>0.02</v>
      </c>
      <c r="J47" s="97">
        <v>0.01</v>
      </c>
      <c r="K47" s="97">
        <v>0</v>
      </c>
      <c r="L47" s="97">
        <v>0.48</v>
      </c>
      <c r="M47" s="97">
        <v>0.02</v>
      </c>
      <c r="N47" s="97">
        <v>0.06</v>
      </c>
      <c r="O47" s="91">
        <f t="shared" ref="O47:O59" si="5">SUM(C47:N47)</f>
        <v>1.3000000000000003</v>
      </c>
    </row>
    <row r="48" spans="1:15" x14ac:dyDescent="0.2">
      <c r="B48" s="90" t="s">
        <v>57</v>
      </c>
      <c r="C48" s="97">
        <v>24.33</v>
      </c>
      <c r="D48" s="97">
        <v>17.12</v>
      </c>
      <c r="E48" s="97">
        <v>22.5</v>
      </c>
      <c r="F48" s="97">
        <v>14.02</v>
      </c>
      <c r="G48" s="97">
        <v>28.88</v>
      </c>
      <c r="H48" s="97">
        <v>23.67</v>
      </c>
      <c r="I48" s="97">
        <v>20.34</v>
      </c>
      <c r="J48" s="97">
        <v>30.35</v>
      </c>
      <c r="K48" s="97">
        <v>25.77</v>
      </c>
      <c r="L48" s="97">
        <v>15.82</v>
      </c>
      <c r="M48" s="97">
        <v>21.93</v>
      </c>
      <c r="N48" s="97">
        <v>20.059999999999999</v>
      </c>
      <c r="O48" s="91">
        <f t="shared" si="5"/>
        <v>264.78999999999996</v>
      </c>
    </row>
    <row r="49" spans="1:15" x14ac:dyDescent="0.2">
      <c r="B49" s="90" t="s">
        <v>58</v>
      </c>
      <c r="C49" s="97">
        <v>13.77</v>
      </c>
      <c r="D49" s="97">
        <v>7.6</v>
      </c>
      <c r="E49" s="97">
        <v>8.91</v>
      </c>
      <c r="F49" s="97">
        <v>3.36</v>
      </c>
      <c r="G49" s="97">
        <v>6.67</v>
      </c>
      <c r="H49" s="97">
        <v>5.25</v>
      </c>
      <c r="I49" s="97">
        <v>7.89</v>
      </c>
      <c r="J49" s="97">
        <v>4.9400000000000004</v>
      </c>
      <c r="K49" s="97">
        <v>5.82</v>
      </c>
      <c r="L49" s="97">
        <v>4.96</v>
      </c>
      <c r="M49" s="97">
        <v>6.68</v>
      </c>
      <c r="N49" s="97">
        <v>3.96</v>
      </c>
      <c r="O49" s="91">
        <f t="shared" si="5"/>
        <v>79.809999999999988</v>
      </c>
    </row>
    <row r="50" spans="1:15" x14ac:dyDescent="0.2">
      <c r="B50" s="90" t="s">
        <v>59</v>
      </c>
      <c r="C50" s="97">
        <v>53.69</v>
      </c>
      <c r="D50" s="97">
        <v>2.97</v>
      </c>
      <c r="E50" s="97">
        <v>4.59</v>
      </c>
      <c r="F50" s="97">
        <v>2.48</v>
      </c>
      <c r="G50" s="97">
        <v>2.85</v>
      </c>
      <c r="H50" s="97">
        <v>2.4</v>
      </c>
      <c r="I50" s="97">
        <v>5.3</v>
      </c>
      <c r="J50" s="97">
        <v>1.9</v>
      </c>
      <c r="K50" s="97">
        <v>1.96</v>
      </c>
      <c r="L50" s="97">
        <v>2.21</v>
      </c>
      <c r="M50" s="97">
        <v>3.62</v>
      </c>
      <c r="N50" s="97">
        <v>2.06</v>
      </c>
      <c r="O50" s="91">
        <f t="shared" si="5"/>
        <v>86.03</v>
      </c>
    </row>
    <row r="51" spans="1:15" x14ac:dyDescent="0.2">
      <c r="B51" s="90" t="s">
        <v>60</v>
      </c>
      <c r="C51" s="97">
        <v>0.01</v>
      </c>
      <c r="D51" s="97">
        <v>0.02</v>
      </c>
      <c r="E51" s="97">
        <v>7.0000000000000007E-2</v>
      </c>
      <c r="F51" s="97">
        <v>0.74</v>
      </c>
      <c r="G51" s="97">
        <v>0.18</v>
      </c>
      <c r="H51" s="97">
        <v>0.05</v>
      </c>
      <c r="I51" s="97">
        <v>0.08</v>
      </c>
      <c r="J51" s="97">
        <v>0.11</v>
      </c>
      <c r="K51" s="97">
        <v>0.09</v>
      </c>
      <c r="L51" s="97">
        <v>0.05</v>
      </c>
      <c r="M51" s="97">
        <v>0.11</v>
      </c>
      <c r="N51" s="97">
        <v>0.03</v>
      </c>
      <c r="O51" s="91">
        <f t="shared" si="5"/>
        <v>1.5400000000000005</v>
      </c>
    </row>
    <row r="52" spans="1:15" x14ac:dyDescent="0.2">
      <c r="B52" s="90" t="s">
        <v>61</v>
      </c>
      <c r="C52" s="97">
        <v>0.01</v>
      </c>
      <c r="D52" s="97">
        <v>0.06</v>
      </c>
      <c r="E52" s="97">
        <v>0.03</v>
      </c>
      <c r="F52" s="97">
        <v>0.06</v>
      </c>
      <c r="G52" s="97">
        <v>0.09</v>
      </c>
      <c r="H52" s="97">
        <v>0.04</v>
      </c>
      <c r="I52" s="97">
        <v>0.03</v>
      </c>
      <c r="J52" s="97">
        <v>0.21</v>
      </c>
      <c r="K52" s="97">
        <v>0.03</v>
      </c>
      <c r="L52" s="97">
        <v>0.02</v>
      </c>
      <c r="M52" s="97">
        <v>0.04</v>
      </c>
      <c r="N52" s="97">
        <v>0.02</v>
      </c>
      <c r="O52" s="91">
        <f t="shared" si="5"/>
        <v>0.64</v>
      </c>
    </row>
    <row r="53" spans="1:15" x14ac:dyDescent="0.2">
      <c r="B53" s="90" t="s">
        <v>62</v>
      </c>
      <c r="C53" s="97">
        <v>0</v>
      </c>
      <c r="D53" s="97">
        <v>0</v>
      </c>
      <c r="E53" s="104">
        <v>0</v>
      </c>
      <c r="F53" s="102">
        <v>0</v>
      </c>
      <c r="G53" s="102">
        <v>0</v>
      </c>
      <c r="H53" s="102">
        <v>0</v>
      </c>
      <c r="I53" s="91">
        <v>0</v>
      </c>
      <c r="J53" s="102">
        <v>0</v>
      </c>
      <c r="K53" s="91">
        <v>0</v>
      </c>
      <c r="L53" s="102">
        <v>0</v>
      </c>
      <c r="M53" s="102">
        <v>0</v>
      </c>
      <c r="N53" s="72">
        <v>0</v>
      </c>
      <c r="O53" s="91">
        <f t="shared" si="5"/>
        <v>0</v>
      </c>
    </row>
    <row r="54" spans="1:15" x14ac:dyDescent="0.2">
      <c r="B54" s="90" t="s">
        <v>63</v>
      </c>
      <c r="C54" s="97">
        <v>7.0000000000000007E-2</v>
      </c>
      <c r="D54" s="97">
        <v>0.06</v>
      </c>
      <c r="E54" s="97">
        <v>0.21</v>
      </c>
      <c r="F54" s="97">
        <v>0.05</v>
      </c>
      <c r="G54" s="97">
        <v>0.19</v>
      </c>
      <c r="H54" s="97">
        <v>0</v>
      </c>
      <c r="I54" s="97">
        <v>0.19</v>
      </c>
      <c r="J54" s="97">
        <v>0.02</v>
      </c>
      <c r="K54" s="97">
        <v>0.11</v>
      </c>
      <c r="L54" s="97">
        <v>0</v>
      </c>
      <c r="M54" s="97">
        <v>0.49</v>
      </c>
      <c r="N54" s="97">
        <v>0.06</v>
      </c>
      <c r="O54" s="91">
        <f t="shared" si="5"/>
        <v>1.4500000000000002</v>
      </c>
    </row>
    <row r="55" spans="1:15" x14ac:dyDescent="0.2">
      <c r="B55" s="90" t="s">
        <v>64</v>
      </c>
      <c r="C55" s="97">
        <v>0.3</v>
      </c>
      <c r="D55" s="97">
        <v>0.44</v>
      </c>
      <c r="E55" s="97">
        <v>0.28999999999999998</v>
      </c>
      <c r="F55" s="97">
        <v>7.0000000000000007E-2</v>
      </c>
      <c r="G55" s="97">
        <v>0.23</v>
      </c>
      <c r="H55" s="97">
        <v>0.25</v>
      </c>
      <c r="I55" s="97">
        <v>0.12</v>
      </c>
      <c r="J55" s="97">
        <v>0.65</v>
      </c>
      <c r="K55" s="97">
        <v>0.2</v>
      </c>
      <c r="L55" s="97">
        <v>0.09</v>
      </c>
      <c r="M55" s="97">
        <v>0.2</v>
      </c>
      <c r="N55" s="97">
        <v>0.13</v>
      </c>
      <c r="O55" s="91">
        <f t="shared" si="5"/>
        <v>2.97</v>
      </c>
    </row>
    <row r="56" spans="1:15" s="92" customFormat="1" x14ac:dyDescent="0.2">
      <c r="B56" s="105" t="s">
        <v>65</v>
      </c>
      <c r="C56" s="97">
        <v>0.01</v>
      </c>
      <c r="D56" s="97">
        <v>0</v>
      </c>
      <c r="E56" s="97">
        <v>0</v>
      </c>
      <c r="F56" s="97">
        <v>0</v>
      </c>
      <c r="G56" s="97">
        <v>0.88</v>
      </c>
      <c r="H56" s="97">
        <v>0.35</v>
      </c>
      <c r="I56" s="97">
        <v>0</v>
      </c>
      <c r="J56" s="97">
        <v>0.02</v>
      </c>
      <c r="K56" s="97">
        <v>0</v>
      </c>
      <c r="L56" s="97">
        <v>0.02</v>
      </c>
      <c r="M56" s="97">
        <v>0</v>
      </c>
      <c r="N56" s="97">
        <v>0</v>
      </c>
      <c r="O56" s="91">
        <f t="shared" si="5"/>
        <v>1.28</v>
      </c>
    </row>
    <row r="57" spans="1:15" x14ac:dyDescent="0.2">
      <c r="B57" s="90" t="s">
        <v>66</v>
      </c>
      <c r="C57" s="97">
        <v>0.01</v>
      </c>
      <c r="D57" s="97">
        <v>0.01</v>
      </c>
      <c r="E57" s="97">
        <v>0.13</v>
      </c>
      <c r="F57" s="97">
        <v>5.05</v>
      </c>
      <c r="G57" s="97">
        <v>0</v>
      </c>
      <c r="H57" s="97">
        <v>0</v>
      </c>
      <c r="I57" s="97">
        <v>0</v>
      </c>
      <c r="J57" s="97">
        <v>0</v>
      </c>
      <c r="K57" s="97">
        <v>0</v>
      </c>
      <c r="L57" s="97">
        <v>0.01</v>
      </c>
      <c r="M57" s="97">
        <v>0</v>
      </c>
      <c r="N57" s="97">
        <v>0</v>
      </c>
      <c r="O57" s="91">
        <f t="shared" si="5"/>
        <v>5.21</v>
      </c>
    </row>
    <row r="58" spans="1:15" x14ac:dyDescent="0.2">
      <c r="B58" s="90" t="s">
        <v>67</v>
      </c>
      <c r="C58" s="97">
        <v>7.7</v>
      </c>
      <c r="D58" s="97">
        <v>8.1199999999999992</v>
      </c>
      <c r="E58" s="97">
        <v>11.76</v>
      </c>
      <c r="F58" s="97">
        <v>5.37</v>
      </c>
      <c r="G58" s="97">
        <v>11.63</v>
      </c>
      <c r="H58" s="97">
        <v>9.15</v>
      </c>
      <c r="I58" s="97">
        <v>12.17</v>
      </c>
      <c r="J58" s="97">
        <v>9.92</v>
      </c>
      <c r="K58" s="97">
        <v>14.38</v>
      </c>
      <c r="L58" s="97">
        <v>9.56</v>
      </c>
      <c r="M58" s="97">
        <v>14.75</v>
      </c>
      <c r="N58" s="97">
        <v>8.4499999999999993</v>
      </c>
      <c r="O58" s="91">
        <f t="shared" si="5"/>
        <v>122.96</v>
      </c>
    </row>
    <row r="59" spans="1:15" x14ac:dyDescent="0.2">
      <c r="B59" s="90" t="s">
        <v>68</v>
      </c>
      <c r="C59" s="97">
        <v>0.01</v>
      </c>
      <c r="D59" s="97">
        <v>0</v>
      </c>
      <c r="E59" s="97">
        <v>0</v>
      </c>
      <c r="F59" s="97">
        <v>0</v>
      </c>
      <c r="G59" s="97">
        <v>0</v>
      </c>
      <c r="H59" s="97">
        <v>0</v>
      </c>
      <c r="I59" s="97">
        <v>0</v>
      </c>
      <c r="J59" s="97">
        <v>0</v>
      </c>
      <c r="K59" s="97">
        <v>0</v>
      </c>
      <c r="L59" s="97">
        <v>0</v>
      </c>
      <c r="M59" s="97">
        <v>0</v>
      </c>
      <c r="N59" s="97">
        <v>0.02</v>
      </c>
      <c r="O59" s="91">
        <f t="shared" si="5"/>
        <v>0.03</v>
      </c>
    </row>
    <row r="60" spans="1:15" x14ac:dyDescent="0.2">
      <c r="D60" s="71"/>
      <c r="E60" s="71"/>
    </row>
    <row r="61" spans="1:15" s="95" customFormat="1" ht="15" x14ac:dyDescent="0.25">
      <c r="A61" s="94" t="s">
        <v>69</v>
      </c>
      <c r="C61" s="96">
        <f>C62</f>
        <v>0.36</v>
      </c>
      <c r="D61" s="96">
        <f t="shared" ref="D61:N61" si="6">D62</f>
        <v>0.14000000000000001</v>
      </c>
      <c r="E61" s="96">
        <f t="shared" si="6"/>
        <v>0.14000000000000001</v>
      </c>
      <c r="F61" s="96">
        <f t="shared" si="6"/>
        <v>0.06</v>
      </c>
      <c r="G61" s="96">
        <f t="shared" si="6"/>
        <v>0.16</v>
      </c>
      <c r="H61" s="96">
        <f t="shared" si="6"/>
        <v>0.37</v>
      </c>
      <c r="I61" s="96">
        <f t="shared" si="6"/>
        <v>0.28999999999999998</v>
      </c>
      <c r="J61" s="96">
        <f t="shared" si="6"/>
        <v>0.03</v>
      </c>
      <c r="K61" s="96">
        <f t="shared" si="6"/>
        <v>0.08</v>
      </c>
      <c r="L61" s="96">
        <f t="shared" si="6"/>
        <v>0.05</v>
      </c>
      <c r="M61" s="96">
        <f t="shared" si="6"/>
        <v>0.17</v>
      </c>
      <c r="N61" s="96">
        <f t="shared" si="6"/>
        <v>0.02</v>
      </c>
      <c r="O61" s="96">
        <f>O62</f>
        <v>1.87</v>
      </c>
    </row>
    <row r="62" spans="1:15" x14ac:dyDescent="0.2">
      <c r="B62" s="90" t="s">
        <v>70</v>
      </c>
      <c r="C62" s="97">
        <v>0.36</v>
      </c>
      <c r="D62" s="97">
        <v>0.14000000000000001</v>
      </c>
      <c r="E62" s="97">
        <v>0.14000000000000001</v>
      </c>
      <c r="F62" s="97">
        <v>0.06</v>
      </c>
      <c r="G62" s="97">
        <v>0.16</v>
      </c>
      <c r="H62" s="97">
        <v>0.37</v>
      </c>
      <c r="I62" s="97">
        <v>0.28999999999999998</v>
      </c>
      <c r="J62" s="97">
        <v>0.03</v>
      </c>
      <c r="K62" s="97">
        <v>0.08</v>
      </c>
      <c r="L62" s="97">
        <v>0.05</v>
      </c>
      <c r="M62" s="97">
        <v>0.17</v>
      </c>
      <c r="N62" s="97">
        <v>0.02</v>
      </c>
      <c r="O62" s="91">
        <f>SUM(C62:N62)</f>
        <v>1.87</v>
      </c>
    </row>
    <row r="63" spans="1:15" ht="12.75" customHeight="1" x14ac:dyDescent="0.2">
      <c r="C63" s="97"/>
      <c r="D63" s="71"/>
      <c r="E63" s="71"/>
    </row>
    <row r="64" spans="1:15" s="95" customFormat="1" ht="15" x14ac:dyDescent="0.25">
      <c r="A64" s="94" t="s">
        <v>71</v>
      </c>
      <c r="C64" s="96">
        <f>SUM(C65:C67)</f>
        <v>18.100000000000001</v>
      </c>
      <c r="D64" s="96">
        <f t="shared" ref="D64:O64" si="7">SUM(D65:D67)</f>
        <v>11.58</v>
      </c>
      <c r="E64" s="96">
        <f t="shared" si="7"/>
        <v>13.6</v>
      </c>
      <c r="F64" s="96">
        <f t="shared" si="7"/>
        <v>10.37</v>
      </c>
      <c r="G64" s="96">
        <f t="shared" si="7"/>
        <v>19.03</v>
      </c>
      <c r="H64" s="96">
        <f t="shared" si="7"/>
        <v>27.3</v>
      </c>
      <c r="I64" s="96">
        <f t="shared" si="7"/>
        <v>12.620000000000001</v>
      </c>
      <c r="J64" s="96">
        <f t="shared" si="7"/>
        <v>15.91</v>
      </c>
      <c r="K64" s="96">
        <f t="shared" si="7"/>
        <v>11.91</v>
      </c>
      <c r="L64" s="96">
        <f t="shared" si="7"/>
        <v>12.1</v>
      </c>
      <c r="M64" s="96">
        <f t="shared" si="7"/>
        <v>13.72</v>
      </c>
      <c r="N64" s="96">
        <f t="shared" si="7"/>
        <v>10</v>
      </c>
      <c r="O64" s="96">
        <f t="shared" si="7"/>
        <v>176.24</v>
      </c>
    </row>
    <row r="65" spans="1:15" x14ac:dyDescent="0.2">
      <c r="B65" s="90" t="s">
        <v>72</v>
      </c>
      <c r="C65" s="97">
        <v>17.93</v>
      </c>
      <c r="D65" s="97">
        <v>11.23</v>
      </c>
      <c r="E65" s="97">
        <v>13.59</v>
      </c>
      <c r="F65" s="97">
        <v>10.34</v>
      </c>
      <c r="G65" s="97">
        <v>19.010000000000002</v>
      </c>
      <c r="H65" s="97">
        <v>27.28</v>
      </c>
      <c r="I65" s="97">
        <v>12.56</v>
      </c>
      <c r="J65" s="97">
        <v>15.6</v>
      </c>
      <c r="K65" s="97">
        <v>11.81</v>
      </c>
      <c r="L65" s="97">
        <v>12</v>
      </c>
      <c r="M65" s="97">
        <v>13.71</v>
      </c>
      <c r="N65" s="97">
        <v>9.99</v>
      </c>
      <c r="O65" s="91">
        <f>SUM(C65:N65)</f>
        <v>175.05</v>
      </c>
    </row>
    <row r="66" spans="1:15" x14ac:dyDescent="0.2">
      <c r="B66" s="90" t="s">
        <v>73</v>
      </c>
      <c r="C66" s="97">
        <v>0.16</v>
      </c>
      <c r="D66" s="97">
        <v>0.35</v>
      </c>
      <c r="E66" s="97">
        <v>0.01</v>
      </c>
      <c r="F66" s="97">
        <v>0.03</v>
      </c>
      <c r="G66" s="97">
        <v>0.02</v>
      </c>
      <c r="H66" s="97">
        <v>0.02</v>
      </c>
      <c r="I66" s="97">
        <v>0.06</v>
      </c>
      <c r="J66" s="97">
        <v>0.31</v>
      </c>
      <c r="K66" s="97">
        <v>0.1</v>
      </c>
      <c r="L66" s="97">
        <v>0.1</v>
      </c>
      <c r="M66" s="97">
        <v>0.01</v>
      </c>
      <c r="N66" s="97">
        <v>0.01</v>
      </c>
      <c r="O66" s="91">
        <f t="shared" ref="O66:O67" si="8">SUM(C66:N66)</f>
        <v>1.1800000000000004</v>
      </c>
    </row>
    <row r="67" spans="1:15" x14ac:dyDescent="0.2">
      <c r="B67" s="90" t="s">
        <v>74</v>
      </c>
      <c r="C67" s="97">
        <v>0.01</v>
      </c>
      <c r="D67" s="97">
        <v>0</v>
      </c>
      <c r="E67" s="97">
        <v>0</v>
      </c>
      <c r="F67" s="97">
        <v>0</v>
      </c>
      <c r="G67" s="97">
        <v>0</v>
      </c>
      <c r="H67" s="97">
        <v>0</v>
      </c>
      <c r="I67" s="97">
        <v>0</v>
      </c>
      <c r="J67" s="97">
        <v>0</v>
      </c>
      <c r="K67" s="97">
        <v>0</v>
      </c>
      <c r="L67" s="97">
        <v>0</v>
      </c>
      <c r="M67" s="97">
        <v>0</v>
      </c>
      <c r="N67" s="97">
        <v>0</v>
      </c>
      <c r="O67" s="91">
        <f t="shared" si="8"/>
        <v>0.01</v>
      </c>
    </row>
    <row r="68" spans="1:15" ht="12.75" customHeight="1" x14ac:dyDescent="0.2">
      <c r="C68" s="97"/>
      <c r="D68" s="71"/>
      <c r="E68" s="71"/>
    </row>
    <row r="69" spans="1:15" s="95" customFormat="1" ht="15" x14ac:dyDescent="0.25">
      <c r="A69" s="94" t="s">
        <v>75</v>
      </c>
      <c r="C69" s="96">
        <f>SUM(C70:C71)</f>
        <v>0</v>
      </c>
      <c r="D69" s="96">
        <f t="shared" ref="D69:O69" si="9">SUM(D70:D71)</f>
        <v>0.01</v>
      </c>
      <c r="E69" s="96">
        <f t="shared" si="9"/>
        <v>0.03</v>
      </c>
      <c r="F69" s="96">
        <f t="shared" si="9"/>
        <v>0</v>
      </c>
      <c r="G69" s="96">
        <f t="shared" si="9"/>
        <v>0</v>
      </c>
      <c r="H69" s="96">
        <f t="shared" si="9"/>
        <v>0</v>
      </c>
      <c r="I69" s="96">
        <f t="shared" si="9"/>
        <v>0</v>
      </c>
      <c r="J69" s="96">
        <f t="shared" si="9"/>
        <v>0</v>
      </c>
      <c r="K69" s="96">
        <f t="shared" si="9"/>
        <v>6.24</v>
      </c>
      <c r="L69" s="96">
        <f t="shared" si="9"/>
        <v>0</v>
      </c>
      <c r="M69" s="96">
        <f t="shared" si="9"/>
        <v>0</v>
      </c>
      <c r="N69" s="96">
        <f t="shared" si="9"/>
        <v>0</v>
      </c>
      <c r="O69" s="96">
        <f t="shared" si="9"/>
        <v>6.28</v>
      </c>
    </row>
    <row r="70" spans="1:15" x14ac:dyDescent="0.2">
      <c r="B70" s="90" t="s">
        <v>76</v>
      </c>
      <c r="C70" s="97">
        <v>0</v>
      </c>
      <c r="D70" s="97">
        <v>0</v>
      </c>
      <c r="E70" s="71">
        <v>0</v>
      </c>
      <c r="F70" s="102">
        <v>0</v>
      </c>
      <c r="G70" s="102">
        <v>0</v>
      </c>
      <c r="H70" s="102">
        <v>0</v>
      </c>
      <c r="I70" s="91">
        <v>0</v>
      </c>
      <c r="J70" s="102">
        <v>0</v>
      </c>
      <c r="K70" s="91">
        <v>0</v>
      </c>
      <c r="L70" s="102">
        <v>0</v>
      </c>
      <c r="M70" s="102">
        <v>0</v>
      </c>
      <c r="N70" s="72">
        <v>0</v>
      </c>
      <c r="O70" s="91">
        <f>SUM(C70:N70)</f>
        <v>0</v>
      </c>
    </row>
    <row r="71" spans="1:15" x14ac:dyDescent="0.2">
      <c r="B71" s="90" t="s">
        <v>77</v>
      </c>
      <c r="C71" s="97">
        <v>0</v>
      </c>
      <c r="D71" s="97">
        <v>0.01</v>
      </c>
      <c r="E71" s="97">
        <v>0.03</v>
      </c>
      <c r="F71" s="97">
        <v>0</v>
      </c>
      <c r="G71" s="97">
        <v>0</v>
      </c>
      <c r="H71" s="97">
        <v>0</v>
      </c>
      <c r="I71" s="97">
        <v>0</v>
      </c>
      <c r="J71" s="97">
        <v>0</v>
      </c>
      <c r="K71" s="97">
        <v>6.24</v>
      </c>
      <c r="L71" s="97">
        <v>0</v>
      </c>
      <c r="M71" s="97">
        <v>0</v>
      </c>
      <c r="N71" s="97">
        <v>0</v>
      </c>
      <c r="O71" s="91">
        <f>SUM(C71:N71)</f>
        <v>6.28</v>
      </c>
    </row>
    <row r="72" spans="1:15" x14ac:dyDescent="0.2">
      <c r="C72" s="97"/>
      <c r="D72" s="71"/>
      <c r="E72" s="71"/>
    </row>
    <row r="73" spans="1:15" s="95" customFormat="1" ht="15" x14ac:dyDescent="0.25">
      <c r="A73" s="94" t="s">
        <v>78</v>
      </c>
      <c r="C73" s="96">
        <f>SUM(C74:C82)</f>
        <v>48.989999999999995</v>
      </c>
      <c r="D73" s="96">
        <f t="shared" ref="D73:O73" si="10">SUM(D74:D82)</f>
        <v>37.45000000000001</v>
      </c>
      <c r="E73" s="96">
        <f t="shared" si="10"/>
        <v>61.059999999999995</v>
      </c>
      <c r="F73" s="96">
        <f t="shared" si="10"/>
        <v>29.520000000000003</v>
      </c>
      <c r="G73" s="96">
        <f t="shared" si="10"/>
        <v>70.169999999999987</v>
      </c>
      <c r="H73" s="96">
        <f t="shared" si="10"/>
        <v>35.22</v>
      </c>
      <c r="I73" s="96">
        <f t="shared" si="10"/>
        <v>98.219999999999985</v>
      </c>
      <c r="J73" s="96">
        <f t="shared" si="10"/>
        <v>41.51</v>
      </c>
      <c r="K73" s="96">
        <f t="shared" si="10"/>
        <v>78.139999999999986</v>
      </c>
      <c r="L73" s="96">
        <f t="shared" si="10"/>
        <v>24.210000000000004</v>
      </c>
      <c r="M73" s="96">
        <f t="shared" si="10"/>
        <v>67.230000000000018</v>
      </c>
      <c r="N73" s="96">
        <f t="shared" si="10"/>
        <v>31.83</v>
      </c>
      <c r="O73" s="96">
        <f t="shared" si="10"/>
        <v>623.54999999999995</v>
      </c>
    </row>
    <row r="74" spans="1:15" x14ac:dyDescent="0.2">
      <c r="B74" s="90" t="s">
        <v>79</v>
      </c>
      <c r="C74" s="97">
        <v>38.25</v>
      </c>
      <c r="D74" s="97">
        <v>20.93</v>
      </c>
      <c r="E74" s="97">
        <v>45.72</v>
      </c>
      <c r="F74" s="97">
        <v>17.71</v>
      </c>
      <c r="G74" s="97">
        <v>40.85</v>
      </c>
      <c r="H74" s="97">
        <v>18.010000000000002</v>
      </c>
      <c r="I74" s="97">
        <v>19.989999999999998</v>
      </c>
      <c r="J74" s="97">
        <v>18.809999999999999</v>
      </c>
      <c r="K74" s="97">
        <v>61.2</v>
      </c>
      <c r="L74" s="97">
        <v>9.89</v>
      </c>
      <c r="M74" s="97">
        <v>22.53</v>
      </c>
      <c r="N74" s="97">
        <v>18.68</v>
      </c>
      <c r="O74" s="91">
        <f>SUM(C74:N74)</f>
        <v>332.57</v>
      </c>
    </row>
    <row r="75" spans="1:15" x14ac:dyDescent="0.2">
      <c r="B75" s="90" t="s">
        <v>80</v>
      </c>
      <c r="C75" s="97">
        <v>0</v>
      </c>
      <c r="D75" s="97">
        <v>0</v>
      </c>
      <c r="E75" s="97">
        <v>0</v>
      </c>
      <c r="F75" s="97">
        <v>0</v>
      </c>
      <c r="G75" s="97">
        <v>0</v>
      </c>
      <c r="H75" s="97">
        <v>0.08</v>
      </c>
      <c r="I75" s="97">
        <v>0.03</v>
      </c>
      <c r="J75" s="97">
        <v>0</v>
      </c>
      <c r="K75" s="97">
        <v>0.01</v>
      </c>
      <c r="L75" s="97">
        <v>0</v>
      </c>
      <c r="M75" s="97">
        <v>0</v>
      </c>
      <c r="N75" s="97">
        <v>0</v>
      </c>
      <c r="O75" s="91">
        <f t="shared" ref="O75:O82" si="11">SUM(C75:N75)</f>
        <v>0.12</v>
      </c>
    </row>
    <row r="76" spans="1:15" x14ac:dyDescent="0.2">
      <c r="B76" s="90" t="s">
        <v>81</v>
      </c>
      <c r="C76" s="97">
        <v>0.08</v>
      </c>
      <c r="D76" s="97">
        <v>0</v>
      </c>
      <c r="E76" s="97">
        <v>1.08</v>
      </c>
      <c r="F76" s="97">
        <v>0.23</v>
      </c>
      <c r="G76" s="97">
        <v>1.1200000000000001</v>
      </c>
      <c r="H76" s="97">
        <v>0</v>
      </c>
      <c r="I76" s="97">
        <v>0.53</v>
      </c>
      <c r="J76" s="97">
        <v>0.01</v>
      </c>
      <c r="K76" s="97">
        <v>0.25</v>
      </c>
      <c r="L76" s="97">
        <v>0</v>
      </c>
      <c r="M76" s="97">
        <v>0.78</v>
      </c>
      <c r="N76" s="97">
        <v>0</v>
      </c>
      <c r="O76" s="91">
        <f t="shared" si="11"/>
        <v>4.08</v>
      </c>
    </row>
    <row r="77" spans="1:15" x14ac:dyDescent="0.2">
      <c r="B77" s="90" t="s">
        <v>82</v>
      </c>
      <c r="C77" s="97">
        <v>6.44</v>
      </c>
      <c r="D77" s="97">
        <v>5.91</v>
      </c>
      <c r="E77" s="97">
        <v>8.6300000000000008</v>
      </c>
      <c r="F77" s="97">
        <v>8.58</v>
      </c>
      <c r="G77" s="97">
        <v>13.63</v>
      </c>
      <c r="H77" s="97">
        <v>10.92</v>
      </c>
      <c r="I77" s="97">
        <v>8.0399999999999991</v>
      </c>
      <c r="J77" s="97">
        <v>8.51</v>
      </c>
      <c r="K77" s="97">
        <v>7.48</v>
      </c>
      <c r="L77" s="97">
        <v>4.58</v>
      </c>
      <c r="M77" s="97">
        <v>27.37</v>
      </c>
      <c r="N77" s="97">
        <v>6.12</v>
      </c>
      <c r="O77" s="91">
        <f t="shared" si="11"/>
        <v>116.21000000000002</v>
      </c>
    </row>
    <row r="78" spans="1:15" x14ac:dyDescent="0.2">
      <c r="B78" s="90" t="s">
        <v>83</v>
      </c>
      <c r="C78" s="97">
        <v>0.25</v>
      </c>
      <c r="D78" s="97">
        <v>0.21</v>
      </c>
      <c r="E78" s="97">
        <v>0.16</v>
      </c>
      <c r="F78" s="97">
        <v>0.21</v>
      </c>
      <c r="G78" s="97">
        <v>0.15</v>
      </c>
      <c r="H78" s="97">
        <v>0.42</v>
      </c>
      <c r="I78" s="97">
        <v>54.52</v>
      </c>
      <c r="J78" s="97">
        <v>0.38</v>
      </c>
      <c r="K78" s="97">
        <v>0.95</v>
      </c>
      <c r="L78" s="97">
        <v>0.38</v>
      </c>
      <c r="M78" s="97">
        <v>0.24</v>
      </c>
      <c r="N78" s="97">
        <v>0.06</v>
      </c>
      <c r="O78" s="91">
        <f t="shared" si="11"/>
        <v>57.930000000000014</v>
      </c>
    </row>
    <row r="79" spans="1:15" x14ac:dyDescent="0.2">
      <c r="B79" s="90" t="s">
        <v>84</v>
      </c>
      <c r="C79" s="97">
        <v>2.87</v>
      </c>
      <c r="D79" s="97">
        <v>9.4600000000000009</v>
      </c>
      <c r="E79" s="97">
        <v>4.43</v>
      </c>
      <c r="F79" s="97">
        <v>2.13</v>
      </c>
      <c r="G79" s="97">
        <v>12.41</v>
      </c>
      <c r="H79" s="97">
        <v>5.14</v>
      </c>
      <c r="I79" s="97">
        <v>14.46</v>
      </c>
      <c r="J79" s="97">
        <v>13.12</v>
      </c>
      <c r="K79" s="97">
        <v>6.88</v>
      </c>
      <c r="L79" s="97">
        <v>8.8800000000000008</v>
      </c>
      <c r="M79" s="97">
        <v>14.98</v>
      </c>
      <c r="N79" s="97">
        <v>4.68</v>
      </c>
      <c r="O79" s="91">
        <f t="shared" si="11"/>
        <v>99.44</v>
      </c>
    </row>
    <row r="80" spans="1:15" x14ac:dyDescent="0.2">
      <c r="B80" s="90" t="s">
        <v>85</v>
      </c>
      <c r="C80" s="97">
        <v>0.96</v>
      </c>
      <c r="D80" s="97">
        <v>0.92</v>
      </c>
      <c r="E80" s="97">
        <v>0.97</v>
      </c>
      <c r="F80" s="97">
        <v>0.64</v>
      </c>
      <c r="G80" s="97">
        <v>1.94</v>
      </c>
      <c r="H80" s="97">
        <v>0.61</v>
      </c>
      <c r="I80" s="97">
        <v>0.63</v>
      </c>
      <c r="J80" s="97">
        <v>0.65</v>
      </c>
      <c r="K80" s="97">
        <v>0.74</v>
      </c>
      <c r="L80" s="97">
        <v>0.41</v>
      </c>
      <c r="M80" s="97">
        <v>0.81</v>
      </c>
      <c r="N80" s="97">
        <v>1.63</v>
      </c>
      <c r="O80" s="91">
        <f t="shared" si="11"/>
        <v>10.91</v>
      </c>
    </row>
    <row r="81" spans="1:15" x14ac:dyDescent="0.2">
      <c r="B81" s="90" t="s">
        <v>86</v>
      </c>
      <c r="C81" s="97">
        <v>0</v>
      </c>
      <c r="D81" s="97">
        <v>0</v>
      </c>
      <c r="E81" s="97">
        <v>0</v>
      </c>
      <c r="F81" s="97">
        <v>0</v>
      </c>
      <c r="G81" s="97">
        <v>0</v>
      </c>
      <c r="H81" s="97">
        <v>0</v>
      </c>
      <c r="I81" s="97">
        <v>0</v>
      </c>
      <c r="J81" s="97">
        <v>0</v>
      </c>
      <c r="K81" s="97">
        <v>0</v>
      </c>
      <c r="L81" s="97">
        <v>0</v>
      </c>
      <c r="M81" s="97">
        <v>0.48</v>
      </c>
      <c r="N81" s="97">
        <v>0</v>
      </c>
      <c r="O81" s="91">
        <f t="shared" si="11"/>
        <v>0.48</v>
      </c>
    </row>
    <row r="82" spans="1:15" x14ac:dyDescent="0.2">
      <c r="B82" s="90" t="s">
        <v>87</v>
      </c>
      <c r="C82" s="97">
        <v>0.14000000000000001</v>
      </c>
      <c r="D82" s="97">
        <v>0.02</v>
      </c>
      <c r="E82" s="97">
        <v>7.0000000000000007E-2</v>
      </c>
      <c r="F82" s="97">
        <v>0.02</v>
      </c>
      <c r="G82" s="97">
        <v>7.0000000000000007E-2</v>
      </c>
      <c r="H82" s="97">
        <v>0.04</v>
      </c>
      <c r="I82" s="97">
        <v>0.02</v>
      </c>
      <c r="J82" s="97">
        <v>0.03</v>
      </c>
      <c r="K82" s="97">
        <v>0.63</v>
      </c>
      <c r="L82" s="97">
        <v>7.0000000000000007E-2</v>
      </c>
      <c r="M82" s="97">
        <v>0.04</v>
      </c>
      <c r="N82" s="97">
        <v>0.66</v>
      </c>
      <c r="O82" s="91">
        <f t="shared" si="11"/>
        <v>1.81</v>
      </c>
    </row>
    <row r="83" spans="1:15" ht="12.75" customHeight="1" x14ac:dyDescent="0.2">
      <c r="C83" s="97"/>
      <c r="D83" s="71"/>
      <c r="E83" s="71"/>
    </row>
    <row r="84" spans="1:15" s="95" customFormat="1" ht="15" x14ac:dyDescent="0.25">
      <c r="A84" s="94" t="s">
        <v>88</v>
      </c>
      <c r="C84" s="96">
        <f>SUM(C85:C87)</f>
        <v>479.75</v>
      </c>
      <c r="D84" s="96">
        <f t="shared" ref="D84:O84" si="12">SUM(D85:D87)</f>
        <v>156.69999999999999</v>
      </c>
      <c r="E84" s="96">
        <f t="shared" si="12"/>
        <v>165.19</v>
      </c>
      <c r="F84" s="96">
        <f t="shared" si="12"/>
        <v>233.47</v>
      </c>
      <c r="G84" s="96">
        <f t="shared" si="12"/>
        <v>165.01999999999998</v>
      </c>
      <c r="H84" s="96">
        <f t="shared" si="12"/>
        <v>180.15</v>
      </c>
      <c r="I84" s="96">
        <f t="shared" si="12"/>
        <v>121.06</v>
      </c>
      <c r="J84" s="96">
        <f t="shared" si="12"/>
        <v>392.26</v>
      </c>
      <c r="K84" s="96">
        <f t="shared" si="12"/>
        <v>228.33</v>
      </c>
      <c r="L84" s="96">
        <f t="shared" si="12"/>
        <v>79.460000000000008</v>
      </c>
      <c r="M84" s="96">
        <f t="shared" si="12"/>
        <v>236.92000000000002</v>
      </c>
      <c r="N84" s="96">
        <f t="shared" si="12"/>
        <v>203.78</v>
      </c>
      <c r="O84" s="96">
        <f t="shared" si="12"/>
        <v>2642.0899999999997</v>
      </c>
    </row>
    <row r="85" spans="1:15" x14ac:dyDescent="0.2">
      <c r="B85" s="105" t="s">
        <v>89</v>
      </c>
      <c r="C85" s="97">
        <v>0.01</v>
      </c>
      <c r="D85" s="97">
        <v>0.01</v>
      </c>
      <c r="E85" s="97">
        <v>0.71</v>
      </c>
      <c r="F85" s="97">
        <v>0.15</v>
      </c>
      <c r="G85" s="97">
        <v>0.23</v>
      </c>
      <c r="H85" s="97">
        <v>7.0000000000000007E-2</v>
      </c>
      <c r="I85" s="97">
        <v>0.08</v>
      </c>
      <c r="J85" s="97">
        <v>0.11</v>
      </c>
      <c r="K85" s="97">
        <v>0.11</v>
      </c>
      <c r="L85" s="97">
        <v>0.01</v>
      </c>
      <c r="M85" s="97">
        <v>0.08</v>
      </c>
      <c r="N85" s="97">
        <v>0.01</v>
      </c>
      <c r="O85" s="91">
        <f>SUM(C85:N85)</f>
        <v>1.5800000000000005</v>
      </c>
    </row>
    <row r="86" spans="1:15" x14ac:dyDescent="0.2">
      <c r="B86" s="105" t="s">
        <v>90</v>
      </c>
      <c r="C86" s="97">
        <v>0.39</v>
      </c>
      <c r="D86" s="97">
        <v>0</v>
      </c>
      <c r="E86" s="97">
        <v>0</v>
      </c>
      <c r="F86" s="97">
        <v>2</v>
      </c>
      <c r="G86" s="97">
        <v>0.06</v>
      </c>
      <c r="H86" s="97">
        <v>0.28000000000000003</v>
      </c>
      <c r="I86" s="97">
        <v>0</v>
      </c>
      <c r="J86" s="97">
        <v>0</v>
      </c>
      <c r="K86" s="97">
        <v>0</v>
      </c>
      <c r="L86" s="97">
        <v>0</v>
      </c>
      <c r="M86" s="97">
        <v>0</v>
      </c>
      <c r="N86" s="97">
        <v>0</v>
      </c>
      <c r="O86" s="91">
        <f t="shared" ref="O86:O87" si="13">SUM(C86:N86)</f>
        <v>2.7300000000000004</v>
      </c>
    </row>
    <row r="87" spans="1:15" s="98" customFormat="1" x14ac:dyDescent="0.2">
      <c r="B87" s="107" t="s">
        <v>91</v>
      </c>
      <c r="C87" s="99">
        <v>479.35</v>
      </c>
      <c r="D87" s="99">
        <v>156.69</v>
      </c>
      <c r="E87" s="99">
        <v>164.48</v>
      </c>
      <c r="F87" s="99">
        <v>231.32</v>
      </c>
      <c r="G87" s="99">
        <v>164.73</v>
      </c>
      <c r="H87" s="99">
        <v>179.8</v>
      </c>
      <c r="I87" s="99">
        <v>120.98</v>
      </c>
      <c r="J87" s="99">
        <v>392.15</v>
      </c>
      <c r="K87" s="99">
        <v>228.22</v>
      </c>
      <c r="L87" s="99">
        <v>79.45</v>
      </c>
      <c r="M87" s="99">
        <v>236.84</v>
      </c>
      <c r="N87" s="99">
        <v>203.77</v>
      </c>
      <c r="O87" s="91">
        <f t="shared" si="13"/>
        <v>2637.7799999999997</v>
      </c>
    </row>
    <row r="88" spans="1:15" ht="12.75" customHeight="1" x14ac:dyDescent="0.2">
      <c r="C88" s="97"/>
      <c r="D88" s="71"/>
      <c r="E88" s="71"/>
    </row>
    <row r="89" spans="1:15" s="95" customFormat="1" ht="15" x14ac:dyDescent="0.25">
      <c r="A89" s="94" t="s">
        <v>92</v>
      </c>
      <c r="C89" s="96">
        <f>SUM(C90:C92)</f>
        <v>209.19000000000003</v>
      </c>
      <c r="D89" s="96">
        <f t="shared" ref="D89:O89" si="14">SUM(D90:D92)</f>
        <v>215.44</v>
      </c>
      <c r="E89" s="96">
        <f t="shared" si="14"/>
        <v>277.88</v>
      </c>
      <c r="F89" s="96">
        <f t="shared" si="14"/>
        <v>167.13000000000002</v>
      </c>
      <c r="G89" s="96">
        <f t="shared" si="14"/>
        <v>287.44</v>
      </c>
      <c r="H89" s="96">
        <f t="shared" si="14"/>
        <v>217.59</v>
      </c>
      <c r="I89" s="96">
        <f t="shared" si="14"/>
        <v>181.52</v>
      </c>
      <c r="J89" s="96">
        <f t="shared" si="14"/>
        <v>221.93</v>
      </c>
      <c r="K89" s="96">
        <f t="shared" si="14"/>
        <v>251.11</v>
      </c>
      <c r="L89" s="96">
        <f t="shared" si="14"/>
        <v>157.95999999999998</v>
      </c>
      <c r="M89" s="96">
        <f t="shared" si="14"/>
        <v>297.58000000000004</v>
      </c>
      <c r="N89" s="96">
        <f t="shared" si="14"/>
        <v>181.82000000000002</v>
      </c>
      <c r="O89" s="96">
        <f t="shared" si="14"/>
        <v>2666.5899999999997</v>
      </c>
    </row>
    <row r="90" spans="1:15" s="98" customFormat="1" x14ac:dyDescent="0.2">
      <c r="B90" s="98" t="s">
        <v>93</v>
      </c>
      <c r="C90" s="99">
        <v>206.36</v>
      </c>
      <c r="D90" s="99">
        <v>212.62</v>
      </c>
      <c r="E90" s="99">
        <v>273.58999999999997</v>
      </c>
      <c r="F90" s="99">
        <v>164.3</v>
      </c>
      <c r="G90" s="99">
        <v>283.05</v>
      </c>
      <c r="H90" s="99">
        <v>213.95</v>
      </c>
      <c r="I90" s="99">
        <v>179.03</v>
      </c>
      <c r="J90" s="99">
        <v>218.55</v>
      </c>
      <c r="K90" s="99">
        <v>247.78</v>
      </c>
      <c r="L90" s="99">
        <v>156.07</v>
      </c>
      <c r="M90" s="99">
        <v>294.92</v>
      </c>
      <c r="N90" s="99">
        <v>179.36</v>
      </c>
      <c r="O90" s="109">
        <f>SUM(C90:N90)</f>
        <v>2629.58</v>
      </c>
    </row>
    <row r="91" spans="1:15" x14ac:dyDescent="0.2">
      <c r="B91" s="90" t="s">
        <v>94</v>
      </c>
      <c r="C91" s="97">
        <v>2.83</v>
      </c>
      <c r="D91" s="97">
        <v>2.82</v>
      </c>
      <c r="E91" s="97">
        <v>4.29</v>
      </c>
      <c r="F91" s="97">
        <v>2.83</v>
      </c>
      <c r="G91" s="97">
        <v>4.3899999999999997</v>
      </c>
      <c r="H91" s="97">
        <v>3.62</v>
      </c>
      <c r="I91" s="97">
        <v>2.4900000000000002</v>
      </c>
      <c r="J91" s="97">
        <v>3.38</v>
      </c>
      <c r="K91" s="97">
        <v>3.33</v>
      </c>
      <c r="L91" s="97">
        <v>1.89</v>
      </c>
      <c r="M91" s="97">
        <v>2.62</v>
      </c>
      <c r="N91" s="97">
        <v>2.46</v>
      </c>
      <c r="O91" s="109">
        <f t="shared" ref="O91:O92" si="15">SUM(C91:N91)</f>
        <v>36.950000000000003</v>
      </c>
    </row>
    <row r="92" spans="1:15" x14ac:dyDescent="0.2">
      <c r="B92" s="90" t="s">
        <v>95</v>
      </c>
      <c r="C92" s="97">
        <v>0</v>
      </c>
      <c r="D92" s="97">
        <v>0</v>
      </c>
      <c r="E92" s="97">
        <v>0</v>
      </c>
      <c r="F92" s="97">
        <v>0</v>
      </c>
      <c r="G92" s="97">
        <v>0</v>
      </c>
      <c r="H92" s="97">
        <v>0.02</v>
      </c>
      <c r="I92" s="97">
        <v>0</v>
      </c>
      <c r="J92" s="97">
        <v>0</v>
      </c>
      <c r="K92" s="97">
        <v>0</v>
      </c>
      <c r="L92" s="97">
        <v>0</v>
      </c>
      <c r="M92" s="97">
        <v>0.04</v>
      </c>
      <c r="N92" s="97">
        <v>0</v>
      </c>
      <c r="O92" s="109">
        <f t="shared" si="15"/>
        <v>0.06</v>
      </c>
    </row>
    <row r="93" spans="1:15" ht="12.75" customHeight="1" x14ac:dyDescent="0.2">
      <c r="C93" s="97"/>
      <c r="D93" s="71"/>
      <c r="E93" s="71"/>
    </row>
    <row r="94" spans="1:15" s="95" customFormat="1" ht="15" x14ac:dyDescent="0.25">
      <c r="A94" s="94" t="s">
        <v>96</v>
      </c>
      <c r="C94" s="96">
        <f>SUM(C95:C99)</f>
        <v>31.42</v>
      </c>
      <c r="D94" s="96">
        <f t="shared" ref="D94:O94" si="16">SUM(D95:D99)</f>
        <v>25.06</v>
      </c>
      <c r="E94" s="96">
        <f t="shared" si="16"/>
        <v>21.299999999999997</v>
      </c>
      <c r="F94" s="96">
        <f t="shared" si="16"/>
        <v>11.9</v>
      </c>
      <c r="G94" s="96">
        <f t="shared" si="16"/>
        <v>21.87</v>
      </c>
      <c r="H94" s="96">
        <f t="shared" si="16"/>
        <v>13.469999999999999</v>
      </c>
      <c r="I94" s="96">
        <f t="shared" si="16"/>
        <v>8.94</v>
      </c>
      <c r="J94" s="96">
        <f t="shared" si="16"/>
        <v>12</v>
      </c>
      <c r="K94" s="96">
        <f t="shared" si="16"/>
        <v>31.18</v>
      </c>
      <c r="L94" s="96">
        <f t="shared" si="16"/>
        <v>3.52</v>
      </c>
      <c r="M94" s="96">
        <f t="shared" si="16"/>
        <v>37.28</v>
      </c>
      <c r="N94" s="96">
        <f t="shared" si="16"/>
        <v>33.869999999999997</v>
      </c>
      <c r="O94" s="96">
        <f t="shared" si="16"/>
        <v>251.81000000000003</v>
      </c>
    </row>
    <row r="95" spans="1:15" x14ac:dyDescent="0.2">
      <c r="B95" s="90" t="s">
        <v>97</v>
      </c>
      <c r="C95" s="97">
        <v>23.44</v>
      </c>
      <c r="D95" s="97">
        <v>23.63</v>
      </c>
      <c r="E95" s="97">
        <v>19.7</v>
      </c>
      <c r="F95" s="97">
        <v>10.5</v>
      </c>
      <c r="G95" s="97">
        <v>19.91</v>
      </c>
      <c r="H95" s="97">
        <v>12</v>
      </c>
      <c r="I95" s="97">
        <v>7.82</v>
      </c>
      <c r="J95" s="97">
        <v>10.51</v>
      </c>
      <c r="K95" s="97">
        <v>29.75</v>
      </c>
      <c r="L95" s="97">
        <v>2.59</v>
      </c>
      <c r="M95" s="97">
        <v>36.08</v>
      </c>
      <c r="N95" s="97">
        <v>32.869999999999997</v>
      </c>
      <c r="O95" s="91">
        <f>SUM(C95:N95)</f>
        <v>228.8</v>
      </c>
    </row>
    <row r="96" spans="1:15" x14ac:dyDescent="0.2">
      <c r="B96" s="90" t="s">
        <v>98</v>
      </c>
      <c r="C96" s="97">
        <v>2.09</v>
      </c>
      <c r="D96" s="97">
        <v>0.62</v>
      </c>
      <c r="E96" s="97">
        <v>0.61</v>
      </c>
      <c r="F96" s="97">
        <v>0.76</v>
      </c>
      <c r="G96" s="97">
        <v>0.91</v>
      </c>
      <c r="H96" s="97">
        <v>0.68</v>
      </c>
      <c r="I96" s="97">
        <v>0.54</v>
      </c>
      <c r="J96" s="97">
        <v>0.67</v>
      </c>
      <c r="K96" s="97">
        <v>0.62</v>
      </c>
      <c r="L96" s="97">
        <v>0.41</v>
      </c>
      <c r="M96" s="97">
        <v>0.43</v>
      </c>
      <c r="N96" s="97">
        <v>0.27</v>
      </c>
      <c r="O96" s="91">
        <f t="shared" ref="O96:O99" si="17">SUM(C96:N96)</f>
        <v>8.61</v>
      </c>
    </row>
    <row r="97" spans="1:15" x14ac:dyDescent="0.2">
      <c r="B97" s="90" t="s">
        <v>99</v>
      </c>
      <c r="C97" s="97">
        <v>5.89</v>
      </c>
      <c r="D97" s="97">
        <v>0.81</v>
      </c>
      <c r="E97" s="97">
        <v>0.99</v>
      </c>
      <c r="F97" s="97">
        <v>0.64</v>
      </c>
      <c r="G97" s="97">
        <v>1.05</v>
      </c>
      <c r="H97" s="97">
        <v>0.79</v>
      </c>
      <c r="I97" s="97">
        <v>0.57999999999999996</v>
      </c>
      <c r="J97" s="97">
        <v>0.82</v>
      </c>
      <c r="K97" s="97">
        <v>0.81</v>
      </c>
      <c r="L97" s="97">
        <v>0.52</v>
      </c>
      <c r="M97" s="97">
        <v>0.77</v>
      </c>
      <c r="N97" s="97">
        <v>0.73</v>
      </c>
      <c r="O97" s="91">
        <f t="shared" si="17"/>
        <v>14.400000000000002</v>
      </c>
    </row>
    <row r="98" spans="1:15" x14ac:dyDescent="0.2">
      <c r="B98" s="90" t="s">
        <v>100</v>
      </c>
      <c r="C98" s="97">
        <v>0</v>
      </c>
      <c r="D98" s="97">
        <v>0</v>
      </c>
      <c r="E98" s="97">
        <v>0</v>
      </c>
      <c r="F98" s="97">
        <v>0</v>
      </c>
      <c r="G98" s="97">
        <v>0</v>
      </c>
      <c r="H98" s="97">
        <v>0</v>
      </c>
      <c r="I98" s="97">
        <v>0</v>
      </c>
      <c r="J98" s="97">
        <v>0</v>
      </c>
      <c r="K98" s="97">
        <v>0</v>
      </c>
      <c r="L98" s="97">
        <v>0</v>
      </c>
      <c r="M98" s="97">
        <v>0</v>
      </c>
      <c r="N98" s="97">
        <v>0</v>
      </c>
      <c r="O98" s="91">
        <f t="shared" si="17"/>
        <v>0</v>
      </c>
    </row>
    <row r="99" spans="1:15" x14ac:dyDescent="0.2">
      <c r="B99" s="90" t="s">
        <v>101</v>
      </c>
      <c r="C99" s="97">
        <v>0</v>
      </c>
      <c r="D99" s="97">
        <v>0</v>
      </c>
      <c r="E99" s="104">
        <v>0</v>
      </c>
      <c r="F99" s="104">
        <v>0</v>
      </c>
      <c r="G99" s="102">
        <v>0</v>
      </c>
      <c r="H99" s="102">
        <v>0</v>
      </c>
      <c r="I99" s="91">
        <v>0</v>
      </c>
      <c r="J99" s="102">
        <v>0</v>
      </c>
      <c r="K99" s="91">
        <v>0</v>
      </c>
      <c r="L99" s="91">
        <v>0</v>
      </c>
      <c r="M99" s="91">
        <v>0</v>
      </c>
      <c r="N99" s="72">
        <v>0</v>
      </c>
      <c r="O99" s="91">
        <f t="shared" si="17"/>
        <v>0</v>
      </c>
    </row>
    <row r="100" spans="1:15" ht="12.75" customHeight="1" x14ac:dyDescent="0.2">
      <c r="C100" s="97"/>
      <c r="D100" s="71"/>
      <c r="E100" s="71"/>
    </row>
    <row r="101" spans="1:15" s="95" customFormat="1" ht="15" x14ac:dyDescent="0.25">
      <c r="A101" s="94" t="s">
        <v>102</v>
      </c>
      <c r="C101" s="96">
        <f>SUM(C102:C105)</f>
        <v>1.88</v>
      </c>
      <c r="D101" s="96">
        <f t="shared" ref="D101:O101" si="18">SUM(D102:D105)</f>
        <v>2.65</v>
      </c>
      <c r="E101" s="96">
        <f t="shared" si="18"/>
        <v>13.57</v>
      </c>
      <c r="F101" s="96">
        <f t="shared" si="18"/>
        <v>7.35</v>
      </c>
      <c r="G101" s="96">
        <f t="shared" si="18"/>
        <v>4.8600000000000003</v>
      </c>
      <c r="H101" s="96">
        <f t="shared" si="18"/>
        <v>3.25</v>
      </c>
      <c r="I101" s="96">
        <f t="shared" si="18"/>
        <v>3.75</v>
      </c>
      <c r="J101" s="96">
        <f t="shared" si="18"/>
        <v>1.9899999999999998</v>
      </c>
      <c r="K101" s="96">
        <f t="shared" si="18"/>
        <v>12.610000000000001</v>
      </c>
      <c r="L101" s="96">
        <f t="shared" si="18"/>
        <v>6.8999999999999995</v>
      </c>
      <c r="M101" s="96">
        <f t="shared" si="18"/>
        <v>8.57</v>
      </c>
      <c r="N101" s="96">
        <f t="shared" si="18"/>
        <v>4.33</v>
      </c>
      <c r="O101" s="96">
        <f t="shared" si="18"/>
        <v>71.709999999999994</v>
      </c>
    </row>
    <row r="102" spans="1:15" x14ac:dyDescent="0.2">
      <c r="B102" s="90" t="s">
        <v>103</v>
      </c>
      <c r="C102" s="97">
        <v>0.87</v>
      </c>
      <c r="D102" s="97">
        <v>1.22</v>
      </c>
      <c r="E102" s="97">
        <v>0.56000000000000005</v>
      </c>
      <c r="F102" s="97">
        <v>0.22</v>
      </c>
      <c r="G102" s="97">
        <v>0.34</v>
      </c>
      <c r="H102" s="97">
        <v>0.91</v>
      </c>
      <c r="I102" s="97">
        <v>1.1499999999999999</v>
      </c>
      <c r="J102" s="97">
        <v>0.23</v>
      </c>
      <c r="K102" s="97">
        <v>0.26</v>
      </c>
      <c r="L102" s="97">
        <v>0.08</v>
      </c>
      <c r="M102" s="97">
        <v>0.33</v>
      </c>
      <c r="N102" s="97">
        <v>0.55000000000000004</v>
      </c>
      <c r="O102" s="91">
        <f>SUM(C102:N102)</f>
        <v>6.72</v>
      </c>
    </row>
    <row r="103" spans="1:15" x14ac:dyDescent="0.2">
      <c r="B103" s="90" t="s">
        <v>104</v>
      </c>
      <c r="C103" s="97">
        <v>0</v>
      </c>
      <c r="D103" s="97">
        <v>0.03</v>
      </c>
      <c r="E103" s="97">
        <v>3.22</v>
      </c>
      <c r="F103" s="97">
        <v>1.04</v>
      </c>
      <c r="G103" s="97">
        <v>0.01</v>
      </c>
      <c r="H103" s="97">
        <v>0.26</v>
      </c>
      <c r="I103" s="97">
        <v>0.55000000000000004</v>
      </c>
      <c r="J103" s="97">
        <v>0.12</v>
      </c>
      <c r="K103" s="97">
        <v>5.01</v>
      </c>
      <c r="L103" s="97">
        <v>0.6</v>
      </c>
      <c r="M103" s="97">
        <v>2.33</v>
      </c>
      <c r="N103" s="97">
        <v>1.68</v>
      </c>
      <c r="O103" s="91">
        <f t="shared" ref="O103:O105" si="19">SUM(C103:N103)</f>
        <v>14.849999999999998</v>
      </c>
    </row>
    <row r="104" spans="1:15" x14ac:dyDescent="0.2">
      <c r="B104" s="90" t="s">
        <v>105</v>
      </c>
      <c r="C104" s="97">
        <v>0.39</v>
      </c>
      <c r="D104" s="97">
        <v>0.43</v>
      </c>
      <c r="E104" s="97">
        <v>9.06</v>
      </c>
      <c r="F104" s="97">
        <v>5.46</v>
      </c>
      <c r="G104" s="97">
        <v>3.46</v>
      </c>
      <c r="H104" s="97">
        <v>0.49</v>
      </c>
      <c r="I104" s="97">
        <v>1.41</v>
      </c>
      <c r="J104" s="97">
        <v>1.22</v>
      </c>
      <c r="K104" s="97">
        <v>6.28</v>
      </c>
      <c r="L104" s="97">
        <v>6.02</v>
      </c>
      <c r="M104" s="97">
        <v>5</v>
      </c>
      <c r="N104" s="97">
        <v>1.26</v>
      </c>
      <c r="O104" s="91">
        <f t="shared" si="19"/>
        <v>40.479999999999997</v>
      </c>
    </row>
    <row r="105" spans="1:15" x14ac:dyDescent="0.2">
      <c r="B105" s="90" t="s">
        <v>106</v>
      </c>
      <c r="C105" s="97">
        <v>0.62</v>
      </c>
      <c r="D105" s="97">
        <v>0.97</v>
      </c>
      <c r="E105" s="97">
        <v>0.73</v>
      </c>
      <c r="F105" s="97">
        <v>0.63</v>
      </c>
      <c r="G105" s="97">
        <v>1.05</v>
      </c>
      <c r="H105" s="97">
        <v>1.59</v>
      </c>
      <c r="I105" s="97">
        <v>0.64</v>
      </c>
      <c r="J105" s="97">
        <v>0.42</v>
      </c>
      <c r="K105" s="97">
        <v>1.06</v>
      </c>
      <c r="L105" s="97">
        <v>0.2</v>
      </c>
      <c r="M105" s="97">
        <v>0.91</v>
      </c>
      <c r="N105" s="97">
        <v>0.84</v>
      </c>
      <c r="O105" s="91">
        <f t="shared" si="19"/>
        <v>9.6599999999999984</v>
      </c>
    </row>
    <row r="106" spans="1:15" ht="12.75" customHeight="1" x14ac:dyDescent="0.2">
      <c r="C106" s="97"/>
      <c r="D106" s="71"/>
      <c r="E106" s="71"/>
    </row>
    <row r="107" spans="1:15" s="95" customFormat="1" ht="15" x14ac:dyDescent="0.25">
      <c r="A107" s="94" t="s">
        <v>107</v>
      </c>
      <c r="C107" s="96">
        <f>SUM(C108:C112)</f>
        <v>874.15</v>
      </c>
      <c r="D107" s="96">
        <f t="shared" ref="D107:O107" si="20">SUM(D108:D112)</f>
        <v>789.78</v>
      </c>
      <c r="E107" s="96">
        <f t="shared" si="20"/>
        <v>1052.67</v>
      </c>
      <c r="F107" s="96">
        <f t="shared" si="20"/>
        <v>625.1099999999999</v>
      </c>
      <c r="G107" s="96">
        <f t="shared" si="20"/>
        <v>1131.93</v>
      </c>
      <c r="H107" s="96">
        <f t="shared" si="20"/>
        <v>941.66</v>
      </c>
      <c r="I107" s="96">
        <f t="shared" si="20"/>
        <v>893.57999999999993</v>
      </c>
      <c r="J107" s="96">
        <f t="shared" si="20"/>
        <v>1015.98</v>
      </c>
      <c r="K107" s="96">
        <f t="shared" si="20"/>
        <v>1210.1500000000001</v>
      </c>
      <c r="L107" s="96">
        <f t="shared" si="20"/>
        <v>726.58</v>
      </c>
      <c r="M107" s="96">
        <f t="shared" si="20"/>
        <v>1471.59</v>
      </c>
      <c r="N107" s="96">
        <f t="shared" si="20"/>
        <v>860.19</v>
      </c>
      <c r="O107" s="96">
        <f t="shared" si="20"/>
        <v>11593.369999999999</v>
      </c>
    </row>
    <row r="108" spans="1:15" x14ac:dyDescent="0.2">
      <c r="B108" s="90" t="s">
        <v>108</v>
      </c>
      <c r="C108" s="97">
        <v>3.34</v>
      </c>
      <c r="D108" s="97">
        <v>5.45</v>
      </c>
      <c r="E108" s="97">
        <v>6.57</v>
      </c>
      <c r="F108" s="97">
        <v>4.18</v>
      </c>
      <c r="G108" s="97">
        <v>7.55</v>
      </c>
      <c r="H108" s="97">
        <v>5.68</v>
      </c>
      <c r="I108" s="97">
        <v>4.1100000000000003</v>
      </c>
      <c r="J108" s="97">
        <v>6.68</v>
      </c>
      <c r="K108" s="97">
        <v>7.45</v>
      </c>
      <c r="L108" s="97">
        <v>3.27</v>
      </c>
      <c r="M108" s="97">
        <v>5.08</v>
      </c>
      <c r="N108" s="97">
        <v>3.87</v>
      </c>
      <c r="O108" s="91">
        <f>SUM(C108:N108)</f>
        <v>63.23</v>
      </c>
    </row>
    <row r="109" spans="1:15" x14ac:dyDescent="0.2">
      <c r="B109" s="90" t="s">
        <v>109</v>
      </c>
      <c r="C109" s="97">
        <v>0.06</v>
      </c>
      <c r="D109" s="97">
        <v>7.0000000000000007E-2</v>
      </c>
      <c r="E109" s="97">
        <v>0.12</v>
      </c>
      <c r="F109" s="97">
        <v>0.14000000000000001</v>
      </c>
      <c r="G109" s="97">
        <v>0.2</v>
      </c>
      <c r="H109" s="97">
        <v>0.21</v>
      </c>
      <c r="I109" s="97">
        <v>0.04</v>
      </c>
      <c r="J109" s="97">
        <v>0.69</v>
      </c>
      <c r="K109" s="97">
        <v>0.13</v>
      </c>
      <c r="L109" s="97">
        <v>0.1</v>
      </c>
      <c r="M109" s="97">
        <v>0.3</v>
      </c>
      <c r="N109" s="97">
        <v>0.06</v>
      </c>
      <c r="O109" s="91">
        <f t="shared" ref="O109:O112" si="21">SUM(C109:N109)</f>
        <v>2.12</v>
      </c>
    </row>
    <row r="110" spans="1:15" x14ac:dyDescent="0.2">
      <c r="B110" s="90" t="s">
        <v>110</v>
      </c>
      <c r="C110" s="97">
        <v>357.87</v>
      </c>
      <c r="D110" s="97">
        <v>331.72</v>
      </c>
      <c r="E110" s="97">
        <v>395.67</v>
      </c>
      <c r="F110" s="97">
        <v>265.87</v>
      </c>
      <c r="G110" s="97">
        <v>416.81</v>
      </c>
      <c r="H110" s="97">
        <v>371.22</v>
      </c>
      <c r="I110" s="97">
        <v>347.48</v>
      </c>
      <c r="J110" s="97">
        <v>391.31</v>
      </c>
      <c r="K110" s="97">
        <v>502.62</v>
      </c>
      <c r="L110" s="97">
        <v>234.64</v>
      </c>
      <c r="M110" s="97">
        <v>435.53</v>
      </c>
      <c r="N110" s="97">
        <v>340.45</v>
      </c>
      <c r="O110" s="91">
        <f t="shared" si="21"/>
        <v>4391.1899999999996</v>
      </c>
    </row>
    <row r="111" spans="1:15" x14ac:dyDescent="0.2">
      <c r="B111" s="90" t="s">
        <v>111</v>
      </c>
      <c r="C111" s="97">
        <v>463.63</v>
      </c>
      <c r="D111" s="97">
        <v>384.99</v>
      </c>
      <c r="E111" s="97">
        <v>566.70000000000005</v>
      </c>
      <c r="F111" s="97">
        <v>316.11</v>
      </c>
      <c r="G111" s="97">
        <v>622.87</v>
      </c>
      <c r="H111" s="97">
        <v>504.71</v>
      </c>
      <c r="I111" s="97">
        <v>484.51</v>
      </c>
      <c r="J111" s="97">
        <v>545.04999999999995</v>
      </c>
      <c r="K111" s="97">
        <v>631.58000000000004</v>
      </c>
      <c r="L111" s="97">
        <v>448.5</v>
      </c>
      <c r="M111" s="97">
        <v>972.27</v>
      </c>
      <c r="N111" s="97">
        <v>471.57</v>
      </c>
      <c r="O111" s="91">
        <f t="shared" si="21"/>
        <v>6412.49</v>
      </c>
    </row>
    <row r="112" spans="1:15" x14ac:dyDescent="0.2">
      <c r="B112" s="90" t="s">
        <v>112</v>
      </c>
      <c r="C112" s="97">
        <v>49.25</v>
      </c>
      <c r="D112" s="97">
        <v>67.55</v>
      </c>
      <c r="E112" s="97">
        <v>83.61</v>
      </c>
      <c r="F112" s="97">
        <v>38.81</v>
      </c>
      <c r="G112" s="97">
        <v>84.5</v>
      </c>
      <c r="H112" s="97">
        <v>59.84</v>
      </c>
      <c r="I112" s="97">
        <v>57.44</v>
      </c>
      <c r="J112" s="97">
        <v>72.25</v>
      </c>
      <c r="K112" s="97">
        <v>68.37</v>
      </c>
      <c r="L112" s="97">
        <v>40.07</v>
      </c>
      <c r="M112" s="97">
        <v>58.41</v>
      </c>
      <c r="N112" s="97">
        <v>44.24</v>
      </c>
      <c r="O112" s="91">
        <f t="shared" si="21"/>
        <v>724.34</v>
      </c>
    </row>
    <row r="113" spans="1:15" x14ac:dyDescent="0.2">
      <c r="C113" s="97"/>
      <c r="D113" s="71"/>
      <c r="E113" s="71"/>
    </row>
    <row r="114" spans="1:15" s="95" customFormat="1" ht="15" x14ac:dyDescent="0.25">
      <c r="A114" s="94" t="s">
        <v>113</v>
      </c>
      <c r="C114" s="96">
        <f>SUM(C115:C122)</f>
        <v>92.78</v>
      </c>
      <c r="D114" s="96">
        <f t="shared" ref="D114:O114" si="22">SUM(D115:D122)</f>
        <v>113.23</v>
      </c>
      <c r="E114" s="96">
        <f t="shared" si="22"/>
        <v>95.22</v>
      </c>
      <c r="F114" s="96">
        <f t="shared" si="22"/>
        <v>62.39</v>
      </c>
      <c r="G114" s="96">
        <f t="shared" si="22"/>
        <v>519.37</v>
      </c>
      <c r="H114" s="96">
        <f t="shared" si="22"/>
        <v>146.30999999999997</v>
      </c>
      <c r="I114" s="96">
        <f t="shared" si="22"/>
        <v>73.75</v>
      </c>
      <c r="J114" s="96">
        <f t="shared" si="22"/>
        <v>133.78</v>
      </c>
      <c r="K114" s="96">
        <f t="shared" si="22"/>
        <v>115.82000000000002</v>
      </c>
      <c r="L114" s="96">
        <f t="shared" si="22"/>
        <v>70.92</v>
      </c>
      <c r="M114" s="96">
        <f t="shared" si="22"/>
        <v>106.99000000000001</v>
      </c>
      <c r="N114" s="96">
        <f t="shared" si="22"/>
        <v>80.200000000000017</v>
      </c>
      <c r="O114" s="96">
        <f t="shared" si="22"/>
        <v>1610.7599999999998</v>
      </c>
    </row>
    <row r="115" spans="1:15" s="98" customFormat="1" x14ac:dyDescent="0.2">
      <c r="B115" s="98" t="s">
        <v>108</v>
      </c>
      <c r="C115" s="99">
        <v>57.98</v>
      </c>
      <c r="D115" s="99">
        <v>31.21</v>
      </c>
      <c r="E115" s="99">
        <v>51.1</v>
      </c>
      <c r="F115" s="99">
        <v>39.549999999999997</v>
      </c>
      <c r="G115" s="99">
        <v>465.94</v>
      </c>
      <c r="H115" s="99">
        <v>98.09</v>
      </c>
      <c r="I115" s="99">
        <v>58.13</v>
      </c>
      <c r="J115" s="99">
        <v>95.65</v>
      </c>
      <c r="K115" s="99">
        <v>94.04</v>
      </c>
      <c r="L115" s="99">
        <v>54.72</v>
      </c>
      <c r="M115" s="99">
        <v>89.88</v>
      </c>
      <c r="N115" s="99">
        <v>65.790000000000006</v>
      </c>
      <c r="O115" s="109">
        <f>SUM(C115:N115)</f>
        <v>1202.08</v>
      </c>
    </row>
    <row r="116" spans="1:15" x14ac:dyDescent="0.2">
      <c r="B116" s="90" t="s">
        <v>114</v>
      </c>
      <c r="C116" s="97">
        <v>0</v>
      </c>
      <c r="D116" s="97">
        <v>0</v>
      </c>
      <c r="E116" s="97">
        <v>0</v>
      </c>
      <c r="F116" s="97">
        <v>0</v>
      </c>
      <c r="G116" s="97">
        <v>0.01</v>
      </c>
      <c r="H116" s="97">
        <v>0.02</v>
      </c>
      <c r="I116" s="97">
        <v>0.01</v>
      </c>
      <c r="J116" s="97">
        <v>0.01</v>
      </c>
      <c r="K116" s="97">
        <v>0.01</v>
      </c>
      <c r="L116" s="97">
        <v>0.02</v>
      </c>
      <c r="M116" s="97">
        <v>0.04</v>
      </c>
      <c r="N116" s="97">
        <v>0</v>
      </c>
      <c r="O116" s="109">
        <f t="shared" ref="O116:O122" si="23">SUM(C116:N116)</f>
        <v>0.12</v>
      </c>
    </row>
    <row r="117" spans="1:15" x14ac:dyDescent="0.2">
      <c r="B117" s="90" t="s">
        <v>115</v>
      </c>
      <c r="C117" s="97">
        <v>0.14000000000000001</v>
      </c>
      <c r="D117" s="97">
        <v>0.16</v>
      </c>
      <c r="E117" s="97">
        <v>0.1</v>
      </c>
      <c r="F117" s="97">
        <v>0.1</v>
      </c>
      <c r="G117" s="97">
        <v>0.14000000000000001</v>
      </c>
      <c r="H117" s="97">
        <v>0.23</v>
      </c>
      <c r="I117" s="97">
        <v>0.1</v>
      </c>
      <c r="J117" s="97">
        <v>0.18</v>
      </c>
      <c r="K117" s="97">
        <v>0.12</v>
      </c>
      <c r="L117" s="97">
        <v>0.1</v>
      </c>
      <c r="M117" s="97">
        <v>0.14000000000000001</v>
      </c>
      <c r="N117" s="97">
        <v>0.09</v>
      </c>
      <c r="O117" s="109">
        <f t="shared" si="23"/>
        <v>1.6000000000000003</v>
      </c>
    </row>
    <row r="118" spans="1:15" x14ac:dyDescent="0.2">
      <c r="B118" s="90" t="s">
        <v>116</v>
      </c>
      <c r="C118" s="97">
        <v>0</v>
      </c>
      <c r="D118" s="97">
        <v>0</v>
      </c>
      <c r="E118" s="97">
        <v>0</v>
      </c>
      <c r="F118" s="97">
        <v>0</v>
      </c>
      <c r="G118" s="97">
        <v>0</v>
      </c>
      <c r="H118" s="97">
        <v>0.02</v>
      </c>
      <c r="I118" s="97">
        <v>0</v>
      </c>
      <c r="J118" s="97">
        <v>0.01</v>
      </c>
      <c r="K118" s="97">
        <v>0</v>
      </c>
      <c r="L118" s="97">
        <v>0.04</v>
      </c>
      <c r="M118" s="97">
        <v>0.01</v>
      </c>
      <c r="N118" s="97">
        <v>0.01</v>
      </c>
      <c r="O118" s="109">
        <f t="shared" si="23"/>
        <v>0.09</v>
      </c>
    </row>
    <row r="119" spans="1:15" ht="12.75" customHeight="1" x14ac:dyDescent="0.2">
      <c r="B119" s="90" t="s">
        <v>117</v>
      </c>
      <c r="C119" s="97">
        <v>0.08</v>
      </c>
      <c r="D119" s="97">
        <v>0</v>
      </c>
      <c r="E119" s="97">
        <v>0.04</v>
      </c>
      <c r="F119" s="97">
        <v>0.09</v>
      </c>
      <c r="G119" s="97">
        <v>0.08</v>
      </c>
      <c r="H119" s="97">
        <v>0</v>
      </c>
      <c r="I119" s="97">
        <v>0</v>
      </c>
      <c r="J119" s="97">
        <v>0.21</v>
      </c>
      <c r="K119" s="97">
        <v>0.09</v>
      </c>
      <c r="L119" s="97">
        <v>0.04</v>
      </c>
      <c r="M119" s="97">
        <v>0</v>
      </c>
      <c r="N119" s="97">
        <v>0</v>
      </c>
      <c r="O119" s="109">
        <f t="shared" si="23"/>
        <v>0.63</v>
      </c>
    </row>
    <row r="120" spans="1:15" x14ac:dyDescent="0.2">
      <c r="B120" s="90" t="s">
        <v>118</v>
      </c>
      <c r="C120" s="97">
        <v>33.64</v>
      </c>
      <c r="D120" s="97">
        <v>80.75</v>
      </c>
      <c r="E120" s="97">
        <v>40.49</v>
      </c>
      <c r="F120" s="97">
        <v>14.6</v>
      </c>
      <c r="G120" s="97">
        <v>48.37</v>
      </c>
      <c r="H120" s="97">
        <v>45.36</v>
      </c>
      <c r="I120" s="97">
        <v>14.01</v>
      </c>
      <c r="J120" s="97">
        <v>27.86</v>
      </c>
      <c r="K120" s="97">
        <v>18.77</v>
      </c>
      <c r="L120" s="97">
        <v>11.3</v>
      </c>
      <c r="M120" s="97">
        <v>13.78</v>
      </c>
      <c r="N120" s="97">
        <v>13.22</v>
      </c>
      <c r="O120" s="109">
        <f t="shared" si="23"/>
        <v>362.15</v>
      </c>
    </row>
    <row r="121" spans="1:15" ht="12.75" customHeight="1" x14ac:dyDescent="0.2">
      <c r="B121" s="90" t="s">
        <v>119</v>
      </c>
      <c r="C121" s="97">
        <v>0.8</v>
      </c>
      <c r="D121" s="97">
        <v>1.01</v>
      </c>
      <c r="E121" s="97">
        <v>3.44</v>
      </c>
      <c r="F121" s="97">
        <v>7.93</v>
      </c>
      <c r="G121" s="97">
        <v>4.6100000000000003</v>
      </c>
      <c r="H121" s="97">
        <v>2.42</v>
      </c>
      <c r="I121" s="97">
        <v>1.21</v>
      </c>
      <c r="J121" s="97">
        <v>9.32</v>
      </c>
      <c r="K121" s="97">
        <v>2.5099999999999998</v>
      </c>
      <c r="L121" s="97">
        <v>0.68</v>
      </c>
      <c r="M121" s="97">
        <v>2.59</v>
      </c>
      <c r="N121" s="97">
        <v>0.94</v>
      </c>
      <c r="O121" s="109">
        <f t="shared" si="23"/>
        <v>37.459999999999994</v>
      </c>
    </row>
    <row r="122" spans="1:15" ht="12.75" customHeight="1" x14ac:dyDescent="0.2">
      <c r="B122" s="90" t="s">
        <v>120</v>
      </c>
      <c r="C122" s="97">
        <v>0.14000000000000001</v>
      </c>
      <c r="D122" s="97">
        <v>0.1</v>
      </c>
      <c r="E122" s="97">
        <v>0.05</v>
      </c>
      <c r="F122" s="97">
        <v>0.12</v>
      </c>
      <c r="G122" s="97">
        <v>0.22</v>
      </c>
      <c r="H122" s="97">
        <v>0.17</v>
      </c>
      <c r="I122" s="97">
        <v>0.28999999999999998</v>
      </c>
      <c r="J122" s="97">
        <v>0.54</v>
      </c>
      <c r="K122" s="97">
        <v>0.28000000000000003</v>
      </c>
      <c r="L122" s="97">
        <v>4.0199999999999996</v>
      </c>
      <c r="M122" s="97">
        <v>0.55000000000000004</v>
      </c>
      <c r="N122" s="97">
        <v>0.15</v>
      </c>
      <c r="O122" s="109">
        <f t="shared" si="23"/>
        <v>6.63</v>
      </c>
    </row>
    <row r="123" spans="1:15" ht="12.75" customHeight="1" x14ac:dyDescent="0.2">
      <c r="C123" s="97"/>
      <c r="D123" s="71"/>
      <c r="E123" s="71"/>
    </row>
    <row r="124" spans="1:15" s="95" customFormat="1" ht="12.75" customHeight="1" x14ac:dyDescent="0.25">
      <c r="A124" s="94" t="s">
        <v>121</v>
      </c>
      <c r="C124" s="96">
        <f>C125</f>
        <v>3.85</v>
      </c>
      <c r="D124" s="96">
        <f t="shared" ref="D124:O124" si="24">D125</f>
        <v>8.69</v>
      </c>
      <c r="E124" s="96">
        <f t="shared" si="24"/>
        <v>3.02</v>
      </c>
      <c r="F124" s="96">
        <f t="shared" si="24"/>
        <v>1.83</v>
      </c>
      <c r="G124" s="96">
        <f t="shared" si="24"/>
        <v>5.83</v>
      </c>
      <c r="H124" s="96">
        <f t="shared" si="24"/>
        <v>3.22</v>
      </c>
      <c r="I124" s="96">
        <f t="shared" si="24"/>
        <v>2.06</v>
      </c>
      <c r="J124" s="96">
        <f t="shared" si="24"/>
        <v>1.92</v>
      </c>
      <c r="K124" s="96">
        <f t="shared" si="24"/>
        <v>2.0099999999999998</v>
      </c>
      <c r="L124" s="96">
        <f t="shared" si="24"/>
        <v>3.73</v>
      </c>
      <c r="M124" s="96">
        <f t="shared" si="24"/>
        <v>5.17</v>
      </c>
      <c r="N124" s="96">
        <f t="shared" si="24"/>
        <v>2.1</v>
      </c>
      <c r="O124" s="96">
        <f t="shared" si="24"/>
        <v>43.429999999999993</v>
      </c>
    </row>
    <row r="125" spans="1:15" ht="12.75" customHeight="1" x14ac:dyDescent="0.2">
      <c r="B125" s="90" t="s">
        <v>108</v>
      </c>
      <c r="C125" s="97">
        <v>3.85</v>
      </c>
      <c r="D125" s="97">
        <v>8.69</v>
      </c>
      <c r="E125" s="97">
        <v>3.02</v>
      </c>
      <c r="F125" s="97">
        <v>1.83</v>
      </c>
      <c r="G125" s="97">
        <v>5.83</v>
      </c>
      <c r="H125" s="97">
        <v>3.22</v>
      </c>
      <c r="I125" s="97">
        <v>2.06</v>
      </c>
      <c r="J125" s="97">
        <v>1.92</v>
      </c>
      <c r="K125" s="97">
        <v>2.0099999999999998</v>
      </c>
      <c r="L125" s="97">
        <v>3.73</v>
      </c>
      <c r="M125" s="97">
        <v>5.17</v>
      </c>
      <c r="N125" s="97">
        <v>2.1</v>
      </c>
      <c r="O125" s="91">
        <f>SUM(C125:N125)</f>
        <v>43.429999999999993</v>
      </c>
    </row>
    <row r="126" spans="1:15" ht="12.75" customHeight="1" x14ac:dyDescent="0.2">
      <c r="C126" s="97"/>
      <c r="D126" s="71"/>
      <c r="E126" s="71"/>
    </row>
    <row r="127" spans="1:15" s="95" customFormat="1" ht="15" x14ac:dyDescent="0.25">
      <c r="A127" s="94" t="s">
        <v>122</v>
      </c>
      <c r="C127" s="96">
        <f t="shared" ref="C127:O127" si="25">SUM(C128:C131)</f>
        <v>72.45</v>
      </c>
      <c r="D127" s="96">
        <f t="shared" si="25"/>
        <v>55.309999999999995</v>
      </c>
      <c r="E127" s="96">
        <f t="shared" si="25"/>
        <v>101.53</v>
      </c>
      <c r="F127" s="96">
        <f t="shared" si="25"/>
        <v>55.220000000000006</v>
      </c>
      <c r="G127" s="96">
        <f t="shared" si="25"/>
        <v>163.20000000000002</v>
      </c>
      <c r="H127" s="96">
        <f t="shared" si="25"/>
        <v>115.16</v>
      </c>
      <c r="I127" s="96">
        <f t="shared" si="25"/>
        <v>36.340000000000003</v>
      </c>
      <c r="J127" s="96">
        <f t="shared" si="25"/>
        <v>242.69</v>
      </c>
      <c r="K127" s="96">
        <f t="shared" si="25"/>
        <v>132.97999999999999</v>
      </c>
      <c r="L127" s="96">
        <f t="shared" si="25"/>
        <v>86.45</v>
      </c>
      <c r="M127" s="96">
        <f t="shared" si="25"/>
        <v>107.74</v>
      </c>
      <c r="N127" s="96">
        <f t="shared" si="25"/>
        <v>105.62</v>
      </c>
      <c r="O127" s="96">
        <f t="shared" si="25"/>
        <v>1274.69</v>
      </c>
    </row>
    <row r="128" spans="1:15" x14ac:dyDescent="0.2">
      <c r="B128" s="90" t="s">
        <v>123</v>
      </c>
      <c r="C128" s="97">
        <v>0</v>
      </c>
      <c r="D128" s="97">
        <v>0</v>
      </c>
      <c r="E128" s="97">
        <v>0</v>
      </c>
      <c r="F128" s="97">
        <v>0</v>
      </c>
      <c r="G128" s="97">
        <v>0</v>
      </c>
      <c r="H128" s="97">
        <v>0</v>
      </c>
      <c r="I128" s="97">
        <v>0</v>
      </c>
      <c r="J128" s="97">
        <v>0</v>
      </c>
      <c r="K128" s="97">
        <v>0</v>
      </c>
      <c r="L128" s="97">
        <v>0</v>
      </c>
      <c r="M128" s="97">
        <v>0</v>
      </c>
      <c r="N128" s="72">
        <v>0</v>
      </c>
      <c r="O128" s="91">
        <f>SUM(C128:N128)</f>
        <v>0</v>
      </c>
    </row>
    <row r="129" spans="1:15" s="98" customFormat="1" x14ac:dyDescent="0.2">
      <c r="B129" s="98" t="s">
        <v>124</v>
      </c>
      <c r="C129" s="99">
        <v>72.19</v>
      </c>
      <c r="D129" s="99">
        <v>55.3</v>
      </c>
      <c r="E129" s="99">
        <v>101.41</v>
      </c>
      <c r="F129" s="99">
        <v>55.2</v>
      </c>
      <c r="G129" s="99">
        <v>163.15</v>
      </c>
      <c r="H129" s="99">
        <v>115.11</v>
      </c>
      <c r="I129" s="99">
        <v>36.31</v>
      </c>
      <c r="J129" s="99">
        <v>242.55</v>
      </c>
      <c r="K129" s="99">
        <v>132.72999999999999</v>
      </c>
      <c r="L129" s="99">
        <v>86.43</v>
      </c>
      <c r="M129" s="99">
        <v>107.53</v>
      </c>
      <c r="N129" s="99">
        <v>105.26</v>
      </c>
      <c r="O129" s="91">
        <f t="shared" ref="O129:O131" si="26">SUM(C129:N129)</f>
        <v>1273.17</v>
      </c>
    </row>
    <row r="130" spans="1:15" x14ac:dyDescent="0.2">
      <c r="B130" s="90" t="s">
        <v>126</v>
      </c>
      <c r="C130" s="97">
        <v>0.04</v>
      </c>
      <c r="D130" s="97">
        <v>0.01</v>
      </c>
      <c r="E130" s="97">
        <v>0.12</v>
      </c>
      <c r="F130" s="97">
        <v>0.02</v>
      </c>
      <c r="G130" s="97">
        <v>0.05</v>
      </c>
      <c r="H130" s="97">
        <v>0.05</v>
      </c>
      <c r="I130" s="97">
        <v>0.03</v>
      </c>
      <c r="J130" s="97">
        <v>0.14000000000000001</v>
      </c>
      <c r="K130" s="97">
        <v>0.23</v>
      </c>
      <c r="L130" s="97">
        <v>0.02</v>
      </c>
      <c r="M130" s="97">
        <v>0.21</v>
      </c>
      <c r="N130" s="97">
        <v>0.36</v>
      </c>
      <c r="O130" s="91">
        <f t="shared" si="26"/>
        <v>1.2799999999999998</v>
      </c>
    </row>
    <row r="131" spans="1:15" x14ac:dyDescent="0.2">
      <c r="B131" s="90" t="s">
        <v>127</v>
      </c>
      <c r="C131" s="97">
        <v>0.22</v>
      </c>
      <c r="D131" s="97">
        <v>0</v>
      </c>
      <c r="E131" s="97">
        <v>0</v>
      </c>
      <c r="F131" s="97">
        <v>0</v>
      </c>
      <c r="G131" s="97">
        <v>0</v>
      </c>
      <c r="H131" s="97">
        <v>0</v>
      </c>
      <c r="I131" s="97">
        <v>0</v>
      </c>
      <c r="J131" s="97">
        <v>0</v>
      </c>
      <c r="K131" s="97">
        <v>0.02</v>
      </c>
      <c r="L131" s="97">
        <v>0</v>
      </c>
      <c r="M131" s="97">
        <v>0</v>
      </c>
      <c r="N131" s="97">
        <v>0</v>
      </c>
      <c r="O131" s="91">
        <f t="shared" si="26"/>
        <v>0.24</v>
      </c>
    </row>
    <row r="132" spans="1:15" x14ac:dyDescent="0.2">
      <c r="C132" s="97"/>
      <c r="D132" s="71"/>
      <c r="E132" s="71"/>
    </row>
    <row r="133" spans="1:15" s="95" customFormat="1" ht="15" x14ac:dyDescent="0.25">
      <c r="A133" s="94" t="s">
        <v>128</v>
      </c>
      <c r="C133" s="96">
        <f>SUM(C134:C144)</f>
        <v>161.27999999999997</v>
      </c>
      <c r="D133" s="96">
        <f t="shared" ref="D133:O133" si="27">SUM(D134:D144)</f>
        <v>167.10999999999999</v>
      </c>
      <c r="E133" s="96">
        <f t="shared" si="27"/>
        <v>112.59</v>
      </c>
      <c r="F133" s="96">
        <f t="shared" si="27"/>
        <v>78.640000000000015</v>
      </c>
      <c r="G133" s="96">
        <f t="shared" si="27"/>
        <v>344.49999999999994</v>
      </c>
      <c r="H133" s="96">
        <f t="shared" si="27"/>
        <v>63.47</v>
      </c>
      <c r="I133" s="96">
        <f t="shared" si="27"/>
        <v>96.590000000000018</v>
      </c>
      <c r="J133" s="96">
        <f t="shared" si="27"/>
        <v>562.58000000000004</v>
      </c>
      <c r="K133" s="96">
        <f t="shared" si="27"/>
        <v>108.32</v>
      </c>
      <c r="L133" s="96">
        <f t="shared" si="27"/>
        <v>101.57000000000001</v>
      </c>
      <c r="M133" s="96">
        <f t="shared" si="27"/>
        <v>133.26</v>
      </c>
      <c r="N133" s="96">
        <f t="shared" si="27"/>
        <v>164.42000000000002</v>
      </c>
      <c r="O133" s="96">
        <f t="shared" si="27"/>
        <v>2094.3300000000004</v>
      </c>
    </row>
    <row r="134" spans="1:15" x14ac:dyDescent="0.2">
      <c r="B134" s="90" t="s">
        <v>129</v>
      </c>
      <c r="C134" s="97">
        <v>0</v>
      </c>
      <c r="D134" s="97">
        <v>0</v>
      </c>
      <c r="E134" s="97">
        <v>0</v>
      </c>
      <c r="F134" s="102">
        <v>0</v>
      </c>
      <c r="G134" s="102">
        <v>0</v>
      </c>
      <c r="H134" s="102">
        <v>0</v>
      </c>
      <c r="I134" s="91">
        <v>0</v>
      </c>
      <c r="J134" s="102">
        <v>0</v>
      </c>
      <c r="K134" s="91">
        <v>0</v>
      </c>
      <c r="L134" s="91">
        <v>0</v>
      </c>
      <c r="M134" s="91">
        <v>0</v>
      </c>
      <c r="N134" s="72">
        <v>0</v>
      </c>
      <c r="O134" s="91">
        <f>SUM(C134:N134)</f>
        <v>0</v>
      </c>
    </row>
    <row r="135" spans="1:15" s="98" customFormat="1" x14ac:dyDescent="0.2">
      <c r="B135" s="98" t="s">
        <v>130</v>
      </c>
      <c r="C135" s="99">
        <v>151.75</v>
      </c>
      <c r="D135" s="99">
        <v>159.6</v>
      </c>
      <c r="E135" s="99">
        <v>97.18</v>
      </c>
      <c r="F135" s="108">
        <v>71.900000000000006</v>
      </c>
      <c r="G135" s="108">
        <v>333.21</v>
      </c>
      <c r="H135" s="108">
        <v>55.89</v>
      </c>
      <c r="I135" s="109">
        <v>90.4</v>
      </c>
      <c r="J135" s="108">
        <v>550.54</v>
      </c>
      <c r="K135" s="109">
        <v>93.96</v>
      </c>
      <c r="L135" s="109">
        <v>54.55</v>
      </c>
      <c r="M135" s="109">
        <v>120</v>
      </c>
      <c r="N135" s="110">
        <v>155.78</v>
      </c>
      <c r="O135" s="91">
        <f t="shared" ref="O135:O144" si="28">SUM(C135:N135)</f>
        <v>1934.76</v>
      </c>
    </row>
    <row r="136" spans="1:15" x14ac:dyDescent="0.2">
      <c r="B136" s="90" t="s">
        <v>131</v>
      </c>
      <c r="C136" s="97">
        <v>9.35</v>
      </c>
      <c r="D136" s="97">
        <v>7.2</v>
      </c>
      <c r="E136" s="97">
        <v>15.38</v>
      </c>
      <c r="F136" s="102">
        <v>6.39</v>
      </c>
      <c r="G136" s="102">
        <v>11.15</v>
      </c>
      <c r="H136" s="102">
        <v>7.47</v>
      </c>
      <c r="I136" s="91">
        <v>6.17</v>
      </c>
      <c r="J136" s="102">
        <v>11.96</v>
      </c>
      <c r="K136" s="91">
        <v>13.98</v>
      </c>
      <c r="L136" s="91">
        <v>46.46</v>
      </c>
      <c r="M136" s="91">
        <v>12.82</v>
      </c>
      <c r="N136" s="72">
        <v>8.56</v>
      </c>
      <c r="O136" s="91">
        <f t="shared" si="28"/>
        <v>156.88999999999999</v>
      </c>
    </row>
    <row r="137" spans="1:15" x14ac:dyDescent="0.2">
      <c r="B137" s="90" t="s">
        <v>132</v>
      </c>
      <c r="C137" s="97">
        <v>0</v>
      </c>
      <c r="D137" s="97">
        <v>0</v>
      </c>
      <c r="E137" s="97">
        <v>0</v>
      </c>
      <c r="F137" s="102">
        <v>0</v>
      </c>
      <c r="G137" s="102">
        <v>0</v>
      </c>
      <c r="H137" s="102">
        <v>0</v>
      </c>
      <c r="I137" s="91">
        <v>0</v>
      </c>
      <c r="J137" s="102">
        <v>0</v>
      </c>
      <c r="K137" s="91">
        <v>0</v>
      </c>
      <c r="L137" s="91">
        <v>0</v>
      </c>
      <c r="M137" s="91">
        <v>0</v>
      </c>
      <c r="N137" s="72">
        <v>0</v>
      </c>
      <c r="O137" s="91">
        <f t="shared" si="28"/>
        <v>0</v>
      </c>
    </row>
    <row r="138" spans="1:15" x14ac:dyDescent="0.2">
      <c r="B138" s="90" t="s">
        <v>133</v>
      </c>
      <c r="C138" s="97">
        <v>0</v>
      </c>
      <c r="D138" s="97">
        <v>0</v>
      </c>
      <c r="E138" s="97">
        <v>0</v>
      </c>
      <c r="F138" s="102">
        <v>0</v>
      </c>
      <c r="G138" s="102">
        <v>0</v>
      </c>
      <c r="H138" s="102">
        <v>0</v>
      </c>
      <c r="I138" s="91">
        <v>0</v>
      </c>
      <c r="J138" s="102">
        <v>0</v>
      </c>
      <c r="K138" s="91">
        <v>0</v>
      </c>
      <c r="L138" s="91">
        <v>0</v>
      </c>
      <c r="M138" s="91">
        <v>0</v>
      </c>
      <c r="N138" s="72">
        <v>0</v>
      </c>
      <c r="O138" s="91">
        <f t="shared" si="28"/>
        <v>0</v>
      </c>
    </row>
    <row r="139" spans="1:15" x14ac:dyDescent="0.2">
      <c r="B139" s="90" t="s">
        <v>134</v>
      </c>
      <c r="C139" s="97">
        <v>0</v>
      </c>
      <c r="D139" s="97">
        <v>0</v>
      </c>
      <c r="E139" s="97">
        <v>0</v>
      </c>
      <c r="F139" s="102">
        <v>0</v>
      </c>
      <c r="G139" s="102">
        <v>0</v>
      </c>
      <c r="H139" s="102">
        <v>0</v>
      </c>
      <c r="I139" s="91">
        <v>0</v>
      </c>
      <c r="J139" s="102">
        <v>0</v>
      </c>
      <c r="K139" s="91">
        <v>0</v>
      </c>
      <c r="L139" s="91">
        <v>0</v>
      </c>
      <c r="M139" s="91">
        <v>0</v>
      </c>
      <c r="N139" s="72">
        <v>0</v>
      </c>
      <c r="O139" s="91">
        <f t="shared" si="28"/>
        <v>0</v>
      </c>
    </row>
    <row r="140" spans="1:15" x14ac:dyDescent="0.2">
      <c r="B140" s="90" t="s">
        <v>135</v>
      </c>
      <c r="C140" s="97">
        <v>0</v>
      </c>
      <c r="D140" s="97">
        <v>0</v>
      </c>
      <c r="E140" s="97">
        <v>0.03</v>
      </c>
      <c r="F140" s="102">
        <v>0</v>
      </c>
      <c r="G140" s="102">
        <v>0.01</v>
      </c>
      <c r="H140" s="102">
        <v>0</v>
      </c>
      <c r="I140" s="91">
        <v>0</v>
      </c>
      <c r="J140" s="102">
        <v>0</v>
      </c>
      <c r="K140" s="91">
        <v>0</v>
      </c>
      <c r="L140" s="91">
        <v>0.01</v>
      </c>
      <c r="M140" s="91">
        <v>0.01</v>
      </c>
      <c r="N140" s="72">
        <v>0</v>
      </c>
      <c r="O140" s="91">
        <f t="shared" si="28"/>
        <v>6.0000000000000005E-2</v>
      </c>
    </row>
    <row r="141" spans="1:15" x14ac:dyDescent="0.2">
      <c r="B141" s="90" t="s">
        <v>136</v>
      </c>
      <c r="C141" s="97">
        <v>0</v>
      </c>
      <c r="D141" s="97">
        <v>0</v>
      </c>
      <c r="E141" s="97">
        <v>0</v>
      </c>
      <c r="F141" s="102">
        <v>0</v>
      </c>
      <c r="G141" s="102">
        <v>0</v>
      </c>
      <c r="H141" s="102">
        <v>0</v>
      </c>
      <c r="I141" s="91">
        <v>0</v>
      </c>
      <c r="J141" s="102">
        <v>0</v>
      </c>
      <c r="K141" s="91">
        <v>0</v>
      </c>
      <c r="L141" s="91">
        <v>0</v>
      </c>
      <c r="M141" s="91">
        <v>0</v>
      </c>
      <c r="N141" s="72">
        <v>0</v>
      </c>
      <c r="O141" s="91">
        <f t="shared" si="28"/>
        <v>0</v>
      </c>
    </row>
    <row r="142" spans="1:15" x14ac:dyDescent="0.2">
      <c r="B142" s="90" t="s">
        <v>137</v>
      </c>
      <c r="C142" s="97">
        <v>0.17</v>
      </c>
      <c r="D142" s="97">
        <v>0.31</v>
      </c>
      <c r="E142" s="97">
        <v>0</v>
      </c>
      <c r="F142" s="102">
        <v>0.33</v>
      </c>
      <c r="G142" s="102">
        <v>0.11</v>
      </c>
      <c r="H142" s="102">
        <v>0.11</v>
      </c>
      <c r="I142" s="91">
        <v>0.01</v>
      </c>
      <c r="J142" s="102">
        <v>0</v>
      </c>
      <c r="K142" s="91">
        <v>0.3</v>
      </c>
      <c r="L142" s="91">
        <v>0.53</v>
      </c>
      <c r="M142" s="91">
        <v>0.4</v>
      </c>
      <c r="N142" s="72">
        <v>0.03</v>
      </c>
      <c r="O142" s="91">
        <f t="shared" si="28"/>
        <v>2.2999999999999998</v>
      </c>
    </row>
    <row r="143" spans="1:15" x14ac:dyDescent="0.2">
      <c r="B143" s="90" t="s">
        <v>138</v>
      </c>
      <c r="C143" s="97">
        <v>0</v>
      </c>
      <c r="D143" s="97">
        <v>0</v>
      </c>
      <c r="E143" s="97">
        <v>0</v>
      </c>
      <c r="F143" s="102">
        <v>0.01</v>
      </c>
      <c r="G143" s="102">
        <v>0</v>
      </c>
      <c r="H143" s="102">
        <v>0</v>
      </c>
      <c r="I143" s="91">
        <v>0</v>
      </c>
      <c r="J143" s="102">
        <v>0</v>
      </c>
      <c r="K143" s="91">
        <v>0.01</v>
      </c>
      <c r="L143" s="91">
        <v>0.01</v>
      </c>
      <c r="M143" s="91">
        <v>0.01</v>
      </c>
      <c r="N143" s="72">
        <v>0</v>
      </c>
      <c r="O143" s="91">
        <f t="shared" si="28"/>
        <v>0.04</v>
      </c>
    </row>
    <row r="144" spans="1:15" x14ac:dyDescent="0.2">
      <c r="B144" s="90" t="s">
        <v>139</v>
      </c>
      <c r="C144" s="97">
        <v>0.01</v>
      </c>
      <c r="D144" s="97">
        <v>0</v>
      </c>
      <c r="E144" s="97">
        <v>0</v>
      </c>
      <c r="F144" s="91">
        <v>0.01</v>
      </c>
      <c r="G144" s="102">
        <v>0.02</v>
      </c>
      <c r="H144" s="102">
        <v>0</v>
      </c>
      <c r="I144" s="91">
        <v>0.01</v>
      </c>
      <c r="J144" s="91">
        <v>0.08</v>
      </c>
      <c r="K144" s="91">
        <v>7.0000000000000007E-2</v>
      </c>
      <c r="L144" s="91">
        <v>0.01</v>
      </c>
      <c r="M144" s="91">
        <v>0.02</v>
      </c>
      <c r="N144" s="72">
        <v>0.05</v>
      </c>
      <c r="O144" s="91">
        <f t="shared" si="28"/>
        <v>0.28000000000000003</v>
      </c>
    </row>
    <row r="145" spans="1:15" ht="12.75" customHeight="1" x14ac:dyDescent="0.25">
      <c r="A145" s="93"/>
      <c r="B145" s="93"/>
      <c r="C145" s="93"/>
      <c r="D145" s="71"/>
      <c r="E145" s="71"/>
    </row>
    <row r="146" spans="1:15" s="95" customFormat="1" ht="15" x14ac:dyDescent="0.25">
      <c r="A146" s="94" t="s">
        <v>140</v>
      </c>
      <c r="C146" s="96">
        <f>SUM(C147:C164)</f>
        <v>29.500000000000007</v>
      </c>
      <c r="D146" s="96">
        <f t="shared" ref="D146:O146" si="29">SUM(D147:D164)</f>
        <v>28.230000000000004</v>
      </c>
      <c r="E146" s="96">
        <f t="shared" si="29"/>
        <v>36.86</v>
      </c>
      <c r="F146" s="96">
        <f t="shared" si="29"/>
        <v>22.140000000000004</v>
      </c>
      <c r="G146" s="96">
        <f t="shared" si="29"/>
        <v>33.46</v>
      </c>
      <c r="H146" s="96">
        <f t="shared" si="29"/>
        <v>31.050000000000004</v>
      </c>
      <c r="I146" s="96">
        <f t="shared" si="29"/>
        <v>25.980000000000008</v>
      </c>
      <c r="J146" s="96">
        <f t="shared" si="29"/>
        <v>24.320000000000007</v>
      </c>
      <c r="K146" s="96">
        <f t="shared" si="29"/>
        <v>32.299999999999997</v>
      </c>
      <c r="L146" s="96">
        <f t="shared" si="29"/>
        <v>18.43</v>
      </c>
      <c r="M146" s="96">
        <f t="shared" si="29"/>
        <v>40.260000000000005</v>
      </c>
      <c r="N146" s="96">
        <f t="shared" si="29"/>
        <v>27.970000000000002</v>
      </c>
      <c r="O146" s="96">
        <f t="shared" si="29"/>
        <v>350.50000000000006</v>
      </c>
    </row>
    <row r="147" spans="1:15" x14ac:dyDescent="0.2">
      <c r="B147" s="90" t="s">
        <v>141</v>
      </c>
      <c r="C147" s="97">
        <v>18.059999999999999</v>
      </c>
      <c r="D147" s="97">
        <v>17.48</v>
      </c>
      <c r="E147" s="97">
        <v>23.64</v>
      </c>
      <c r="F147" s="97">
        <v>14.54</v>
      </c>
      <c r="G147" s="97">
        <v>19.57</v>
      </c>
      <c r="H147" s="97">
        <v>18.29</v>
      </c>
      <c r="I147" s="97">
        <v>18</v>
      </c>
      <c r="J147" s="97">
        <v>13.74</v>
      </c>
      <c r="K147" s="97">
        <v>16.989999999999998</v>
      </c>
      <c r="L147" s="97">
        <v>10.62</v>
      </c>
      <c r="M147" s="97">
        <v>28.55</v>
      </c>
      <c r="N147" s="97">
        <v>17.05</v>
      </c>
      <c r="O147" s="91">
        <f>SUM(C147:N147)</f>
        <v>216.53000000000003</v>
      </c>
    </row>
    <row r="148" spans="1:15" x14ac:dyDescent="0.2">
      <c r="B148" s="90" t="s">
        <v>142</v>
      </c>
      <c r="C148" s="97">
        <v>1.68</v>
      </c>
      <c r="D148" s="97">
        <v>0.04</v>
      </c>
      <c r="E148" s="97">
        <v>0.95</v>
      </c>
      <c r="F148" s="97">
        <v>0.14000000000000001</v>
      </c>
      <c r="G148" s="97">
        <v>0.48</v>
      </c>
      <c r="H148" s="97">
        <v>1.56</v>
      </c>
      <c r="I148" s="97">
        <v>0</v>
      </c>
      <c r="J148" s="97">
        <v>0.17</v>
      </c>
      <c r="K148" s="97">
        <v>0.18</v>
      </c>
      <c r="L148" s="97">
        <v>0.18</v>
      </c>
      <c r="M148" s="97">
        <v>0.08</v>
      </c>
      <c r="N148" s="97">
        <v>0.28999999999999998</v>
      </c>
      <c r="O148" s="91">
        <f t="shared" ref="O148:O164" si="30">SUM(C148:N148)</f>
        <v>5.7499999999999991</v>
      </c>
    </row>
    <row r="149" spans="1:15" x14ac:dyDescent="0.2">
      <c r="B149" s="90" t="s">
        <v>143</v>
      </c>
      <c r="C149" s="97">
        <v>0.16</v>
      </c>
      <c r="D149" s="97">
        <v>0.12</v>
      </c>
      <c r="E149" s="97">
        <v>0.24</v>
      </c>
      <c r="F149" s="97">
        <v>0.15</v>
      </c>
      <c r="G149" s="97">
        <v>0.47</v>
      </c>
      <c r="H149" s="97">
        <v>0.34</v>
      </c>
      <c r="I149" s="97">
        <v>0.17</v>
      </c>
      <c r="J149" s="97">
        <v>0.23</v>
      </c>
      <c r="K149" s="97">
        <v>0.22</v>
      </c>
      <c r="L149" s="97">
        <v>0.09</v>
      </c>
      <c r="M149" s="97">
        <v>0.13</v>
      </c>
      <c r="N149" s="97">
        <v>0.4</v>
      </c>
      <c r="O149" s="91">
        <f t="shared" si="30"/>
        <v>2.7199999999999998</v>
      </c>
    </row>
    <row r="150" spans="1:15" x14ac:dyDescent="0.2">
      <c r="B150" s="90" t="s">
        <v>144</v>
      </c>
      <c r="C150" s="97">
        <v>0.17</v>
      </c>
      <c r="D150" s="97">
        <v>0.36</v>
      </c>
      <c r="E150" s="97">
        <v>0.45</v>
      </c>
      <c r="F150" s="97">
        <v>0.12</v>
      </c>
      <c r="G150" s="97">
        <v>0.48</v>
      </c>
      <c r="H150" s="97">
        <v>0.46</v>
      </c>
      <c r="I150" s="97">
        <v>0.32</v>
      </c>
      <c r="J150" s="97">
        <v>0.6</v>
      </c>
      <c r="K150" s="97">
        <v>0.67</v>
      </c>
      <c r="L150" s="97">
        <v>0.2</v>
      </c>
      <c r="M150" s="97">
        <v>0.85</v>
      </c>
      <c r="N150" s="97">
        <v>0.82</v>
      </c>
      <c r="O150" s="91">
        <f t="shared" si="30"/>
        <v>5.5</v>
      </c>
    </row>
    <row r="151" spans="1:15" x14ac:dyDescent="0.2">
      <c r="B151" s="90" t="s">
        <v>145</v>
      </c>
      <c r="C151" s="97">
        <v>1.44</v>
      </c>
      <c r="D151" s="97">
        <v>2.1</v>
      </c>
      <c r="E151" s="97">
        <v>1.98</v>
      </c>
      <c r="F151" s="97">
        <v>1.58</v>
      </c>
      <c r="G151" s="97">
        <v>3.5</v>
      </c>
      <c r="H151" s="97">
        <v>2.74</v>
      </c>
      <c r="I151" s="97">
        <v>1.71</v>
      </c>
      <c r="J151" s="97">
        <v>2.5</v>
      </c>
      <c r="K151" s="97">
        <v>3.68</v>
      </c>
      <c r="L151" s="97">
        <v>2.1</v>
      </c>
      <c r="M151" s="97">
        <v>2.73</v>
      </c>
      <c r="N151" s="97">
        <v>2.2400000000000002</v>
      </c>
      <c r="O151" s="91">
        <f t="shared" si="30"/>
        <v>28.300000000000004</v>
      </c>
    </row>
    <row r="152" spans="1:15" x14ac:dyDescent="0.2">
      <c r="B152" s="90" t="s">
        <v>146</v>
      </c>
      <c r="C152" s="97">
        <v>2.2799999999999998</v>
      </c>
      <c r="D152" s="97">
        <v>2.21</v>
      </c>
      <c r="E152" s="97">
        <v>3.29</v>
      </c>
      <c r="F152" s="97">
        <v>1.52</v>
      </c>
      <c r="G152" s="97">
        <v>3.26</v>
      </c>
      <c r="H152" s="97">
        <v>2.2599999999999998</v>
      </c>
      <c r="I152" s="97">
        <v>0.96</v>
      </c>
      <c r="J152" s="97">
        <v>2.35</v>
      </c>
      <c r="K152" s="97">
        <v>2.93</v>
      </c>
      <c r="L152" s="97">
        <v>1.73</v>
      </c>
      <c r="M152" s="97">
        <v>2.2000000000000002</v>
      </c>
      <c r="N152" s="97">
        <v>2.04</v>
      </c>
      <c r="O152" s="91">
        <f t="shared" si="30"/>
        <v>27.03</v>
      </c>
    </row>
    <row r="153" spans="1:15" x14ac:dyDescent="0.2">
      <c r="B153" s="90" t="s">
        <v>147</v>
      </c>
      <c r="C153" s="97">
        <v>0.03</v>
      </c>
      <c r="D153" s="97">
        <v>0.06</v>
      </c>
      <c r="E153" s="97">
        <v>0.01</v>
      </c>
      <c r="F153" s="97">
        <v>0</v>
      </c>
      <c r="G153" s="97">
        <v>0.03</v>
      </c>
      <c r="H153" s="97">
        <v>0</v>
      </c>
      <c r="I153" s="97">
        <v>0</v>
      </c>
      <c r="J153" s="97">
        <v>0</v>
      </c>
      <c r="K153" s="97">
        <v>0.04</v>
      </c>
      <c r="L153" s="97">
        <v>0.02</v>
      </c>
      <c r="M153" s="97">
        <v>0</v>
      </c>
      <c r="N153" s="97">
        <v>0.01</v>
      </c>
      <c r="O153" s="91">
        <f t="shared" si="30"/>
        <v>0.2</v>
      </c>
    </row>
    <row r="154" spans="1:15" x14ac:dyDescent="0.2">
      <c r="B154" s="90" t="s">
        <v>148</v>
      </c>
      <c r="C154" s="97">
        <v>0.55000000000000004</v>
      </c>
      <c r="D154" s="97">
        <v>1.77</v>
      </c>
      <c r="E154" s="97">
        <v>1.1000000000000001</v>
      </c>
      <c r="F154" s="97">
        <v>0.37</v>
      </c>
      <c r="G154" s="97">
        <v>1.4</v>
      </c>
      <c r="H154" s="97">
        <v>0.8</v>
      </c>
      <c r="I154" s="97">
        <v>0.89</v>
      </c>
      <c r="J154" s="97">
        <v>0.2</v>
      </c>
      <c r="K154" s="97">
        <v>0.41</v>
      </c>
      <c r="L154" s="97">
        <v>1.1200000000000001</v>
      </c>
      <c r="M154" s="97">
        <v>1.06</v>
      </c>
      <c r="N154" s="97">
        <v>0.51</v>
      </c>
      <c r="O154" s="91">
        <f t="shared" si="30"/>
        <v>10.18</v>
      </c>
    </row>
    <row r="155" spans="1:15" x14ac:dyDescent="0.2">
      <c r="B155" s="90" t="s">
        <v>149</v>
      </c>
      <c r="C155" s="97">
        <v>0</v>
      </c>
      <c r="D155" s="97">
        <v>0</v>
      </c>
      <c r="E155" s="97">
        <v>0</v>
      </c>
      <c r="F155" s="97">
        <v>0</v>
      </c>
      <c r="G155" s="97">
        <v>0</v>
      </c>
      <c r="H155" s="97">
        <v>0</v>
      </c>
      <c r="I155" s="97">
        <v>0</v>
      </c>
      <c r="J155" s="97">
        <v>0</v>
      </c>
      <c r="K155" s="91">
        <v>0</v>
      </c>
      <c r="L155" s="91">
        <v>0</v>
      </c>
      <c r="M155" s="91">
        <v>0</v>
      </c>
      <c r="N155" s="72">
        <v>0</v>
      </c>
      <c r="O155" s="91">
        <f t="shared" si="30"/>
        <v>0</v>
      </c>
    </row>
    <row r="156" spans="1:15" x14ac:dyDescent="0.2">
      <c r="B156" s="90" t="s">
        <v>150</v>
      </c>
      <c r="C156" s="97">
        <v>4.6900000000000004</v>
      </c>
      <c r="D156" s="97">
        <v>3.69</v>
      </c>
      <c r="E156" s="97">
        <v>3.58</v>
      </c>
      <c r="F156" s="97">
        <v>2.39</v>
      </c>
      <c r="G156" s="97">
        <v>2.93</v>
      </c>
      <c r="H156" s="97">
        <v>2.16</v>
      </c>
      <c r="I156" s="97">
        <v>2.92</v>
      </c>
      <c r="J156" s="97">
        <v>2.64</v>
      </c>
      <c r="K156" s="97">
        <v>3.11</v>
      </c>
      <c r="L156" s="97">
        <v>1.58</v>
      </c>
      <c r="M156" s="97">
        <v>3.45</v>
      </c>
      <c r="N156" s="97">
        <v>3.48</v>
      </c>
      <c r="O156" s="91">
        <f t="shared" si="30"/>
        <v>36.619999999999997</v>
      </c>
    </row>
    <row r="157" spans="1:15" x14ac:dyDescent="0.2">
      <c r="B157" s="90" t="s">
        <v>151</v>
      </c>
      <c r="C157" s="97">
        <v>0.3</v>
      </c>
      <c r="D157" s="97">
        <v>0.37</v>
      </c>
      <c r="E157" s="97">
        <v>0.25</v>
      </c>
      <c r="F157" s="97">
        <v>0.2</v>
      </c>
      <c r="G157" s="97">
        <v>0.46</v>
      </c>
      <c r="H157" s="97">
        <v>0.37</v>
      </c>
      <c r="I157" s="97">
        <v>0.26</v>
      </c>
      <c r="J157" s="97">
        <v>0.3</v>
      </c>
      <c r="K157" s="97">
        <v>0.49</v>
      </c>
      <c r="L157" s="97">
        <v>0.21</v>
      </c>
      <c r="M157" s="97">
        <v>0.5</v>
      </c>
      <c r="N157" s="97">
        <v>0.14000000000000001</v>
      </c>
      <c r="O157" s="91">
        <f t="shared" si="30"/>
        <v>3.85</v>
      </c>
    </row>
    <row r="158" spans="1:15" x14ac:dyDescent="0.2">
      <c r="B158" s="90" t="s">
        <v>152</v>
      </c>
      <c r="C158" s="97">
        <v>0</v>
      </c>
      <c r="D158" s="97">
        <v>0</v>
      </c>
      <c r="E158" s="97">
        <v>0</v>
      </c>
      <c r="F158" s="97">
        <v>0</v>
      </c>
      <c r="G158" s="97">
        <v>0</v>
      </c>
      <c r="H158" s="97">
        <v>0</v>
      </c>
      <c r="I158" s="97">
        <v>0</v>
      </c>
      <c r="J158" s="97">
        <v>0</v>
      </c>
      <c r="K158" s="97">
        <v>0.68</v>
      </c>
      <c r="L158" s="97">
        <v>0.05</v>
      </c>
      <c r="M158" s="97">
        <v>0.02</v>
      </c>
      <c r="N158" s="97">
        <v>0</v>
      </c>
      <c r="O158" s="91">
        <f t="shared" si="30"/>
        <v>0.75000000000000011</v>
      </c>
    </row>
    <row r="159" spans="1:15" x14ac:dyDescent="0.2">
      <c r="B159" s="90" t="s">
        <v>153</v>
      </c>
      <c r="C159" s="97">
        <v>0</v>
      </c>
      <c r="D159" s="97">
        <v>0</v>
      </c>
      <c r="E159" s="97">
        <v>0</v>
      </c>
      <c r="F159" s="97">
        <v>0</v>
      </c>
      <c r="G159" s="97">
        <v>0</v>
      </c>
      <c r="H159" s="97">
        <v>0</v>
      </c>
      <c r="I159" s="97">
        <v>0</v>
      </c>
      <c r="J159" s="97">
        <v>0</v>
      </c>
      <c r="K159" s="97">
        <v>0</v>
      </c>
      <c r="L159" s="97">
        <v>0</v>
      </c>
      <c r="M159" s="97">
        <v>0</v>
      </c>
      <c r="N159" s="97">
        <v>0</v>
      </c>
      <c r="O159" s="91">
        <f t="shared" si="30"/>
        <v>0</v>
      </c>
    </row>
    <row r="160" spans="1:15" x14ac:dyDescent="0.2">
      <c r="B160" s="90" t="s">
        <v>154</v>
      </c>
      <c r="C160" s="97">
        <v>0</v>
      </c>
      <c r="D160" s="97">
        <v>0</v>
      </c>
      <c r="E160" s="97">
        <v>0</v>
      </c>
      <c r="F160" s="97">
        <v>0</v>
      </c>
      <c r="G160" s="97">
        <v>0</v>
      </c>
      <c r="H160" s="97">
        <v>0</v>
      </c>
      <c r="I160" s="97">
        <v>0</v>
      </c>
      <c r="J160" s="97">
        <v>0</v>
      </c>
      <c r="K160" s="97">
        <v>0</v>
      </c>
      <c r="L160" s="97">
        <v>0</v>
      </c>
      <c r="M160" s="97">
        <v>0</v>
      </c>
      <c r="N160" s="97">
        <v>0</v>
      </c>
      <c r="O160" s="91">
        <f t="shared" si="30"/>
        <v>0</v>
      </c>
    </row>
    <row r="161" spans="1:15" x14ac:dyDescent="0.2">
      <c r="B161" s="90" t="s">
        <v>155</v>
      </c>
      <c r="C161" s="97">
        <v>0.09</v>
      </c>
      <c r="D161" s="97">
        <v>0.02</v>
      </c>
      <c r="E161" s="97">
        <v>0.16</v>
      </c>
      <c r="F161" s="97">
        <v>0.02</v>
      </c>
      <c r="G161" s="97">
        <v>0.02</v>
      </c>
      <c r="H161" s="97">
        <v>0.03</v>
      </c>
      <c r="I161" s="97">
        <v>0.01</v>
      </c>
      <c r="J161" s="97">
        <v>0.03</v>
      </c>
      <c r="K161" s="97">
        <v>0.12</v>
      </c>
      <c r="L161" s="97">
        <v>0.04</v>
      </c>
      <c r="M161" s="97">
        <v>0.02</v>
      </c>
      <c r="N161" s="97">
        <v>0.03</v>
      </c>
      <c r="O161" s="91">
        <f t="shared" si="30"/>
        <v>0.59000000000000019</v>
      </c>
    </row>
    <row r="162" spans="1:15" x14ac:dyDescent="0.2">
      <c r="B162" s="90" t="s">
        <v>156</v>
      </c>
      <c r="C162" s="97">
        <v>0.05</v>
      </c>
      <c r="D162" s="97">
        <v>0</v>
      </c>
      <c r="E162" s="97">
        <v>1.21</v>
      </c>
      <c r="F162" s="97">
        <v>0.94</v>
      </c>
      <c r="G162" s="97">
        <v>0.85</v>
      </c>
      <c r="H162" s="97">
        <v>2.0299999999999998</v>
      </c>
      <c r="I162" s="97">
        <v>0.74</v>
      </c>
      <c r="J162" s="97">
        <v>1.37</v>
      </c>
      <c r="K162" s="97">
        <v>1.66</v>
      </c>
      <c r="L162" s="97">
        <v>0.49</v>
      </c>
      <c r="M162" s="97">
        <v>0.66</v>
      </c>
      <c r="N162" s="97">
        <v>0.89</v>
      </c>
      <c r="O162" s="91">
        <f t="shared" si="30"/>
        <v>10.89</v>
      </c>
    </row>
    <row r="163" spans="1:15" x14ac:dyDescent="0.2">
      <c r="B163" s="90" t="s">
        <v>157</v>
      </c>
      <c r="C163" s="97">
        <v>0</v>
      </c>
      <c r="D163" s="97">
        <v>0</v>
      </c>
      <c r="E163" s="97">
        <v>0</v>
      </c>
      <c r="F163" s="102">
        <v>0</v>
      </c>
      <c r="G163" s="102">
        <v>0</v>
      </c>
      <c r="H163" s="102">
        <v>0</v>
      </c>
      <c r="I163" s="91">
        <v>0</v>
      </c>
      <c r="J163" s="91">
        <v>0.17</v>
      </c>
      <c r="K163" s="91">
        <v>1.1200000000000001</v>
      </c>
      <c r="L163" s="91">
        <v>0</v>
      </c>
      <c r="M163" s="91">
        <v>0</v>
      </c>
      <c r="N163" s="72">
        <v>0.06</v>
      </c>
      <c r="O163" s="91">
        <f t="shared" si="30"/>
        <v>1.35</v>
      </c>
    </row>
    <row r="164" spans="1:15" x14ac:dyDescent="0.2">
      <c r="B164" s="90" t="s">
        <v>158</v>
      </c>
      <c r="C164" s="97">
        <v>0</v>
      </c>
      <c r="D164" s="97">
        <v>0.01</v>
      </c>
      <c r="E164" s="97">
        <v>0</v>
      </c>
      <c r="F164" s="97">
        <v>0.17</v>
      </c>
      <c r="G164" s="97">
        <v>0.01</v>
      </c>
      <c r="H164" s="97">
        <v>0.01</v>
      </c>
      <c r="I164" s="97">
        <v>0</v>
      </c>
      <c r="J164" s="97">
        <v>0.02</v>
      </c>
      <c r="K164" s="97">
        <v>0</v>
      </c>
      <c r="L164" s="97">
        <v>0</v>
      </c>
      <c r="M164" s="97">
        <v>0.01</v>
      </c>
      <c r="N164" s="97">
        <v>0.01</v>
      </c>
      <c r="O164" s="91">
        <f t="shared" si="30"/>
        <v>0.24000000000000005</v>
      </c>
    </row>
    <row r="165" spans="1:15" ht="12.75" customHeight="1" x14ac:dyDescent="0.2">
      <c r="C165" s="97"/>
      <c r="D165" s="71"/>
      <c r="E165" s="71"/>
    </row>
    <row r="166" spans="1:15" s="95" customFormat="1" ht="15" x14ac:dyDescent="0.25">
      <c r="A166" s="94" t="s">
        <v>159</v>
      </c>
      <c r="C166" s="96">
        <f>SUM(C167:C168)</f>
        <v>13.89</v>
      </c>
      <c r="D166" s="96">
        <f t="shared" ref="D166:O166" si="31">SUM(D167:D168)</f>
        <v>40</v>
      </c>
      <c r="E166" s="96">
        <f t="shared" si="31"/>
        <v>11.02</v>
      </c>
      <c r="F166" s="96">
        <f t="shared" si="31"/>
        <v>4.6100000000000003</v>
      </c>
      <c r="G166" s="96">
        <f t="shared" si="31"/>
        <v>13.37</v>
      </c>
      <c r="H166" s="96">
        <f t="shared" si="31"/>
        <v>8.61</v>
      </c>
      <c r="I166" s="96">
        <f t="shared" si="31"/>
        <v>35.86</v>
      </c>
      <c r="J166" s="96">
        <f t="shared" si="31"/>
        <v>20.53</v>
      </c>
      <c r="K166" s="96">
        <f t="shared" si="31"/>
        <v>27.48</v>
      </c>
      <c r="L166" s="96">
        <f t="shared" si="31"/>
        <v>5.98</v>
      </c>
      <c r="M166" s="96">
        <f t="shared" si="31"/>
        <v>13.68</v>
      </c>
      <c r="N166" s="96">
        <f t="shared" si="31"/>
        <v>23.04</v>
      </c>
      <c r="O166" s="96">
        <f t="shared" si="31"/>
        <v>218.06999999999996</v>
      </c>
    </row>
    <row r="167" spans="1:15" x14ac:dyDescent="0.2">
      <c r="B167" s="90" t="s">
        <v>93</v>
      </c>
      <c r="C167" s="97">
        <v>13.89</v>
      </c>
      <c r="D167" s="97">
        <v>39.99</v>
      </c>
      <c r="E167" s="97">
        <v>11.02</v>
      </c>
      <c r="F167" s="97">
        <v>4.6100000000000003</v>
      </c>
      <c r="G167" s="97">
        <v>13.37</v>
      </c>
      <c r="H167" s="97">
        <v>8.61</v>
      </c>
      <c r="I167" s="97">
        <v>35.86</v>
      </c>
      <c r="J167" s="97">
        <v>20.53</v>
      </c>
      <c r="K167" s="97">
        <v>27.48</v>
      </c>
      <c r="L167" s="97">
        <v>5.98</v>
      </c>
      <c r="M167" s="97">
        <v>13.68</v>
      </c>
      <c r="N167" s="97">
        <v>23.04</v>
      </c>
      <c r="O167" s="91">
        <f>SUM(C167:N167)</f>
        <v>218.05999999999997</v>
      </c>
    </row>
    <row r="168" spans="1:15" x14ac:dyDescent="0.2">
      <c r="B168" s="90" t="s">
        <v>160</v>
      </c>
      <c r="C168" s="97">
        <v>0</v>
      </c>
      <c r="D168" s="97">
        <v>0.01</v>
      </c>
      <c r="E168" s="97">
        <v>0</v>
      </c>
      <c r="F168" s="97">
        <v>0</v>
      </c>
      <c r="G168" s="97">
        <v>0</v>
      </c>
      <c r="H168" s="97">
        <v>0</v>
      </c>
      <c r="I168" s="97">
        <v>0</v>
      </c>
      <c r="J168" s="97">
        <v>0</v>
      </c>
      <c r="K168" s="97">
        <v>0</v>
      </c>
      <c r="L168" s="97">
        <v>0</v>
      </c>
      <c r="M168" s="97">
        <v>0</v>
      </c>
      <c r="N168" s="97">
        <v>0</v>
      </c>
      <c r="O168" s="91">
        <f>SUM(C168:N168)</f>
        <v>0.01</v>
      </c>
    </row>
    <row r="169" spans="1:15" ht="12.75" customHeight="1" x14ac:dyDescent="0.2">
      <c r="C169" s="97"/>
      <c r="D169" s="71"/>
      <c r="E169" s="71"/>
    </row>
    <row r="170" spans="1:15" s="95" customFormat="1" ht="15" x14ac:dyDescent="0.25">
      <c r="A170" s="94" t="s">
        <v>161</v>
      </c>
      <c r="C170" s="96">
        <f>SUM(C171:C174)</f>
        <v>6.6899999999999995</v>
      </c>
      <c r="D170" s="96">
        <f t="shared" ref="D170:O170" si="32">SUM(D171:D174)</f>
        <v>4.7200000000000006</v>
      </c>
      <c r="E170" s="96">
        <f t="shared" si="32"/>
        <v>6.8599999999999994</v>
      </c>
      <c r="F170" s="96">
        <f t="shared" si="32"/>
        <v>2.5099999999999998</v>
      </c>
      <c r="G170" s="96">
        <f t="shared" si="32"/>
        <v>6.0200000000000005</v>
      </c>
      <c r="H170" s="96">
        <f t="shared" si="32"/>
        <v>7.13</v>
      </c>
      <c r="I170" s="96">
        <f t="shared" si="32"/>
        <v>3.0300000000000002</v>
      </c>
      <c r="J170" s="96">
        <f t="shared" si="32"/>
        <v>4.12</v>
      </c>
      <c r="K170" s="96">
        <f t="shared" si="32"/>
        <v>9.1999999999999993</v>
      </c>
      <c r="L170" s="96">
        <f t="shared" si="32"/>
        <v>3.14</v>
      </c>
      <c r="M170" s="96">
        <f t="shared" si="32"/>
        <v>4.2</v>
      </c>
      <c r="N170" s="96">
        <f t="shared" si="32"/>
        <v>4.62</v>
      </c>
      <c r="O170" s="96">
        <f t="shared" si="32"/>
        <v>62.239999999999995</v>
      </c>
    </row>
    <row r="171" spans="1:15" x14ac:dyDescent="0.2">
      <c r="B171" s="90" t="s">
        <v>162</v>
      </c>
      <c r="C171" s="97">
        <v>0.13</v>
      </c>
      <c r="D171" s="97">
        <v>0.2</v>
      </c>
      <c r="E171" s="97">
        <v>0.05</v>
      </c>
      <c r="F171" s="97">
        <v>0.01</v>
      </c>
      <c r="G171" s="97">
        <v>0.14000000000000001</v>
      </c>
      <c r="H171" s="97">
        <v>7.0000000000000007E-2</v>
      </c>
      <c r="I171" s="97">
        <v>0.03</v>
      </c>
      <c r="J171" s="97">
        <v>0.04</v>
      </c>
      <c r="K171" s="97">
        <v>0.44</v>
      </c>
      <c r="L171" s="97">
        <v>0.02</v>
      </c>
      <c r="M171" s="97">
        <v>0.28999999999999998</v>
      </c>
      <c r="N171" s="97">
        <v>0.11</v>
      </c>
      <c r="O171" s="91">
        <f>SUM(C171:N171)</f>
        <v>1.5300000000000002</v>
      </c>
    </row>
    <row r="172" spans="1:15" x14ac:dyDescent="0.2">
      <c r="B172" s="90" t="s">
        <v>163</v>
      </c>
      <c r="C172" s="97">
        <v>0.01</v>
      </c>
      <c r="D172" s="97">
        <v>0</v>
      </c>
      <c r="E172" s="97">
        <v>0</v>
      </c>
      <c r="F172" s="97">
        <v>0</v>
      </c>
      <c r="G172" s="97">
        <v>0.03</v>
      </c>
      <c r="H172" s="97">
        <v>0</v>
      </c>
      <c r="I172" s="97">
        <v>0.03</v>
      </c>
      <c r="J172" s="97">
        <v>0</v>
      </c>
      <c r="K172" s="97">
        <v>0.03</v>
      </c>
      <c r="L172" s="97">
        <v>0</v>
      </c>
      <c r="M172" s="97">
        <v>0.02</v>
      </c>
      <c r="N172" s="97">
        <v>0</v>
      </c>
      <c r="O172" s="91">
        <f t="shared" ref="O172:O174" si="33">SUM(C172:N172)</f>
        <v>0.12000000000000001</v>
      </c>
    </row>
    <row r="173" spans="1:15" x14ac:dyDescent="0.2">
      <c r="B173" s="90" t="s">
        <v>164</v>
      </c>
      <c r="C173" s="97">
        <v>0</v>
      </c>
      <c r="D173" s="97">
        <v>0.03</v>
      </c>
      <c r="E173" s="97">
        <v>0</v>
      </c>
      <c r="F173" s="97">
        <v>0</v>
      </c>
      <c r="G173" s="97">
        <v>0.15</v>
      </c>
      <c r="H173" s="97">
        <v>0</v>
      </c>
      <c r="I173" s="97">
        <v>0</v>
      </c>
      <c r="J173" s="97">
        <v>0</v>
      </c>
      <c r="K173" s="97">
        <v>0.12</v>
      </c>
      <c r="L173" s="97">
        <v>0</v>
      </c>
      <c r="M173" s="97">
        <v>0.02</v>
      </c>
      <c r="N173" s="97">
        <v>0.02</v>
      </c>
      <c r="O173" s="91">
        <f t="shared" si="33"/>
        <v>0.34</v>
      </c>
    </row>
    <row r="174" spans="1:15" x14ac:dyDescent="0.2">
      <c r="B174" s="90" t="s">
        <v>165</v>
      </c>
      <c r="C174" s="97">
        <v>6.55</v>
      </c>
      <c r="D174" s="97">
        <v>4.49</v>
      </c>
      <c r="E174" s="97">
        <v>6.81</v>
      </c>
      <c r="F174" s="97">
        <v>2.5</v>
      </c>
      <c r="G174" s="97">
        <v>5.7</v>
      </c>
      <c r="H174" s="97">
        <v>7.06</v>
      </c>
      <c r="I174" s="97">
        <v>2.97</v>
      </c>
      <c r="J174" s="97">
        <v>4.08</v>
      </c>
      <c r="K174" s="97">
        <v>8.61</v>
      </c>
      <c r="L174" s="97">
        <v>3.12</v>
      </c>
      <c r="M174" s="97">
        <v>3.87</v>
      </c>
      <c r="N174" s="97">
        <v>4.49</v>
      </c>
      <c r="O174" s="91">
        <f t="shared" si="33"/>
        <v>60.249999999999993</v>
      </c>
    </row>
    <row r="175" spans="1:15" x14ac:dyDescent="0.2">
      <c r="C175" s="97"/>
      <c r="D175" s="71"/>
      <c r="E175" s="71"/>
    </row>
    <row r="176" spans="1:15" s="95" customFormat="1" ht="15" x14ac:dyDescent="0.25">
      <c r="A176" s="94" t="s">
        <v>166</v>
      </c>
      <c r="C176" s="96">
        <f>SUM(C177:C183)</f>
        <v>25.54</v>
      </c>
      <c r="D176" s="96">
        <f t="shared" ref="D176:O176" si="34">SUM(D177:D183)</f>
        <v>41.95</v>
      </c>
      <c r="E176" s="96">
        <f t="shared" si="34"/>
        <v>38.979999999999997</v>
      </c>
      <c r="F176" s="96">
        <f t="shared" si="34"/>
        <v>21.74</v>
      </c>
      <c r="G176" s="96">
        <f t="shared" si="34"/>
        <v>30.740000000000002</v>
      </c>
      <c r="H176" s="96">
        <f t="shared" si="34"/>
        <v>26.14</v>
      </c>
      <c r="I176" s="96">
        <f t="shared" si="34"/>
        <v>27.04</v>
      </c>
      <c r="J176" s="96">
        <f t="shared" si="34"/>
        <v>25.200000000000003</v>
      </c>
      <c r="K176" s="96">
        <f t="shared" si="34"/>
        <v>29.58</v>
      </c>
      <c r="L176" s="96">
        <f t="shared" si="34"/>
        <v>14.69</v>
      </c>
      <c r="M176" s="96">
        <f t="shared" si="34"/>
        <v>28.66</v>
      </c>
      <c r="N176" s="96">
        <f t="shared" si="34"/>
        <v>17.349999999999998</v>
      </c>
      <c r="O176" s="96">
        <f t="shared" si="34"/>
        <v>327.60999999999996</v>
      </c>
    </row>
    <row r="177" spans="1:15" x14ac:dyDescent="0.2">
      <c r="B177" s="90" t="s">
        <v>167</v>
      </c>
      <c r="C177" s="97">
        <v>23.79</v>
      </c>
      <c r="D177" s="97">
        <v>34.54</v>
      </c>
      <c r="E177" s="97">
        <v>32.49</v>
      </c>
      <c r="F177" s="97">
        <v>16.309999999999999</v>
      </c>
      <c r="G177" s="97">
        <v>25.37</v>
      </c>
      <c r="H177" s="97">
        <v>20.77</v>
      </c>
      <c r="I177" s="97">
        <v>22.47</v>
      </c>
      <c r="J177" s="97">
        <v>22.53</v>
      </c>
      <c r="K177" s="97">
        <v>24.27</v>
      </c>
      <c r="L177" s="97">
        <v>11.12</v>
      </c>
      <c r="M177" s="97">
        <v>23.02</v>
      </c>
      <c r="N177" s="97">
        <v>13.08</v>
      </c>
      <c r="O177" s="91">
        <f>SUM(C177:N177)</f>
        <v>269.76</v>
      </c>
    </row>
    <row r="178" spans="1:15" x14ac:dyDescent="0.2">
      <c r="B178" s="90" t="s">
        <v>168</v>
      </c>
      <c r="C178" s="97">
        <v>0.83</v>
      </c>
      <c r="D178" s="97">
        <v>6.11</v>
      </c>
      <c r="E178" s="97">
        <v>3.47</v>
      </c>
      <c r="F178" s="97">
        <v>4.6900000000000004</v>
      </c>
      <c r="G178" s="97">
        <v>3.91</v>
      </c>
      <c r="H178" s="97">
        <v>3.69</v>
      </c>
      <c r="I178" s="97">
        <v>3.16</v>
      </c>
      <c r="J178" s="97">
        <v>2.44</v>
      </c>
      <c r="K178" s="97">
        <v>5.0199999999999996</v>
      </c>
      <c r="L178" s="97">
        <v>2.08</v>
      </c>
      <c r="M178" s="97">
        <v>4.1900000000000004</v>
      </c>
      <c r="N178" s="97">
        <v>3.1</v>
      </c>
      <c r="O178" s="91">
        <f t="shared" ref="O178:O183" si="35">SUM(C178:N178)</f>
        <v>42.690000000000005</v>
      </c>
    </row>
    <row r="179" spans="1:15" x14ac:dyDescent="0.2">
      <c r="B179" s="90" t="s">
        <v>169</v>
      </c>
      <c r="C179" s="97">
        <v>7.0000000000000007E-2</v>
      </c>
      <c r="D179" s="97">
        <v>0.59</v>
      </c>
      <c r="E179" s="97">
        <v>0.23</v>
      </c>
      <c r="F179" s="97">
        <v>0.09</v>
      </c>
      <c r="G179" s="97">
        <v>0.18</v>
      </c>
      <c r="H179" s="97">
        <v>0</v>
      </c>
      <c r="I179" s="97">
        <v>0.21</v>
      </c>
      <c r="J179" s="97">
        <v>0</v>
      </c>
      <c r="K179" s="97">
        <v>0.14000000000000001</v>
      </c>
      <c r="L179" s="97">
        <v>0</v>
      </c>
      <c r="M179" s="97">
        <v>0.32</v>
      </c>
      <c r="N179" s="97">
        <v>0.15</v>
      </c>
      <c r="O179" s="91">
        <f t="shared" si="35"/>
        <v>1.9799999999999998</v>
      </c>
    </row>
    <row r="180" spans="1:15" x14ac:dyDescent="0.2">
      <c r="B180" s="90" t="s">
        <v>170</v>
      </c>
      <c r="C180" s="97">
        <v>0</v>
      </c>
      <c r="D180" s="97">
        <v>0</v>
      </c>
      <c r="E180" s="97">
        <v>0</v>
      </c>
      <c r="F180" s="97">
        <v>0</v>
      </c>
      <c r="G180" s="97">
        <v>0</v>
      </c>
      <c r="H180" s="97">
        <v>0</v>
      </c>
      <c r="I180" s="97">
        <v>0</v>
      </c>
      <c r="J180" s="97">
        <v>0</v>
      </c>
      <c r="K180" s="97">
        <v>0</v>
      </c>
      <c r="L180" s="97">
        <v>0</v>
      </c>
      <c r="M180" s="97">
        <v>0</v>
      </c>
      <c r="N180" s="97">
        <v>0</v>
      </c>
      <c r="O180" s="91">
        <f t="shared" si="35"/>
        <v>0</v>
      </c>
    </row>
    <row r="181" spans="1:15" x14ac:dyDescent="0.2">
      <c r="B181" s="105" t="s">
        <v>171</v>
      </c>
      <c r="C181" s="97">
        <v>0</v>
      </c>
      <c r="D181" s="97">
        <v>0</v>
      </c>
      <c r="E181" s="71">
        <v>0</v>
      </c>
      <c r="F181" s="91">
        <v>0</v>
      </c>
      <c r="G181" s="102">
        <v>0</v>
      </c>
      <c r="H181" s="102">
        <v>0</v>
      </c>
      <c r="I181" s="91">
        <v>0</v>
      </c>
      <c r="J181" s="102">
        <v>0</v>
      </c>
      <c r="K181" s="91">
        <v>0</v>
      </c>
      <c r="L181" s="91">
        <v>0</v>
      </c>
      <c r="M181" s="91">
        <v>0</v>
      </c>
      <c r="N181" s="72">
        <v>0</v>
      </c>
      <c r="O181" s="91">
        <f t="shared" si="35"/>
        <v>0</v>
      </c>
    </row>
    <row r="182" spans="1:15" x14ac:dyDescent="0.2">
      <c r="B182" s="90" t="s">
        <v>172</v>
      </c>
      <c r="C182" s="97">
        <v>0.01</v>
      </c>
      <c r="D182" s="97">
        <v>0</v>
      </c>
      <c r="E182" s="97">
        <v>0</v>
      </c>
      <c r="F182" s="97">
        <v>0</v>
      </c>
      <c r="G182" s="97">
        <v>0.02</v>
      </c>
      <c r="H182" s="97">
        <v>0</v>
      </c>
      <c r="I182" s="97">
        <v>0</v>
      </c>
      <c r="J182" s="97">
        <v>0</v>
      </c>
      <c r="K182" s="97">
        <v>0</v>
      </c>
      <c r="L182" s="97">
        <v>0</v>
      </c>
      <c r="M182" s="97">
        <v>0</v>
      </c>
      <c r="N182" s="97">
        <v>0</v>
      </c>
      <c r="O182" s="91">
        <f t="shared" si="35"/>
        <v>0.03</v>
      </c>
    </row>
    <row r="183" spans="1:15" x14ac:dyDescent="0.2">
      <c r="B183" s="90" t="s">
        <v>173</v>
      </c>
      <c r="C183" s="97">
        <v>0.84</v>
      </c>
      <c r="D183" s="97">
        <v>0.71</v>
      </c>
      <c r="E183" s="97">
        <v>2.79</v>
      </c>
      <c r="F183" s="97">
        <v>0.65</v>
      </c>
      <c r="G183" s="97">
        <v>1.26</v>
      </c>
      <c r="H183" s="97">
        <v>1.68</v>
      </c>
      <c r="I183" s="97">
        <v>1.2</v>
      </c>
      <c r="J183" s="97">
        <v>0.23</v>
      </c>
      <c r="K183" s="97">
        <v>0.15</v>
      </c>
      <c r="L183" s="97">
        <v>1.49</v>
      </c>
      <c r="M183" s="97">
        <v>1.1299999999999999</v>
      </c>
      <c r="N183" s="97">
        <v>1.02</v>
      </c>
      <c r="O183" s="91">
        <f t="shared" si="35"/>
        <v>13.149999999999999</v>
      </c>
    </row>
    <row r="184" spans="1:15" x14ac:dyDescent="0.2">
      <c r="C184" s="97"/>
      <c r="D184" s="71"/>
      <c r="E184" s="71"/>
    </row>
    <row r="185" spans="1:15" s="95" customFormat="1" ht="15" x14ac:dyDescent="0.25">
      <c r="A185" s="94" t="s">
        <v>174</v>
      </c>
      <c r="C185" s="96">
        <f>SUM(C186:C192)</f>
        <v>646.21999999999991</v>
      </c>
      <c r="D185" s="96">
        <f t="shared" ref="D185:O185" si="36">SUM(D186:D192)</f>
        <v>631.92999999999995</v>
      </c>
      <c r="E185" s="96">
        <f t="shared" si="36"/>
        <v>804.13000000000011</v>
      </c>
      <c r="F185" s="96">
        <f t="shared" si="36"/>
        <v>505.92999999999995</v>
      </c>
      <c r="G185" s="96">
        <f t="shared" si="36"/>
        <v>861.69</v>
      </c>
      <c r="H185" s="96">
        <f t="shared" si="36"/>
        <v>691.57999999999993</v>
      </c>
      <c r="I185" s="96">
        <f t="shared" si="36"/>
        <v>666.36</v>
      </c>
      <c r="J185" s="96">
        <f t="shared" si="36"/>
        <v>663.84999999999991</v>
      </c>
      <c r="K185" s="96">
        <f t="shared" si="36"/>
        <v>916.84000000000015</v>
      </c>
      <c r="L185" s="96">
        <f t="shared" si="36"/>
        <v>427.64</v>
      </c>
      <c r="M185" s="96">
        <f t="shared" si="36"/>
        <v>866.61</v>
      </c>
      <c r="N185" s="96">
        <f t="shared" si="36"/>
        <v>488.81</v>
      </c>
      <c r="O185" s="96">
        <f t="shared" si="36"/>
        <v>8171.59</v>
      </c>
    </row>
    <row r="186" spans="1:15" x14ac:dyDescent="0.2">
      <c r="B186" s="90" t="s">
        <v>175</v>
      </c>
      <c r="C186" s="97">
        <v>16.8</v>
      </c>
      <c r="D186" s="97">
        <v>16.93</v>
      </c>
      <c r="E186" s="97">
        <v>12.93</v>
      </c>
      <c r="F186" s="97">
        <v>47.59</v>
      </c>
      <c r="G186" s="97">
        <v>42.18</v>
      </c>
      <c r="H186" s="97">
        <v>27.74</v>
      </c>
      <c r="I186" s="97">
        <v>36.61</v>
      </c>
      <c r="J186" s="97">
        <v>25.56</v>
      </c>
      <c r="K186" s="97">
        <v>31.62</v>
      </c>
      <c r="L186" s="97">
        <v>19.03</v>
      </c>
      <c r="M186" s="97">
        <v>43.16</v>
      </c>
      <c r="N186" s="97">
        <v>23.8</v>
      </c>
      <c r="O186" s="91">
        <f>SUM(C186:N186)</f>
        <v>343.95</v>
      </c>
    </row>
    <row r="187" spans="1:15" x14ac:dyDescent="0.2">
      <c r="B187" s="90" t="s">
        <v>176</v>
      </c>
      <c r="C187" s="97">
        <v>6.8</v>
      </c>
      <c r="D187" s="97">
        <v>9.7899999999999991</v>
      </c>
      <c r="E187" s="97">
        <v>5.19</v>
      </c>
      <c r="F187" s="97">
        <v>3.77</v>
      </c>
      <c r="G187" s="97">
        <v>6.32</v>
      </c>
      <c r="H187" s="97">
        <v>19.98</v>
      </c>
      <c r="I187" s="97">
        <v>4.95</v>
      </c>
      <c r="J187" s="97">
        <v>24.68</v>
      </c>
      <c r="K187" s="97">
        <v>5.8</v>
      </c>
      <c r="L187" s="97">
        <v>2.72</v>
      </c>
      <c r="M187" s="97">
        <v>12.18</v>
      </c>
      <c r="N187" s="97">
        <v>4.84</v>
      </c>
      <c r="O187" s="91">
        <f t="shared" ref="O187:O192" si="37">SUM(C187:N187)</f>
        <v>107.02000000000001</v>
      </c>
    </row>
    <row r="188" spans="1:15" x14ac:dyDescent="0.2">
      <c r="B188" s="90" t="s">
        <v>177</v>
      </c>
      <c r="C188" s="97">
        <v>43.32</v>
      </c>
      <c r="D188" s="97">
        <v>45.41</v>
      </c>
      <c r="E188" s="97">
        <v>68.25</v>
      </c>
      <c r="F188" s="97">
        <v>35.36</v>
      </c>
      <c r="G188" s="97">
        <v>63.22</v>
      </c>
      <c r="H188" s="97">
        <v>48.94</v>
      </c>
      <c r="I188" s="97">
        <v>52.86</v>
      </c>
      <c r="J188" s="97">
        <v>57.95</v>
      </c>
      <c r="K188" s="97">
        <v>248.62</v>
      </c>
      <c r="L188" s="97">
        <v>56.36</v>
      </c>
      <c r="M188" s="97">
        <v>70.260000000000005</v>
      </c>
      <c r="N188" s="97">
        <v>25.65</v>
      </c>
      <c r="O188" s="91">
        <f t="shared" si="37"/>
        <v>816.2</v>
      </c>
    </row>
    <row r="189" spans="1:15" s="98" customFormat="1" x14ac:dyDescent="0.2">
      <c r="B189" s="98" t="s">
        <v>178</v>
      </c>
      <c r="C189" s="99">
        <v>503.84</v>
      </c>
      <c r="D189" s="99">
        <v>480.12</v>
      </c>
      <c r="E189" s="99">
        <v>618.71</v>
      </c>
      <c r="F189" s="99">
        <v>356.07</v>
      </c>
      <c r="G189" s="99">
        <v>658.04</v>
      </c>
      <c r="H189" s="99">
        <v>523.72</v>
      </c>
      <c r="I189" s="99">
        <v>515.99</v>
      </c>
      <c r="J189" s="99">
        <v>488.37</v>
      </c>
      <c r="K189" s="99">
        <v>560.57000000000005</v>
      </c>
      <c r="L189" s="99">
        <v>306.82</v>
      </c>
      <c r="M189" s="99">
        <v>667.83</v>
      </c>
      <c r="N189" s="99">
        <v>384.05</v>
      </c>
      <c r="O189" s="91">
        <f t="shared" si="37"/>
        <v>6064.1299999999992</v>
      </c>
    </row>
    <row r="190" spans="1:15" x14ac:dyDescent="0.2">
      <c r="B190" s="90" t="s">
        <v>179</v>
      </c>
      <c r="C190" s="97">
        <v>0.04</v>
      </c>
      <c r="D190" s="97">
        <v>7.0000000000000007E-2</v>
      </c>
      <c r="E190" s="97">
        <v>7.0000000000000007E-2</v>
      </c>
      <c r="F190" s="97">
        <v>0.05</v>
      </c>
      <c r="G190" s="97">
        <v>7.0000000000000007E-2</v>
      </c>
      <c r="H190" s="97">
        <v>0</v>
      </c>
      <c r="I190" s="97">
        <v>0.05</v>
      </c>
      <c r="J190" s="97">
        <v>0</v>
      </c>
      <c r="K190" s="97">
        <v>7.0000000000000007E-2</v>
      </c>
      <c r="L190" s="97">
        <v>0.01</v>
      </c>
      <c r="M190" s="97">
        <v>0.13</v>
      </c>
      <c r="N190" s="97">
        <v>0</v>
      </c>
      <c r="O190" s="91">
        <f t="shared" si="37"/>
        <v>0.56000000000000005</v>
      </c>
    </row>
    <row r="191" spans="1:15" x14ac:dyDescent="0.2">
      <c r="B191" s="90" t="s">
        <v>180</v>
      </c>
      <c r="C191" s="97">
        <v>75.27</v>
      </c>
      <c r="D191" s="97">
        <v>79.55</v>
      </c>
      <c r="E191" s="97">
        <v>98.98</v>
      </c>
      <c r="F191" s="97">
        <v>63.08</v>
      </c>
      <c r="G191" s="97">
        <v>91.83</v>
      </c>
      <c r="H191" s="97">
        <v>71.180000000000007</v>
      </c>
      <c r="I191" s="97">
        <v>55.83</v>
      </c>
      <c r="J191" s="97">
        <v>67.28</v>
      </c>
      <c r="K191" s="97">
        <v>70.16</v>
      </c>
      <c r="L191" s="97">
        <v>42.67</v>
      </c>
      <c r="M191" s="97">
        <v>73.05</v>
      </c>
      <c r="N191" s="97">
        <v>50.46</v>
      </c>
      <c r="O191" s="91">
        <f t="shared" si="37"/>
        <v>839.33999999999992</v>
      </c>
    </row>
    <row r="192" spans="1:15" x14ac:dyDescent="0.2">
      <c r="B192" s="90" t="s">
        <v>181</v>
      </c>
      <c r="C192" s="97">
        <v>0.15</v>
      </c>
      <c r="D192" s="97">
        <v>0.06</v>
      </c>
      <c r="E192" s="97">
        <v>0</v>
      </c>
      <c r="F192" s="97">
        <v>0.01</v>
      </c>
      <c r="G192" s="97">
        <v>0.03</v>
      </c>
      <c r="H192" s="97">
        <v>0.02</v>
      </c>
      <c r="I192" s="97">
        <v>7.0000000000000007E-2</v>
      </c>
      <c r="J192" s="97">
        <v>0.01</v>
      </c>
      <c r="K192" s="97">
        <v>0</v>
      </c>
      <c r="L192" s="97">
        <v>0.03</v>
      </c>
      <c r="M192" s="97">
        <v>0</v>
      </c>
      <c r="N192" s="97">
        <v>0.01</v>
      </c>
      <c r="O192" s="91">
        <f t="shared" si="37"/>
        <v>0.39</v>
      </c>
    </row>
    <row r="193" spans="1:15" x14ac:dyDescent="0.2">
      <c r="C193" s="97"/>
      <c r="D193" s="71"/>
      <c r="E193" s="71"/>
    </row>
    <row r="194" spans="1:15" s="95" customFormat="1" ht="15" x14ac:dyDescent="0.25">
      <c r="A194" s="94" t="s">
        <v>182</v>
      </c>
      <c r="C194" s="96">
        <f>SUM(C195:C233)</f>
        <v>38.000000000000007</v>
      </c>
      <c r="D194" s="96">
        <f t="shared" ref="D194:O194" si="38">SUM(D195:D233)</f>
        <v>95.79</v>
      </c>
      <c r="E194" s="96">
        <f t="shared" si="38"/>
        <v>33.860000000000007</v>
      </c>
      <c r="F194" s="96">
        <f t="shared" si="38"/>
        <v>17.86</v>
      </c>
      <c r="G194" s="96">
        <f t="shared" si="38"/>
        <v>40.260000000000005</v>
      </c>
      <c r="H194" s="96">
        <f t="shared" si="38"/>
        <v>38.370000000000005</v>
      </c>
      <c r="I194" s="96">
        <f t="shared" si="38"/>
        <v>123.32000000000001</v>
      </c>
      <c r="J194" s="96">
        <f t="shared" si="38"/>
        <v>73.570000000000007</v>
      </c>
      <c r="K194" s="96">
        <f t="shared" si="38"/>
        <v>78.36</v>
      </c>
      <c r="L194" s="96">
        <f t="shared" si="38"/>
        <v>30.630000000000003</v>
      </c>
      <c r="M194" s="96">
        <f t="shared" si="38"/>
        <v>97.910000000000011</v>
      </c>
      <c r="N194" s="96">
        <f t="shared" si="38"/>
        <v>32.5</v>
      </c>
      <c r="O194" s="96">
        <f t="shared" si="38"/>
        <v>700.43</v>
      </c>
    </row>
    <row r="195" spans="1:15" x14ac:dyDescent="0.2">
      <c r="B195" s="90" t="s">
        <v>183</v>
      </c>
      <c r="C195" s="97">
        <v>0</v>
      </c>
      <c r="D195" s="71">
        <v>0</v>
      </c>
      <c r="E195" s="71">
        <v>0</v>
      </c>
      <c r="F195" s="71">
        <v>0.05</v>
      </c>
      <c r="G195" s="71">
        <v>0.05</v>
      </c>
      <c r="H195" s="71">
        <v>0</v>
      </c>
      <c r="I195" s="71">
        <v>0</v>
      </c>
      <c r="J195" s="71">
        <v>0.1</v>
      </c>
      <c r="K195" s="71">
        <v>0</v>
      </c>
      <c r="L195" s="71">
        <v>0</v>
      </c>
      <c r="M195" s="71">
        <v>0.01</v>
      </c>
      <c r="N195" s="71">
        <v>0.03</v>
      </c>
      <c r="O195" s="91">
        <f>SUM(C195:N195)</f>
        <v>0.24000000000000002</v>
      </c>
    </row>
    <row r="196" spans="1:15" x14ac:dyDescent="0.2">
      <c r="B196" s="90" t="s">
        <v>184</v>
      </c>
      <c r="C196" s="97">
        <v>0</v>
      </c>
      <c r="D196" s="71">
        <v>0</v>
      </c>
      <c r="E196" s="71">
        <v>0</v>
      </c>
      <c r="F196" s="71">
        <v>0</v>
      </c>
      <c r="G196" s="71">
        <v>0</v>
      </c>
      <c r="H196" s="71">
        <v>0</v>
      </c>
      <c r="I196" s="71">
        <v>0</v>
      </c>
      <c r="J196" s="71">
        <v>0.05</v>
      </c>
      <c r="K196" s="71">
        <v>0.01</v>
      </c>
      <c r="L196" s="71">
        <v>0</v>
      </c>
      <c r="M196" s="71">
        <v>0</v>
      </c>
      <c r="N196" s="71">
        <v>0</v>
      </c>
      <c r="O196" s="91">
        <f t="shared" ref="O196:O233" si="39">SUM(C196:N196)</f>
        <v>6.0000000000000005E-2</v>
      </c>
    </row>
    <row r="197" spans="1:15" x14ac:dyDescent="0.2">
      <c r="B197" s="90" t="s">
        <v>185</v>
      </c>
      <c r="C197" s="97">
        <v>0</v>
      </c>
      <c r="D197" s="71">
        <v>0</v>
      </c>
      <c r="E197" s="71">
        <v>0.01</v>
      </c>
      <c r="F197" s="71">
        <v>0.01</v>
      </c>
      <c r="G197" s="71">
        <v>0.01</v>
      </c>
      <c r="H197" s="71">
        <v>7.0000000000000007E-2</v>
      </c>
      <c r="I197" s="71">
        <v>0</v>
      </c>
      <c r="J197" s="71">
        <v>0.01</v>
      </c>
      <c r="K197" s="71">
        <v>0.01</v>
      </c>
      <c r="L197" s="71">
        <v>0</v>
      </c>
      <c r="M197" s="71">
        <v>0.04</v>
      </c>
      <c r="N197" s="71">
        <v>0.05</v>
      </c>
      <c r="O197" s="91">
        <f t="shared" si="39"/>
        <v>0.21000000000000002</v>
      </c>
    </row>
    <row r="198" spans="1:15" x14ac:dyDescent="0.2">
      <c r="B198" s="90" t="s">
        <v>186</v>
      </c>
      <c r="C198" s="97">
        <v>0</v>
      </c>
      <c r="D198" s="71">
        <v>0</v>
      </c>
      <c r="E198" s="71">
        <v>0</v>
      </c>
      <c r="F198" s="71">
        <v>0</v>
      </c>
      <c r="G198" s="71">
        <v>0</v>
      </c>
      <c r="H198" s="71">
        <v>0.03</v>
      </c>
      <c r="I198" s="71">
        <v>0.01</v>
      </c>
      <c r="J198" s="71">
        <v>0</v>
      </c>
      <c r="K198" s="71">
        <v>0</v>
      </c>
      <c r="L198" s="71">
        <v>0</v>
      </c>
      <c r="M198" s="71">
        <v>0</v>
      </c>
      <c r="N198" s="71">
        <v>0.01</v>
      </c>
      <c r="O198" s="91">
        <f t="shared" si="39"/>
        <v>0.05</v>
      </c>
    </row>
    <row r="199" spans="1:15" x14ac:dyDescent="0.2">
      <c r="B199" s="90" t="s">
        <v>187</v>
      </c>
      <c r="C199" s="97">
        <v>19.98</v>
      </c>
      <c r="D199" s="71">
        <v>25.6</v>
      </c>
      <c r="E199" s="71">
        <v>8.1</v>
      </c>
      <c r="F199" s="71">
        <v>0</v>
      </c>
      <c r="G199" s="71">
        <v>2.14</v>
      </c>
      <c r="H199" s="71">
        <v>9.15</v>
      </c>
      <c r="I199" s="71">
        <v>74.59</v>
      </c>
      <c r="J199" s="71">
        <v>20.149999999999999</v>
      </c>
      <c r="K199" s="71">
        <v>2.16</v>
      </c>
      <c r="L199" s="71">
        <v>8.23</v>
      </c>
      <c r="M199" s="71">
        <v>55.36</v>
      </c>
      <c r="N199" s="71">
        <v>0.28999999999999998</v>
      </c>
      <c r="O199" s="91">
        <f t="shared" si="39"/>
        <v>225.74999999999997</v>
      </c>
    </row>
    <row r="200" spans="1:15" x14ac:dyDescent="0.2">
      <c r="B200" s="90" t="s">
        <v>188</v>
      </c>
      <c r="C200" s="97">
        <v>0.01</v>
      </c>
      <c r="D200" s="71">
        <v>0.01</v>
      </c>
      <c r="E200" s="71">
        <v>0.02</v>
      </c>
      <c r="F200" s="71">
        <v>0</v>
      </c>
      <c r="G200" s="71">
        <v>0.01</v>
      </c>
      <c r="H200" s="71">
        <v>0</v>
      </c>
      <c r="I200" s="71">
        <v>0.01</v>
      </c>
      <c r="J200" s="71">
        <v>0</v>
      </c>
      <c r="K200" s="71">
        <v>0</v>
      </c>
      <c r="L200" s="71">
        <v>0</v>
      </c>
      <c r="M200" s="71">
        <v>0</v>
      </c>
      <c r="N200" s="71">
        <v>0</v>
      </c>
      <c r="O200" s="91">
        <f t="shared" si="39"/>
        <v>6.0000000000000005E-2</v>
      </c>
    </row>
    <row r="201" spans="1:15" x14ac:dyDescent="0.2">
      <c r="B201" s="90" t="s">
        <v>189</v>
      </c>
      <c r="C201" s="97">
        <v>0.15</v>
      </c>
      <c r="D201" s="71">
        <v>0.04</v>
      </c>
      <c r="E201" s="71">
        <v>0.01</v>
      </c>
      <c r="F201" s="71">
        <v>0</v>
      </c>
      <c r="G201" s="71">
        <v>2.95</v>
      </c>
      <c r="H201" s="71">
        <v>0.02</v>
      </c>
      <c r="I201" s="71">
        <v>0.03</v>
      </c>
      <c r="J201" s="71">
        <v>0.01</v>
      </c>
      <c r="K201" s="71">
        <v>0.03</v>
      </c>
      <c r="L201" s="71">
        <v>0.15</v>
      </c>
      <c r="M201" s="71">
        <v>0</v>
      </c>
      <c r="N201" s="71">
        <v>0.04</v>
      </c>
      <c r="O201" s="91">
        <f t="shared" si="39"/>
        <v>3.4299999999999997</v>
      </c>
    </row>
    <row r="202" spans="1:15" x14ac:dyDescent="0.2">
      <c r="B202" s="90" t="s">
        <v>190</v>
      </c>
      <c r="C202" s="97">
        <v>3.1</v>
      </c>
      <c r="D202" s="71">
        <v>11.55</v>
      </c>
      <c r="E202" s="71">
        <v>9.7899999999999991</v>
      </c>
      <c r="F202" s="71">
        <v>8.26</v>
      </c>
      <c r="G202" s="71">
        <v>18.18</v>
      </c>
      <c r="H202" s="71">
        <v>19.649999999999999</v>
      </c>
      <c r="I202" s="71">
        <v>26.24</v>
      </c>
      <c r="J202" s="71">
        <v>22.21</v>
      </c>
      <c r="K202" s="71">
        <v>46.56</v>
      </c>
      <c r="L202" s="71">
        <v>8.57</v>
      </c>
      <c r="M202" s="71">
        <v>16.96</v>
      </c>
      <c r="N202" s="71">
        <v>12.78</v>
      </c>
      <c r="O202" s="91">
        <f t="shared" si="39"/>
        <v>203.85</v>
      </c>
    </row>
    <row r="203" spans="1:15" x14ac:dyDescent="0.2">
      <c r="B203" s="90" t="s">
        <v>191</v>
      </c>
      <c r="C203" s="97">
        <v>0.01</v>
      </c>
      <c r="D203" s="71">
        <v>0</v>
      </c>
      <c r="E203" s="71">
        <v>0</v>
      </c>
      <c r="F203" s="71">
        <v>0</v>
      </c>
      <c r="G203" s="71">
        <v>0.01</v>
      </c>
      <c r="H203" s="71">
        <v>0</v>
      </c>
      <c r="I203" s="71">
        <v>0</v>
      </c>
      <c r="J203" s="71">
        <v>0</v>
      </c>
      <c r="K203" s="71">
        <v>0</v>
      </c>
      <c r="L203" s="71">
        <v>0</v>
      </c>
      <c r="M203" s="71">
        <v>0</v>
      </c>
      <c r="N203" s="71">
        <v>0</v>
      </c>
      <c r="O203" s="91">
        <f t="shared" si="39"/>
        <v>0.02</v>
      </c>
    </row>
    <row r="204" spans="1:15" x14ac:dyDescent="0.2">
      <c r="B204" s="90" t="s">
        <v>192</v>
      </c>
      <c r="C204" s="97">
        <v>0</v>
      </c>
      <c r="D204" s="71">
        <v>0</v>
      </c>
      <c r="E204" s="71">
        <v>0</v>
      </c>
      <c r="F204" s="71">
        <v>0</v>
      </c>
      <c r="G204" s="71">
        <v>0</v>
      </c>
      <c r="H204" s="71">
        <v>0</v>
      </c>
      <c r="I204" s="71">
        <v>0</v>
      </c>
      <c r="J204" s="71">
        <v>0</v>
      </c>
      <c r="K204" s="71">
        <v>0</v>
      </c>
      <c r="L204" s="71">
        <v>0</v>
      </c>
      <c r="M204" s="71">
        <v>0</v>
      </c>
      <c r="N204" s="71">
        <v>0</v>
      </c>
      <c r="O204" s="91">
        <f t="shared" si="39"/>
        <v>0</v>
      </c>
    </row>
    <row r="205" spans="1:15" x14ac:dyDescent="0.2">
      <c r="B205" s="90" t="s">
        <v>193</v>
      </c>
      <c r="C205" s="97">
        <v>0</v>
      </c>
      <c r="D205" s="71">
        <v>0</v>
      </c>
      <c r="E205" s="71">
        <v>0</v>
      </c>
      <c r="F205" s="71">
        <v>0.01</v>
      </c>
      <c r="G205" s="71">
        <v>0.43</v>
      </c>
      <c r="H205" s="71">
        <v>0</v>
      </c>
      <c r="I205" s="71">
        <v>0</v>
      </c>
      <c r="J205" s="71">
        <v>14.09</v>
      </c>
      <c r="K205" s="71">
        <v>3.74</v>
      </c>
      <c r="L205" s="71">
        <v>0</v>
      </c>
      <c r="M205" s="71">
        <v>10.8</v>
      </c>
      <c r="N205" s="71">
        <v>0</v>
      </c>
      <c r="O205" s="91">
        <f t="shared" si="39"/>
        <v>29.07</v>
      </c>
    </row>
    <row r="206" spans="1:15" x14ac:dyDescent="0.2">
      <c r="B206" s="90" t="s">
        <v>194</v>
      </c>
      <c r="C206" s="97">
        <v>0</v>
      </c>
      <c r="D206" s="71">
        <v>0.01</v>
      </c>
      <c r="E206" s="71">
        <v>0</v>
      </c>
      <c r="F206" s="71">
        <v>0</v>
      </c>
      <c r="G206" s="71">
        <v>0</v>
      </c>
      <c r="H206" s="71">
        <v>0</v>
      </c>
      <c r="I206" s="71">
        <v>0</v>
      </c>
      <c r="J206" s="71">
        <v>0</v>
      </c>
      <c r="K206" s="71">
        <v>0.01</v>
      </c>
      <c r="L206" s="71">
        <v>0</v>
      </c>
      <c r="M206" s="71">
        <v>0</v>
      </c>
      <c r="N206" s="71">
        <v>0.33</v>
      </c>
      <c r="O206" s="91">
        <f t="shared" si="39"/>
        <v>0.35000000000000003</v>
      </c>
    </row>
    <row r="207" spans="1:15" x14ac:dyDescent="0.2">
      <c r="B207" s="90" t="s">
        <v>195</v>
      </c>
      <c r="C207" s="97">
        <v>0.4</v>
      </c>
      <c r="D207" s="71">
        <v>0.18</v>
      </c>
      <c r="E207" s="71">
        <v>0.99</v>
      </c>
      <c r="F207" s="71">
        <v>0.46</v>
      </c>
      <c r="G207" s="71">
        <v>0.21</v>
      </c>
      <c r="H207" s="71">
        <v>0.09</v>
      </c>
      <c r="I207" s="71">
        <v>0.15</v>
      </c>
      <c r="J207" s="71">
        <v>0.18</v>
      </c>
      <c r="K207" s="71">
        <v>0.23</v>
      </c>
      <c r="L207" s="71">
        <v>0.01</v>
      </c>
      <c r="M207" s="71">
        <v>0.17</v>
      </c>
      <c r="N207" s="71">
        <v>0.38</v>
      </c>
      <c r="O207" s="91">
        <f t="shared" si="39"/>
        <v>3.4499999999999997</v>
      </c>
    </row>
    <row r="208" spans="1:15" x14ac:dyDescent="0.2">
      <c r="B208" s="90" t="s">
        <v>196</v>
      </c>
      <c r="C208" s="97">
        <v>0</v>
      </c>
      <c r="D208" s="71">
        <v>0</v>
      </c>
      <c r="E208" s="71">
        <v>0</v>
      </c>
      <c r="F208" s="71">
        <v>0</v>
      </c>
      <c r="G208" s="71">
        <v>0</v>
      </c>
      <c r="H208" s="71">
        <v>0</v>
      </c>
      <c r="I208" s="71">
        <v>0</v>
      </c>
      <c r="J208" s="71">
        <v>0</v>
      </c>
      <c r="K208" s="71">
        <v>0</v>
      </c>
      <c r="L208" s="71">
        <v>0</v>
      </c>
      <c r="M208" s="71">
        <v>0</v>
      </c>
      <c r="N208" s="71">
        <v>0</v>
      </c>
      <c r="O208" s="91">
        <f t="shared" si="39"/>
        <v>0</v>
      </c>
    </row>
    <row r="209" spans="2:15" x14ac:dyDescent="0.2">
      <c r="B209" s="90" t="s">
        <v>197</v>
      </c>
      <c r="C209" s="97">
        <v>0</v>
      </c>
      <c r="D209" s="71">
        <v>0</v>
      </c>
      <c r="E209" s="71">
        <v>0</v>
      </c>
      <c r="F209" s="71">
        <v>0</v>
      </c>
      <c r="G209" s="71">
        <v>0.04</v>
      </c>
      <c r="H209" s="71">
        <v>0</v>
      </c>
      <c r="I209" s="71">
        <v>0</v>
      </c>
      <c r="J209" s="71">
        <v>0</v>
      </c>
      <c r="K209" s="71">
        <v>0.04</v>
      </c>
      <c r="L209" s="71">
        <v>0</v>
      </c>
      <c r="M209" s="71">
        <v>0.01</v>
      </c>
      <c r="N209" s="71">
        <v>0</v>
      </c>
      <c r="O209" s="91">
        <f t="shared" si="39"/>
        <v>0.09</v>
      </c>
    </row>
    <row r="210" spans="2:15" x14ac:dyDescent="0.2">
      <c r="B210" s="90" t="s">
        <v>198</v>
      </c>
      <c r="C210" s="97">
        <v>0</v>
      </c>
      <c r="D210" s="71">
        <v>0</v>
      </c>
      <c r="E210" s="71">
        <v>0</v>
      </c>
      <c r="F210" s="71">
        <v>0</v>
      </c>
      <c r="G210" s="71">
        <v>0</v>
      </c>
      <c r="H210" s="71">
        <v>0</v>
      </c>
      <c r="I210" s="71">
        <v>0</v>
      </c>
      <c r="J210" s="71">
        <v>0</v>
      </c>
      <c r="K210" s="71">
        <v>0</v>
      </c>
      <c r="L210" s="71">
        <v>0</v>
      </c>
      <c r="M210" s="71">
        <v>0</v>
      </c>
      <c r="N210" s="71">
        <v>0</v>
      </c>
      <c r="O210" s="91">
        <f t="shared" si="39"/>
        <v>0</v>
      </c>
    </row>
    <row r="211" spans="2:15" x14ac:dyDescent="0.2">
      <c r="B211" s="90" t="s">
        <v>199</v>
      </c>
      <c r="C211" s="97">
        <v>0.02</v>
      </c>
      <c r="D211" s="71">
        <v>0.23</v>
      </c>
      <c r="E211" s="71">
        <v>0.02</v>
      </c>
      <c r="F211" s="71">
        <v>0.03</v>
      </c>
      <c r="G211" s="71">
        <v>0.03</v>
      </c>
      <c r="H211" s="71">
        <v>0</v>
      </c>
      <c r="I211" s="71">
        <v>7.0000000000000007E-2</v>
      </c>
      <c r="J211" s="71">
        <v>0.08</v>
      </c>
      <c r="K211" s="71">
        <v>7.66</v>
      </c>
      <c r="L211" s="71">
        <v>0.03</v>
      </c>
      <c r="M211" s="71">
        <v>0.04</v>
      </c>
      <c r="N211" s="71">
        <v>0.02</v>
      </c>
      <c r="O211" s="91">
        <f t="shared" si="39"/>
        <v>8.2299999999999986</v>
      </c>
    </row>
    <row r="212" spans="2:15" x14ac:dyDescent="0.2">
      <c r="B212" s="90" t="s">
        <v>200</v>
      </c>
      <c r="C212" s="97">
        <v>0.02</v>
      </c>
      <c r="D212" s="71">
        <v>0.01</v>
      </c>
      <c r="E212" s="71">
        <v>0.01</v>
      </c>
      <c r="F212" s="71">
        <v>0</v>
      </c>
      <c r="G212" s="71">
        <v>0.02</v>
      </c>
      <c r="H212" s="71">
        <v>0.13</v>
      </c>
      <c r="I212" s="71">
        <v>0.05</v>
      </c>
      <c r="J212" s="71">
        <v>0</v>
      </c>
      <c r="K212" s="71">
        <v>0.11</v>
      </c>
      <c r="L212" s="71">
        <v>0</v>
      </c>
      <c r="M212" s="71">
        <v>0.12</v>
      </c>
      <c r="N212" s="71">
        <v>0.04</v>
      </c>
      <c r="O212" s="91">
        <f t="shared" si="39"/>
        <v>0.51</v>
      </c>
    </row>
    <row r="213" spans="2:15" x14ac:dyDescent="0.2">
      <c r="B213" s="90" t="s">
        <v>201</v>
      </c>
      <c r="C213" s="97">
        <v>0</v>
      </c>
      <c r="D213" s="71">
        <v>0</v>
      </c>
      <c r="E213" s="71">
        <v>0</v>
      </c>
      <c r="F213" s="71">
        <v>0</v>
      </c>
      <c r="G213" s="71">
        <v>0</v>
      </c>
      <c r="H213" s="71">
        <v>0</v>
      </c>
      <c r="I213" s="71">
        <v>0</v>
      </c>
      <c r="J213" s="71">
        <v>0</v>
      </c>
      <c r="K213" s="71">
        <v>0</v>
      </c>
      <c r="L213" s="71">
        <v>0</v>
      </c>
      <c r="M213" s="71">
        <v>0</v>
      </c>
      <c r="N213" s="71">
        <v>0</v>
      </c>
      <c r="O213" s="91">
        <f t="shared" si="39"/>
        <v>0</v>
      </c>
    </row>
    <row r="214" spans="2:15" x14ac:dyDescent="0.2">
      <c r="B214" s="90" t="s">
        <v>202</v>
      </c>
      <c r="C214" s="97">
        <v>0</v>
      </c>
      <c r="D214" s="71">
        <v>0</v>
      </c>
      <c r="E214" s="71">
        <v>0</v>
      </c>
      <c r="F214" s="71">
        <v>0</v>
      </c>
      <c r="G214" s="71">
        <v>0</v>
      </c>
      <c r="H214" s="71">
        <v>0</v>
      </c>
      <c r="I214" s="71">
        <v>0</v>
      </c>
      <c r="J214" s="71">
        <v>0</v>
      </c>
      <c r="K214" s="71">
        <v>0</v>
      </c>
      <c r="L214" s="71">
        <v>0</v>
      </c>
      <c r="M214" s="71">
        <v>0</v>
      </c>
      <c r="N214" s="71">
        <v>0</v>
      </c>
      <c r="O214" s="91">
        <f t="shared" si="39"/>
        <v>0</v>
      </c>
    </row>
    <row r="215" spans="2:15" x14ac:dyDescent="0.2">
      <c r="B215" s="90" t="s">
        <v>203</v>
      </c>
      <c r="C215" s="97">
        <v>0</v>
      </c>
      <c r="D215" s="71">
        <v>0</v>
      </c>
      <c r="E215" s="71">
        <v>0</v>
      </c>
      <c r="F215" s="71">
        <v>0</v>
      </c>
      <c r="G215" s="71">
        <v>0</v>
      </c>
      <c r="H215" s="71">
        <v>0</v>
      </c>
      <c r="I215" s="71">
        <v>0</v>
      </c>
      <c r="J215" s="71">
        <v>0</v>
      </c>
      <c r="K215" s="71">
        <v>0</v>
      </c>
      <c r="L215" s="71">
        <v>0</v>
      </c>
      <c r="M215" s="71">
        <v>0</v>
      </c>
      <c r="N215" s="71">
        <v>0</v>
      </c>
      <c r="O215" s="91">
        <f t="shared" si="39"/>
        <v>0</v>
      </c>
    </row>
    <row r="216" spans="2:15" x14ac:dyDescent="0.2">
      <c r="B216" s="90" t="s">
        <v>204</v>
      </c>
      <c r="C216" s="97">
        <v>0</v>
      </c>
      <c r="D216" s="71">
        <v>0</v>
      </c>
      <c r="E216" s="71">
        <v>0</v>
      </c>
      <c r="F216" s="71">
        <v>0</v>
      </c>
      <c r="G216" s="71">
        <v>0</v>
      </c>
      <c r="H216" s="71">
        <v>0</v>
      </c>
      <c r="I216" s="71">
        <v>0</v>
      </c>
      <c r="J216" s="71">
        <v>0</v>
      </c>
      <c r="K216" s="71">
        <v>0</v>
      </c>
      <c r="L216" s="71">
        <v>0</v>
      </c>
      <c r="M216" s="71">
        <v>0</v>
      </c>
      <c r="N216" s="71">
        <v>0</v>
      </c>
      <c r="O216" s="91">
        <f t="shared" si="39"/>
        <v>0</v>
      </c>
    </row>
    <row r="217" spans="2:15" x14ac:dyDescent="0.2">
      <c r="B217" s="90" t="s">
        <v>205</v>
      </c>
      <c r="C217" s="97">
        <v>0</v>
      </c>
      <c r="D217" s="71">
        <v>0</v>
      </c>
      <c r="E217" s="71">
        <v>0</v>
      </c>
      <c r="F217" s="71">
        <v>0</v>
      </c>
      <c r="G217" s="71">
        <v>0</v>
      </c>
      <c r="H217" s="71">
        <v>0</v>
      </c>
      <c r="I217" s="71">
        <v>0</v>
      </c>
      <c r="J217" s="71">
        <v>0</v>
      </c>
      <c r="K217" s="71">
        <v>0</v>
      </c>
      <c r="L217" s="71">
        <v>0</v>
      </c>
      <c r="M217" s="71">
        <v>0</v>
      </c>
      <c r="N217" s="71">
        <v>0</v>
      </c>
      <c r="O217" s="91">
        <f t="shared" si="39"/>
        <v>0</v>
      </c>
    </row>
    <row r="218" spans="2:15" x14ac:dyDescent="0.2">
      <c r="B218" s="90" t="s">
        <v>206</v>
      </c>
      <c r="C218" s="97">
        <v>0.14000000000000001</v>
      </c>
      <c r="D218" s="71">
        <v>0.09</v>
      </c>
      <c r="E218" s="71">
        <v>0.16</v>
      </c>
      <c r="F218" s="71">
        <v>0.08</v>
      </c>
      <c r="G218" s="71">
        <v>0.13</v>
      </c>
      <c r="H218" s="71">
        <v>0.1</v>
      </c>
      <c r="I218" s="71">
        <v>0.13</v>
      </c>
      <c r="J218" s="71">
        <v>0.17</v>
      </c>
      <c r="K218" s="71">
        <v>0.2</v>
      </c>
      <c r="L218" s="71">
        <v>0.04</v>
      </c>
      <c r="M218" s="71">
        <v>7.0000000000000007E-2</v>
      </c>
      <c r="N218" s="71">
        <v>0.04</v>
      </c>
      <c r="O218" s="91">
        <f t="shared" si="39"/>
        <v>1.35</v>
      </c>
    </row>
    <row r="219" spans="2:15" x14ac:dyDescent="0.2">
      <c r="B219" s="90" t="s">
        <v>207</v>
      </c>
      <c r="C219" s="97">
        <v>0</v>
      </c>
      <c r="D219" s="71">
        <v>0</v>
      </c>
      <c r="E219" s="71">
        <v>0</v>
      </c>
      <c r="F219" s="71">
        <v>0</v>
      </c>
      <c r="G219" s="71">
        <v>0</v>
      </c>
      <c r="H219" s="71">
        <v>0</v>
      </c>
      <c r="I219" s="71">
        <v>0</v>
      </c>
      <c r="J219" s="71">
        <v>0</v>
      </c>
      <c r="K219" s="71">
        <v>0</v>
      </c>
      <c r="L219" s="71">
        <v>0</v>
      </c>
      <c r="M219" s="71">
        <v>0</v>
      </c>
      <c r="N219" s="71">
        <v>0</v>
      </c>
      <c r="O219" s="91">
        <f t="shared" si="39"/>
        <v>0</v>
      </c>
    </row>
    <row r="220" spans="2:15" x14ac:dyDescent="0.2">
      <c r="B220" s="90" t="s">
        <v>208</v>
      </c>
      <c r="C220" s="97">
        <v>0</v>
      </c>
      <c r="D220" s="71">
        <v>0</v>
      </c>
      <c r="E220" s="71">
        <v>0</v>
      </c>
      <c r="F220" s="71">
        <v>0</v>
      </c>
      <c r="G220" s="71">
        <v>0.18</v>
      </c>
      <c r="H220" s="71">
        <v>0</v>
      </c>
      <c r="I220" s="71">
        <v>0</v>
      </c>
      <c r="J220" s="71">
        <v>0</v>
      </c>
      <c r="K220" s="71">
        <v>0</v>
      </c>
      <c r="L220" s="71">
        <v>0</v>
      </c>
      <c r="M220" s="71">
        <v>0</v>
      </c>
      <c r="N220" s="71">
        <v>0</v>
      </c>
      <c r="O220" s="91">
        <f t="shared" si="39"/>
        <v>0.18</v>
      </c>
    </row>
    <row r="221" spans="2:15" x14ac:dyDescent="0.2">
      <c r="B221" s="90" t="s">
        <v>209</v>
      </c>
      <c r="C221" s="97">
        <v>0</v>
      </c>
      <c r="D221" s="71">
        <v>0</v>
      </c>
      <c r="E221" s="71">
        <v>0</v>
      </c>
      <c r="F221" s="71">
        <v>0</v>
      </c>
      <c r="G221" s="71">
        <v>0</v>
      </c>
      <c r="H221" s="71">
        <v>0</v>
      </c>
      <c r="I221" s="71">
        <v>0</v>
      </c>
      <c r="J221" s="71">
        <v>0</v>
      </c>
      <c r="K221" s="71">
        <v>0</v>
      </c>
      <c r="L221" s="71">
        <v>0</v>
      </c>
      <c r="M221" s="71">
        <v>0</v>
      </c>
      <c r="N221" s="71">
        <v>0</v>
      </c>
      <c r="O221" s="91">
        <f t="shared" si="39"/>
        <v>0</v>
      </c>
    </row>
    <row r="222" spans="2:15" x14ac:dyDescent="0.2">
      <c r="B222" s="90" t="s">
        <v>210</v>
      </c>
      <c r="C222" s="97">
        <v>0</v>
      </c>
      <c r="D222" s="71">
        <v>0</v>
      </c>
      <c r="E222" s="71">
        <v>0</v>
      </c>
      <c r="F222" s="71">
        <v>0</v>
      </c>
      <c r="G222" s="71">
        <v>0</v>
      </c>
      <c r="H222" s="71">
        <v>0</v>
      </c>
      <c r="I222" s="71">
        <v>0</v>
      </c>
      <c r="J222" s="71">
        <v>0</v>
      </c>
      <c r="K222" s="71">
        <v>0</v>
      </c>
      <c r="L222" s="71">
        <v>0</v>
      </c>
      <c r="M222" s="71">
        <v>0</v>
      </c>
      <c r="N222" s="71">
        <v>2.95</v>
      </c>
      <c r="O222" s="91">
        <f t="shared" si="39"/>
        <v>2.95</v>
      </c>
    </row>
    <row r="223" spans="2:15" x14ac:dyDescent="0.2">
      <c r="B223" s="90" t="s">
        <v>211</v>
      </c>
      <c r="C223" s="97">
        <v>0</v>
      </c>
      <c r="D223" s="71">
        <v>0</v>
      </c>
      <c r="E223" s="71">
        <v>0</v>
      </c>
      <c r="F223" s="71">
        <v>0</v>
      </c>
      <c r="G223" s="71">
        <v>0</v>
      </c>
      <c r="H223" s="71">
        <v>0</v>
      </c>
      <c r="I223" s="71">
        <v>0</v>
      </c>
      <c r="J223" s="71">
        <v>0</v>
      </c>
      <c r="K223" s="71">
        <v>0</v>
      </c>
      <c r="L223" s="71">
        <v>0</v>
      </c>
      <c r="M223" s="71">
        <v>0</v>
      </c>
      <c r="N223" s="71">
        <v>0</v>
      </c>
      <c r="O223" s="91">
        <f t="shared" si="39"/>
        <v>0</v>
      </c>
    </row>
    <row r="224" spans="2:15" x14ac:dyDescent="0.2">
      <c r="B224" s="90" t="s">
        <v>212</v>
      </c>
      <c r="C224" s="97">
        <v>0.06</v>
      </c>
      <c r="D224" s="71">
        <v>0</v>
      </c>
      <c r="E224" s="71">
        <v>0</v>
      </c>
      <c r="F224" s="71">
        <v>0</v>
      </c>
      <c r="G224" s="71">
        <v>0</v>
      </c>
      <c r="H224" s="71">
        <v>0.01</v>
      </c>
      <c r="I224" s="71">
        <v>0</v>
      </c>
      <c r="J224" s="71">
        <v>0</v>
      </c>
      <c r="K224" s="71">
        <v>0</v>
      </c>
      <c r="L224" s="71">
        <v>0</v>
      </c>
      <c r="M224" s="71">
        <v>0</v>
      </c>
      <c r="N224" s="71">
        <v>0</v>
      </c>
      <c r="O224" s="91">
        <f t="shared" si="39"/>
        <v>6.9999999999999993E-2</v>
      </c>
    </row>
    <row r="225" spans="1:15" x14ac:dyDescent="0.2">
      <c r="B225" s="90" t="s">
        <v>213</v>
      </c>
      <c r="C225" s="97">
        <v>0</v>
      </c>
      <c r="D225" s="71">
        <v>0</v>
      </c>
      <c r="E225" s="71">
        <v>0</v>
      </c>
      <c r="F225" s="71">
        <v>0</v>
      </c>
      <c r="G225" s="71">
        <v>0</v>
      </c>
      <c r="H225" s="71">
        <v>0</v>
      </c>
      <c r="I225" s="71">
        <v>0</v>
      </c>
      <c r="J225" s="71">
        <v>0</v>
      </c>
      <c r="K225" s="71">
        <v>0</v>
      </c>
      <c r="L225" s="71">
        <v>0</v>
      </c>
      <c r="M225" s="71">
        <v>0</v>
      </c>
      <c r="N225" s="71">
        <v>0</v>
      </c>
      <c r="O225" s="91">
        <f t="shared" si="39"/>
        <v>0</v>
      </c>
    </row>
    <row r="226" spans="1:15" x14ac:dyDescent="0.2">
      <c r="B226" s="105" t="s">
        <v>214</v>
      </c>
      <c r="C226" s="97">
        <v>0</v>
      </c>
      <c r="D226" s="71">
        <v>0</v>
      </c>
      <c r="E226" s="71">
        <v>0</v>
      </c>
      <c r="F226" s="71">
        <v>0</v>
      </c>
      <c r="G226" s="71">
        <v>0</v>
      </c>
      <c r="H226" s="71">
        <v>0</v>
      </c>
      <c r="I226" s="71">
        <v>0</v>
      </c>
      <c r="J226" s="71">
        <v>0</v>
      </c>
      <c r="K226" s="71">
        <v>0</v>
      </c>
      <c r="L226" s="71">
        <v>0</v>
      </c>
      <c r="M226" s="71">
        <v>0</v>
      </c>
      <c r="N226" s="71">
        <v>0</v>
      </c>
      <c r="O226" s="91">
        <f t="shared" si="39"/>
        <v>0</v>
      </c>
    </row>
    <row r="227" spans="1:15" x14ac:dyDescent="0.2">
      <c r="B227" s="90" t="s">
        <v>215</v>
      </c>
      <c r="C227" s="97">
        <v>0.01</v>
      </c>
      <c r="D227" s="71">
        <v>0</v>
      </c>
      <c r="E227" s="71">
        <v>0.01</v>
      </c>
      <c r="F227" s="71">
        <v>0.04</v>
      </c>
      <c r="G227" s="71">
        <v>0.01</v>
      </c>
      <c r="H227" s="71">
        <v>0.03</v>
      </c>
      <c r="I227" s="71">
        <v>0</v>
      </c>
      <c r="J227" s="71">
        <v>0.01</v>
      </c>
      <c r="K227" s="71">
        <v>0.01</v>
      </c>
      <c r="L227" s="71">
        <v>0</v>
      </c>
      <c r="M227" s="71">
        <v>0.01</v>
      </c>
      <c r="N227" s="71">
        <v>0</v>
      </c>
      <c r="O227" s="91">
        <f t="shared" si="39"/>
        <v>0.12999999999999998</v>
      </c>
    </row>
    <row r="228" spans="1:15" x14ac:dyDescent="0.2">
      <c r="B228" s="105" t="s">
        <v>216</v>
      </c>
      <c r="C228" s="97">
        <v>0</v>
      </c>
      <c r="D228" s="71">
        <v>0</v>
      </c>
      <c r="E228" s="71">
        <v>0</v>
      </c>
      <c r="F228" s="71">
        <v>0</v>
      </c>
      <c r="G228" s="71">
        <v>0</v>
      </c>
      <c r="H228" s="71">
        <v>0</v>
      </c>
      <c r="I228" s="71">
        <v>0</v>
      </c>
      <c r="J228" s="71">
        <v>0</v>
      </c>
      <c r="K228" s="71">
        <v>0</v>
      </c>
      <c r="L228" s="71">
        <v>0</v>
      </c>
      <c r="M228" s="71">
        <v>0</v>
      </c>
      <c r="N228" s="71">
        <v>0</v>
      </c>
      <c r="O228" s="91">
        <f t="shared" si="39"/>
        <v>0</v>
      </c>
    </row>
    <row r="229" spans="1:15" x14ac:dyDescent="0.2">
      <c r="B229" s="90" t="s">
        <v>217</v>
      </c>
      <c r="C229" s="97">
        <v>4.4000000000000004</v>
      </c>
      <c r="D229" s="71">
        <v>5.48</v>
      </c>
      <c r="E229" s="71">
        <v>7.58</v>
      </c>
      <c r="F229" s="71">
        <v>6.09</v>
      </c>
      <c r="G229" s="71">
        <v>5.61</v>
      </c>
      <c r="H229" s="71">
        <v>3.53</v>
      </c>
      <c r="I229" s="71">
        <v>10.7</v>
      </c>
      <c r="J229" s="71">
        <v>10.72</v>
      </c>
      <c r="K229" s="71">
        <v>6.07</v>
      </c>
      <c r="L229" s="71">
        <v>1.91</v>
      </c>
      <c r="M229" s="71">
        <v>7.72</v>
      </c>
      <c r="N229" s="71">
        <v>2.96</v>
      </c>
      <c r="O229" s="91">
        <f t="shared" si="39"/>
        <v>72.77</v>
      </c>
    </row>
    <row r="230" spans="1:15" x14ac:dyDescent="0.2">
      <c r="B230" s="90" t="s">
        <v>218</v>
      </c>
      <c r="C230" s="97">
        <v>0.49</v>
      </c>
      <c r="D230" s="71">
        <v>0.31</v>
      </c>
      <c r="E230" s="71">
        <v>0.45</v>
      </c>
      <c r="F230" s="71">
        <v>0.05</v>
      </c>
      <c r="G230" s="71">
        <v>0.27</v>
      </c>
      <c r="H230" s="71">
        <v>0.1</v>
      </c>
      <c r="I230" s="71">
        <v>0.06</v>
      </c>
      <c r="J230" s="71">
        <v>0.23</v>
      </c>
      <c r="K230" s="71">
        <v>0.1</v>
      </c>
      <c r="L230" s="71">
        <v>0.18</v>
      </c>
      <c r="M230" s="71">
        <v>0.3</v>
      </c>
      <c r="N230" s="71">
        <v>0.2</v>
      </c>
      <c r="O230" s="91">
        <f t="shared" si="39"/>
        <v>2.74</v>
      </c>
    </row>
    <row r="231" spans="1:15" x14ac:dyDescent="0.2">
      <c r="B231" s="90" t="s">
        <v>219</v>
      </c>
      <c r="C231" s="97">
        <v>0</v>
      </c>
      <c r="D231" s="71">
        <v>0</v>
      </c>
      <c r="E231" s="71">
        <v>0</v>
      </c>
      <c r="F231" s="71">
        <v>0.04</v>
      </c>
      <c r="G231" s="71">
        <v>0</v>
      </c>
      <c r="H231" s="71">
        <v>0</v>
      </c>
      <c r="I231" s="71">
        <v>0</v>
      </c>
      <c r="J231" s="71">
        <v>0</v>
      </c>
      <c r="K231" s="71">
        <v>0</v>
      </c>
      <c r="L231" s="71">
        <v>0</v>
      </c>
      <c r="M231" s="71">
        <v>0</v>
      </c>
      <c r="N231" s="71">
        <v>0.21</v>
      </c>
      <c r="O231" s="91">
        <f t="shared" si="39"/>
        <v>0.25</v>
      </c>
    </row>
    <row r="232" spans="1:15" x14ac:dyDescent="0.2">
      <c r="B232" s="90" t="s">
        <v>220</v>
      </c>
      <c r="C232" s="97">
        <v>6.25</v>
      </c>
      <c r="D232" s="71">
        <v>49.25</v>
      </c>
      <c r="E232" s="71">
        <v>4.1900000000000004</v>
      </c>
      <c r="F232" s="71">
        <v>1.49</v>
      </c>
      <c r="G232" s="71">
        <v>5.59</v>
      </c>
      <c r="H232" s="71">
        <v>3.26</v>
      </c>
      <c r="I232" s="71">
        <v>9.02</v>
      </c>
      <c r="J232" s="71">
        <v>4.37</v>
      </c>
      <c r="K232" s="71">
        <v>2.78</v>
      </c>
      <c r="L232" s="71">
        <v>1.89</v>
      </c>
      <c r="M232" s="71">
        <v>4.1900000000000004</v>
      </c>
      <c r="N232" s="71">
        <v>4.42</v>
      </c>
      <c r="O232" s="91">
        <f t="shared" si="39"/>
        <v>96.7</v>
      </c>
    </row>
    <row r="233" spans="1:15" x14ac:dyDescent="0.2">
      <c r="B233" s="90" t="s">
        <v>221</v>
      </c>
      <c r="C233" s="97">
        <v>2.96</v>
      </c>
      <c r="D233" s="71">
        <v>3.03</v>
      </c>
      <c r="E233" s="71">
        <v>2.52</v>
      </c>
      <c r="F233" s="71">
        <v>1.25</v>
      </c>
      <c r="G233" s="71">
        <v>4.3899999999999997</v>
      </c>
      <c r="H233" s="71">
        <v>2.2000000000000002</v>
      </c>
      <c r="I233" s="71">
        <v>2.2599999999999998</v>
      </c>
      <c r="J233" s="71">
        <v>1.19</v>
      </c>
      <c r="K233" s="71">
        <v>8.64</v>
      </c>
      <c r="L233" s="71">
        <v>9.6199999999999992</v>
      </c>
      <c r="M233" s="71">
        <v>2.11</v>
      </c>
      <c r="N233" s="71">
        <v>7.75</v>
      </c>
      <c r="O233" s="91">
        <f t="shared" si="39"/>
        <v>47.92</v>
      </c>
    </row>
    <row r="234" spans="1:15" x14ac:dyDescent="0.2">
      <c r="C234" s="97"/>
      <c r="D234" s="71"/>
      <c r="E234" s="71"/>
      <c r="F234" s="71"/>
      <c r="G234" s="71"/>
      <c r="H234" s="71"/>
      <c r="I234" s="71"/>
      <c r="J234" s="71"/>
      <c r="K234" s="71"/>
      <c r="L234" s="71"/>
      <c r="M234" s="71"/>
      <c r="N234" s="71"/>
    </row>
    <row r="235" spans="1:15" ht="15" x14ac:dyDescent="0.25">
      <c r="B235" s="89" t="s">
        <v>222</v>
      </c>
      <c r="C235" s="111">
        <f t="shared" ref="C235:O235" si="40">C194+C185+C176+C170+C166+C146+C133+C127+C124+C114+C107+C101+C94+C89+C84+C73+C69+C64+C61+C45+C36+C9</f>
        <v>3343.71</v>
      </c>
      <c r="D235" s="111">
        <f t="shared" si="40"/>
        <v>3344.6099999999997</v>
      </c>
      <c r="E235" s="111">
        <f t="shared" si="40"/>
        <v>3283.7100000000005</v>
      </c>
      <c r="F235" s="111">
        <f t="shared" si="40"/>
        <v>2112.8000000000002</v>
      </c>
      <c r="G235" s="111">
        <f t="shared" si="40"/>
        <v>4186.2699999999995</v>
      </c>
      <c r="H235" s="111">
        <f t="shared" si="40"/>
        <v>2846.7499999999995</v>
      </c>
      <c r="I235" s="111">
        <f t="shared" si="40"/>
        <v>2762.2599999999998</v>
      </c>
      <c r="J235" s="111">
        <f t="shared" si="40"/>
        <v>3869.76</v>
      </c>
      <c r="K235" s="111">
        <f t="shared" si="40"/>
        <v>3747.5699999999993</v>
      </c>
      <c r="L235" s="111">
        <f t="shared" si="40"/>
        <v>3356.9000000000005</v>
      </c>
      <c r="M235" s="111">
        <f t="shared" si="40"/>
        <v>5338.6699999999992</v>
      </c>
      <c r="N235" s="111">
        <f t="shared" si="40"/>
        <v>2575.9899999999998</v>
      </c>
      <c r="O235" s="111">
        <f t="shared" si="40"/>
        <v>40769.000000000007</v>
      </c>
    </row>
    <row r="236" spans="1:15" ht="12.75" customHeight="1" x14ac:dyDescent="0.2">
      <c r="A236" s="112" t="s">
        <v>223</v>
      </c>
    </row>
    <row r="237" spans="1:15" ht="12.75" customHeight="1" x14ac:dyDescent="0.2">
      <c r="A237" s="90" t="s">
        <v>224</v>
      </c>
    </row>
    <row r="238" spans="1:15" ht="12.75" customHeight="1" x14ac:dyDescent="0.2"/>
    <row r="239" spans="1:15" ht="12" customHeight="1" x14ac:dyDescent="0.2">
      <c r="B239" s="92" t="s">
        <v>225</v>
      </c>
    </row>
    <row r="240" spans="1:15" ht="12" customHeight="1" x14ac:dyDescent="0.2">
      <c r="C240" s="91"/>
    </row>
    <row r="241" spans="1:10" ht="12" customHeight="1" x14ac:dyDescent="0.2">
      <c r="A241" s="92" t="s">
        <v>226</v>
      </c>
      <c r="D241" s="90" t="s">
        <v>6</v>
      </c>
      <c r="F241" s="91" t="s">
        <v>6</v>
      </c>
      <c r="G241" s="91" t="s">
        <v>6</v>
      </c>
      <c r="H241" s="91" t="s">
        <v>6</v>
      </c>
      <c r="I241" s="91" t="s">
        <v>6</v>
      </c>
      <c r="J241" s="91" t="s">
        <v>6</v>
      </c>
    </row>
    <row r="242" spans="1:10" ht="12" customHeight="1" x14ac:dyDescent="0.2">
      <c r="D242" s="90" t="s">
        <v>6</v>
      </c>
    </row>
    <row r="243" spans="1:10" x14ac:dyDescent="0.2">
      <c r="D243" s="90" t="s">
        <v>6</v>
      </c>
    </row>
    <row r="244" spans="1:10" x14ac:dyDescent="0.2">
      <c r="D244" s="90" t="s">
        <v>6</v>
      </c>
    </row>
    <row r="245" spans="1:10" x14ac:dyDescent="0.2">
      <c r="D245" s="90" t="s">
        <v>6</v>
      </c>
      <c r="E245" s="97"/>
    </row>
    <row r="246" spans="1:10" x14ac:dyDescent="0.2">
      <c r="D246" s="90" t="s">
        <v>6</v>
      </c>
      <c r="E246" s="14"/>
    </row>
    <row r="247" spans="1:10" x14ac:dyDescent="0.2">
      <c r="D247" s="90" t="s">
        <v>6</v>
      </c>
    </row>
    <row r="249" spans="1:10" x14ac:dyDescent="0.2">
      <c r="D249" s="90" t="s">
        <v>6</v>
      </c>
    </row>
  </sheetData>
  <mergeCells count="2">
    <mergeCell ref="A3:C3"/>
    <mergeCell ref="A6:B7"/>
  </mergeCells>
  <printOptions horizontalCentered="1"/>
  <pageMargins left="0" right="0" top="0.74803149606299213" bottom="0.74803149606299213" header="0.31496062992125984" footer="0.31496062992125984"/>
  <pageSetup paperSize="9" scale="50" orientation="portrait" r:id="rId1"/>
  <headerFooter alignWithMargins="0">
    <oddHeader>&amp;CPage &amp;P</oddHeader>
  </headerFooter>
  <rowBreaks count="2" manualBreakCount="2">
    <brk id="99" max="14" man="1"/>
    <brk id="192"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7"/>
  <sheetViews>
    <sheetView zoomScaleNormal="100" workbookViewId="0">
      <pane xSplit="2" ySplit="7" topLeftCell="C207" activePane="bottomRight" state="frozen"/>
      <selection pane="topRight" activeCell="C1" sqref="C1"/>
      <selection pane="bottomLeft" activeCell="A8" sqref="A8"/>
      <selection pane="bottomRight" activeCell="C234" sqref="C234"/>
    </sheetView>
  </sheetViews>
  <sheetFormatPr defaultColWidth="8.85546875" defaultRowHeight="14.25" x14ac:dyDescent="0.2"/>
  <cols>
    <col min="1" max="1" width="2.140625" style="2" customWidth="1"/>
    <col min="2" max="2" width="59.7109375" style="2" customWidth="1"/>
    <col min="3" max="5" width="11.28515625" style="2" customWidth="1"/>
    <col min="6" max="13" width="11.28515625" style="22" customWidth="1"/>
    <col min="14" max="14" width="11.28515625" style="68" customWidth="1"/>
    <col min="15" max="15" width="11.28515625" style="22" customWidth="1"/>
    <col min="16" max="211" width="9.140625" style="2"/>
    <col min="212" max="212" width="2.140625" style="2" customWidth="1"/>
    <col min="213" max="213" width="49.42578125" style="2" bestFit="1" customWidth="1"/>
    <col min="214" max="223" width="8.42578125" style="2" customWidth="1"/>
    <col min="224" max="224" width="8.140625" style="2" bestFit="1" customWidth="1"/>
    <col min="225" max="225" width="8.42578125" style="2" customWidth="1"/>
    <col min="226" max="226" width="9.140625" style="2" bestFit="1" customWidth="1"/>
    <col min="227" max="227" width="27.140625" style="2" customWidth="1"/>
    <col min="228" max="467" width="9.140625" style="2"/>
    <col min="468" max="468" width="2.140625" style="2" customWidth="1"/>
    <col min="469" max="469" width="49.42578125" style="2" bestFit="1" customWidth="1"/>
    <col min="470" max="479" width="8.42578125" style="2" customWidth="1"/>
    <col min="480" max="480" width="8.140625" style="2" bestFit="1" customWidth="1"/>
    <col min="481" max="481" width="8.42578125" style="2" customWidth="1"/>
    <col min="482" max="482" width="9.140625" style="2" bestFit="1" customWidth="1"/>
    <col min="483" max="483" width="27.140625" style="2" customWidth="1"/>
    <col min="484" max="723" width="9.140625" style="2"/>
    <col min="724" max="724" width="2.140625" style="2" customWidth="1"/>
    <col min="725" max="725" width="49.42578125" style="2" bestFit="1" customWidth="1"/>
    <col min="726" max="735" width="8.42578125" style="2" customWidth="1"/>
    <col min="736" max="736" width="8.140625" style="2" bestFit="1" customWidth="1"/>
    <col min="737" max="737" width="8.42578125" style="2" customWidth="1"/>
    <col min="738" max="738" width="9.140625" style="2" bestFit="1" customWidth="1"/>
    <col min="739" max="739" width="27.140625" style="2" customWidth="1"/>
    <col min="740" max="979" width="9.140625" style="2"/>
    <col min="980" max="980" width="2.140625" style="2" customWidth="1"/>
    <col min="981" max="981" width="49.42578125" style="2" bestFit="1" customWidth="1"/>
    <col min="982" max="991" width="8.42578125" style="2" customWidth="1"/>
    <col min="992" max="992" width="8.140625" style="2" bestFit="1" customWidth="1"/>
    <col min="993" max="993" width="8.42578125" style="2" customWidth="1"/>
    <col min="994" max="994" width="9.140625" style="2" bestFit="1" customWidth="1"/>
    <col min="995" max="995" width="27.140625" style="2" customWidth="1"/>
    <col min="996" max="1235" width="9.140625" style="2"/>
    <col min="1236" max="1236" width="2.140625" style="2" customWidth="1"/>
    <col min="1237" max="1237" width="49.42578125" style="2" bestFit="1" customWidth="1"/>
    <col min="1238" max="1247" width="8.42578125" style="2" customWidth="1"/>
    <col min="1248" max="1248" width="8.140625" style="2" bestFit="1" customWidth="1"/>
    <col min="1249" max="1249" width="8.42578125" style="2" customWidth="1"/>
    <col min="1250" max="1250" width="9.140625" style="2" bestFit="1" customWidth="1"/>
    <col min="1251" max="1251" width="27.140625" style="2" customWidth="1"/>
    <col min="1252" max="1491" width="9.140625" style="2"/>
    <col min="1492" max="1492" width="2.140625" style="2" customWidth="1"/>
    <col min="1493" max="1493" width="49.42578125" style="2" bestFit="1" customWidth="1"/>
    <col min="1494" max="1503" width="8.42578125" style="2" customWidth="1"/>
    <col min="1504" max="1504" width="8.140625" style="2" bestFit="1" customWidth="1"/>
    <col min="1505" max="1505" width="8.42578125" style="2" customWidth="1"/>
    <col min="1506" max="1506" width="9.140625" style="2" bestFit="1" customWidth="1"/>
    <col min="1507" max="1507" width="27.140625" style="2" customWidth="1"/>
    <col min="1508" max="1747" width="9.140625" style="2"/>
    <col min="1748" max="1748" width="2.140625" style="2" customWidth="1"/>
    <col min="1749" max="1749" width="49.42578125" style="2" bestFit="1" customWidth="1"/>
    <col min="1750" max="1759" width="8.42578125" style="2" customWidth="1"/>
    <col min="1760" max="1760" width="8.140625" style="2" bestFit="1" customWidth="1"/>
    <col min="1761" max="1761" width="8.42578125" style="2" customWidth="1"/>
    <col min="1762" max="1762" width="9.140625" style="2" bestFit="1" customWidth="1"/>
    <col min="1763" max="1763" width="27.140625" style="2" customWidth="1"/>
    <col min="1764" max="2003" width="9.140625" style="2"/>
    <col min="2004" max="2004" width="2.140625" style="2" customWidth="1"/>
    <col min="2005" max="2005" width="49.42578125" style="2" bestFit="1" customWidth="1"/>
    <col min="2006" max="2015" width="8.42578125" style="2" customWidth="1"/>
    <col min="2016" max="2016" width="8.140625" style="2" bestFit="1" customWidth="1"/>
    <col min="2017" max="2017" width="8.42578125" style="2" customWidth="1"/>
    <col min="2018" max="2018" width="9.140625" style="2" bestFit="1" customWidth="1"/>
    <col min="2019" max="2019" width="27.140625" style="2" customWidth="1"/>
    <col min="2020" max="2259" width="9.140625" style="2"/>
    <col min="2260" max="2260" width="2.140625" style="2" customWidth="1"/>
    <col min="2261" max="2261" width="49.42578125" style="2" bestFit="1" customWidth="1"/>
    <col min="2262" max="2271" width="8.42578125" style="2" customWidth="1"/>
    <col min="2272" max="2272" width="8.140625" style="2" bestFit="1" customWidth="1"/>
    <col min="2273" max="2273" width="8.42578125" style="2" customWidth="1"/>
    <col min="2274" max="2274" width="9.140625" style="2" bestFit="1" customWidth="1"/>
    <col min="2275" max="2275" width="27.140625" style="2" customWidth="1"/>
    <col min="2276" max="2515" width="9.140625" style="2"/>
    <col min="2516" max="2516" width="2.140625" style="2" customWidth="1"/>
    <col min="2517" max="2517" width="49.42578125" style="2" bestFit="1" customWidth="1"/>
    <col min="2518" max="2527" width="8.42578125" style="2" customWidth="1"/>
    <col min="2528" max="2528" width="8.140625" style="2" bestFit="1" customWidth="1"/>
    <col min="2529" max="2529" width="8.42578125" style="2" customWidth="1"/>
    <col min="2530" max="2530" width="9.140625" style="2" bestFit="1" customWidth="1"/>
    <col min="2531" max="2531" width="27.140625" style="2" customWidth="1"/>
    <col min="2532" max="2771" width="9.140625" style="2"/>
    <col min="2772" max="2772" width="2.140625" style="2" customWidth="1"/>
    <col min="2773" max="2773" width="49.42578125" style="2" bestFit="1" customWidth="1"/>
    <col min="2774" max="2783" width="8.42578125" style="2" customWidth="1"/>
    <col min="2784" max="2784" width="8.140625" style="2" bestFit="1" customWidth="1"/>
    <col min="2785" max="2785" width="8.42578125" style="2" customWidth="1"/>
    <col min="2786" max="2786" width="9.140625" style="2" bestFit="1" customWidth="1"/>
    <col min="2787" max="2787" width="27.140625" style="2" customWidth="1"/>
    <col min="2788" max="3027" width="9.140625" style="2"/>
    <col min="3028" max="3028" width="2.140625" style="2" customWidth="1"/>
    <col min="3029" max="3029" width="49.42578125" style="2" bestFit="1" customWidth="1"/>
    <col min="3030" max="3039" width="8.42578125" style="2" customWidth="1"/>
    <col min="3040" max="3040" width="8.140625" style="2" bestFit="1" customWidth="1"/>
    <col min="3041" max="3041" width="8.42578125" style="2" customWidth="1"/>
    <col min="3042" max="3042" width="9.140625" style="2" bestFit="1" customWidth="1"/>
    <col min="3043" max="3043" width="27.140625" style="2" customWidth="1"/>
    <col min="3044" max="3283" width="9.140625" style="2"/>
    <col min="3284" max="3284" width="2.140625" style="2" customWidth="1"/>
    <col min="3285" max="3285" width="49.42578125" style="2" bestFit="1" customWidth="1"/>
    <col min="3286" max="3295" width="8.42578125" style="2" customWidth="1"/>
    <col min="3296" max="3296" width="8.140625" style="2" bestFit="1" customWidth="1"/>
    <col min="3297" max="3297" width="8.42578125" style="2" customWidth="1"/>
    <col min="3298" max="3298" width="9.140625" style="2" bestFit="1" customWidth="1"/>
    <col min="3299" max="3299" width="27.140625" style="2" customWidth="1"/>
    <col min="3300" max="3539" width="9.140625" style="2"/>
    <col min="3540" max="3540" width="2.140625" style="2" customWidth="1"/>
    <col min="3541" max="3541" width="49.42578125" style="2" bestFit="1" customWidth="1"/>
    <col min="3542" max="3551" width="8.42578125" style="2" customWidth="1"/>
    <col min="3552" max="3552" width="8.140625" style="2" bestFit="1" customWidth="1"/>
    <col min="3553" max="3553" width="8.42578125" style="2" customWidth="1"/>
    <col min="3554" max="3554" width="9.140625" style="2" bestFit="1" customWidth="1"/>
    <col min="3555" max="3555" width="27.140625" style="2" customWidth="1"/>
    <col min="3556" max="3795" width="9.140625" style="2"/>
    <col min="3796" max="3796" width="2.140625" style="2" customWidth="1"/>
    <col min="3797" max="3797" width="49.42578125" style="2" bestFit="1" customWidth="1"/>
    <col min="3798" max="3807" width="8.42578125" style="2" customWidth="1"/>
    <col min="3808" max="3808" width="8.140625" style="2" bestFit="1" customWidth="1"/>
    <col min="3809" max="3809" width="8.42578125" style="2" customWidth="1"/>
    <col min="3810" max="3810" width="9.140625" style="2" bestFit="1" customWidth="1"/>
    <col min="3811" max="3811" width="27.140625" style="2" customWidth="1"/>
    <col min="3812" max="4051" width="9.140625" style="2"/>
    <col min="4052" max="4052" width="2.140625" style="2" customWidth="1"/>
    <col min="4053" max="4053" width="49.42578125" style="2" bestFit="1" customWidth="1"/>
    <col min="4054" max="4063" width="8.42578125" style="2" customWidth="1"/>
    <col min="4064" max="4064" width="8.140625" style="2" bestFit="1" customWidth="1"/>
    <col min="4065" max="4065" width="8.42578125" style="2" customWidth="1"/>
    <col min="4066" max="4066" width="9.140625" style="2" bestFit="1" customWidth="1"/>
    <col min="4067" max="4067" width="27.140625" style="2" customWidth="1"/>
    <col min="4068" max="4307" width="9.140625" style="2"/>
    <col min="4308" max="4308" width="2.140625" style="2" customWidth="1"/>
    <col min="4309" max="4309" width="49.42578125" style="2" bestFit="1" customWidth="1"/>
    <col min="4310" max="4319" width="8.42578125" style="2" customWidth="1"/>
    <col min="4320" max="4320" width="8.140625" style="2" bestFit="1" customWidth="1"/>
    <col min="4321" max="4321" width="8.42578125" style="2" customWidth="1"/>
    <col min="4322" max="4322" width="9.140625" style="2" bestFit="1" customWidth="1"/>
    <col min="4323" max="4323" width="27.140625" style="2" customWidth="1"/>
    <col min="4324" max="4563" width="9.140625" style="2"/>
    <col min="4564" max="4564" width="2.140625" style="2" customWidth="1"/>
    <col min="4565" max="4565" width="49.42578125" style="2" bestFit="1" customWidth="1"/>
    <col min="4566" max="4575" width="8.42578125" style="2" customWidth="1"/>
    <col min="4576" max="4576" width="8.140625" style="2" bestFit="1" customWidth="1"/>
    <col min="4577" max="4577" width="8.42578125" style="2" customWidth="1"/>
    <col min="4578" max="4578" width="9.140625" style="2" bestFit="1" customWidth="1"/>
    <col min="4579" max="4579" width="27.140625" style="2" customWidth="1"/>
    <col min="4580" max="4819" width="9.140625" style="2"/>
    <col min="4820" max="4820" width="2.140625" style="2" customWidth="1"/>
    <col min="4821" max="4821" width="49.42578125" style="2" bestFit="1" customWidth="1"/>
    <col min="4822" max="4831" width="8.42578125" style="2" customWidth="1"/>
    <col min="4832" max="4832" width="8.140625" style="2" bestFit="1" customWidth="1"/>
    <col min="4833" max="4833" width="8.42578125" style="2" customWidth="1"/>
    <col min="4834" max="4834" width="9.140625" style="2" bestFit="1" customWidth="1"/>
    <col min="4835" max="4835" width="27.140625" style="2" customWidth="1"/>
    <col min="4836" max="5075" width="9.140625" style="2"/>
    <col min="5076" max="5076" width="2.140625" style="2" customWidth="1"/>
    <col min="5077" max="5077" width="49.42578125" style="2" bestFit="1" customWidth="1"/>
    <col min="5078" max="5087" width="8.42578125" style="2" customWidth="1"/>
    <col min="5088" max="5088" width="8.140625" style="2" bestFit="1" customWidth="1"/>
    <col min="5089" max="5089" width="8.42578125" style="2" customWidth="1"/>
    <col min="5090" max="5090" width="9.140625" style="2" bestFit="1" customWidth="1"/>
    <col min="5091" max="5091" width="27.140625" style="2" customWidth="1"/>
    <col min="5092" max="5331" width="9.140625" style="2"/>
    <col min="5332" max="5332" width="2.140625" style="2" customWidth="1"/>
    <col min="5333" max="5333" width="49.42578125" style="2" bestFit="1" customWidth="1"/>
    <col min="5334" max="5343" width="8.42578125" style="2" customWidth="1"/>
    <col min="5344" max="5344" width="8.140625" style="2" bestFit="1" customWidth="1"/>
    <col min="5345" max="5345" width="8.42578125" style="2" customWidth="1"/>
    <col min="5346" max="5346" width="9.140625" style="2" bestFit="1" customWidth="1"/>
    <col min="5347" max="5347" width="27.140625" style="2" customWidth="1"/>
    <col min="5348" max="5587" width="9.140625" style="2"/>
    <col min="5588" max="5588" width="2.140625" style="2" customWidth="1"/>
    <col min="5589" max="5589" width="49.42578125" style="2" bestFit="1" customWidth="1"/>
    <col min="5590" max="5599" width="8.42578125" style="2" customWidth="1"/>
    <col min="5600" max="5600" width="8.140625" style="2" bestFit="1" customWidth="1"/>
    <col min="5601" max="5601" width="8.42578125" style="2" customWidth="1"/>
    <col min="5602" max="5602" width="9.140625" style="2" bestFit="1" customWidth="1"/>
    <col min="5603" max="5603" width="27.140625" style="2" customWidth="1"/>
    <col min="5604" max="5843" width="9.140625" style="2"/>
    <col min="5844" max="5844" width="2.140625" style="2" customWidth="1"/>
    <col min="5845" max="5845" width="49.42578125" style="2" bestFit="1" customWidth="1"/>
    <col min="5846" max="5855" width="8.42578125" style="2" customWidth="1"/>
    <col min="5856" max="5856" width="8.140625" style="2" bestFit="1" customWidth="1"/>
    <col min="5857" max="5857" width="8.42578125" style="2" customWidth="1"/>
    <col min="5858" max="5858" width="9.140625" style="2" bestFit="1" customWidth="1"/>
    <col min="5859" max="5859" width="27.140625" style="2" customWidth="1"/>
    <col min="5860" max="6099" width="9.140625" style="2"/>
    <col min="6100" max="6100" width="2.140625" style="2" customWidth="1"/>
    <col min="6101" max="6101" width="49.42578125" style="2" bestFit="1" customWidth="1"/>
    <col min="6102" max="6111" width="8.42578125" style="2" customWidth="1"/>
    <col min="6112" max="6112" width="8.140625" style="2" bestFit="1" customWidth="1"/>
    <col min="6113" max="6113" width="8.42578125" style="2" customWidth="1"/>
    <col min="6114" max="6114" width="9.140625" style="2" bestFit="1" customWidth="1"/>
    <col min="6115" max="6115" width="27.140625" style="2" customWidth="1"/>
    <col min="6116" max="6355" width="9.140625" style="2"/>
    <col min="6356" max="6356" width="2.140625" style="2" customWidth="1"/>
    <col min="6357" max="6357" width="49.42578125" style="2" bestFit="1" customWidth="1"/>
    <col min="6358" max="6367" width="8.42578125" style="2" customWidth="1"/>
    <col min="6368" max="6368" width="8.140625" style="2" bestFit="1" customWidth="1"/>
    <col min="6369" max="6369" width="8.42578125" style="2" customWidth="1"/>
    <col min="6370" max="6370" width="9.140625" style="2" bestFit="1" customWidth="1"/>
    <col min="6371" max="6371" width="27.140625" style="2" customWidth="1"/>
    <col min="6372" max="6611" width="9.140625" style="2"/>
    <col min="6612" max="6612" width="2.140625" style="2" customWidth="1"/>
    <col min="6613" max="6613" width="49.42578125" style="2" bestFit="1" customWidth="1"/>
    <col min="6614" max="6623" width="8.42578125" style="2" customWidth="1"/>
    <col min="6624" max="6624" width="8.140625" style="2" bestFit="1" customWidth="1"/>
    <col min="6625" max="6625" width="8.42578125" style="2" customWidth="1"/>
    <col min="6626" max="6626" width="9.140625" style="2" bestFit="1" customWidth="1"/>
    <col min="6627" max="6627" width="27.140625" style="2" customWidth="1"/>
    <col min="6628" max="6867" width="9.140625" style="2"/>
    <col min="6868" max="6868" width="2.140625" style="2" customWidth="1"/>
    <col min="6869" max="6869" width="49.42578125" style="2" bestFit="1" customWidth="1"/>
    <col min="6870" max="6879" width="8.42578125" style="2" customWidth="1"/>
    <col min="6880" max="6880" width="8.140625" style="2" bestFit="1" customWidth="1"/>
    <col min="6881" max="6881" width="8.42578125" style="2" customWidth="1"/>
    <col min="6882" max="6882" width="9.140625" style="2" bestFit="1" customWidth="1"/>
    <col min="6883" max="6883" width="27.140625" style="2" customWidth="1"/>
    <col min="6884" max="7123" width="9.140625" style="2"/>
    <col min="7124" max="7124" width="2.140625" style="2" customWidth="1"/>
    <col min="7125" max="7125" width="49.42578125" style="2" bestFit="1" customWidth="1"/>
    <col min="7126" max="7135" width="8.42578125" style="2" customWidth="1"/>
    <col min="7136" max="7136" width="8.140625" style="2" bestFit="1" customWidth="1"/>
    <col min="7137" max="7137" width="8.42578125" style="2" customWidth="1"/>
    <col min="7138" max="7138" width="9.140625" style="2" bestFit="1" customWidth="1"/>
    <col min="7139" max="7139" width="27.140625" style="2" customWidth="1"/>
    <col min="7140" max="7379" width="9.140625" style="2"/>
    <col min="7380" max="7380" width="2.140625" style="2" customWidth="1"/>
    <col min="7381" max="7381" width="49.42578125" style="2" bestFit="1" customWidth="1"/>
    <col min="7382" max="7391" width="8.42578125" style="2" customWidth="1"/>
    <col min="7392" max="7392" width="8.140625" style="2" bestFit="1" customWidth="1"/>
    <col min="7393" max="7393" width="8.42578125" style="2" customWidth="1"/>
    <col min="7394" max="7394" width="9.140625" style="2" bestFit="1" customWidth="1"/>
    <col min="7395" max="7395" width="27.140625" style="2" customWidth="1"/>
    <col min="7396" max="7635" width="9.140625" style="2"/>
    <col min="7636" max="7636" width="2.140625" style="2" customWidth="1"/>
    <col min="7637" max="7637" width="49.42578125" style="2" bestFit="1" customWidth="1"/>
    <col min="7638" max="7647" width="8.42578125" style="2" customWidth="1"/>
    <col min="7648" max="7648" width="8.140625" style="2" bestFit="1" customWidth="1"/>
    <col min="7649" max="7649" width="8.42578125" style="2" customWidth="1"/>
    <col min="7650" max="7650" width="9.140625" style="2" bestFit="1" customWidth="1"/>
    <col min="7651" max="7651" width="27.140625" style="2" customWidth="1"/>
    <col min="7652" max="7891" width="9.140625" style="2"/>
    <col min="7892" max="7892" width="2.140625" style="2" customWidth="1"/>
    <col min="7893" max="7893" width="49.42578125" style="2" bestFit="1" customWidth="1"/>
    <col min="7894" max="7903" width="8.42578125" style="2" customWidth="1"/>
    <col min="7904" max="7904" width="8.140625" style="2" bestFit="1" customWidth="1"/>
    <col min="7905" max="7905" width="8.42578125" style="2" customWidth="1"/>
    <col min="7906" max="7906" width="9.140625" style="2" bestFit="1" customWidth="1"/>
    <col min="7907" max="7907" width="27.140625" style="2" customWidth="1"/>
    <col min="7908" max="8147" width="9.140625" style="2"/>
    <col min="8148" max="8148" width="2.140625" style="2" customWidth="1"/>
    <col min="8149" max="8149" width="49.42578125" style="2" bestFit="1" customWidth="1"/>
    <col min="8150" max="8159" width="8.42578125" style="2" customWidth="1"/>
    <col min="8160" max="8160" width="8.140625" style="2" bestFit="1" customWidth="1"/>
    <col min="8161" max="8161" width="8.42578125" style="2" customWidth="1"/>
    <col min="8162" max="8162" width="9.140625" style="2" bestFit="1" customWidth="1"/>
    <col min="8163" max="8163" width="27.140625" style="2" customWidth="1"/>
    <col min="8164" max="8403" width="9.140625" style="2"/>
    <col min="8404" max="8404" width="2.140625" style="2" customWidth="1"/>
    <col min="8405" max="8405" width="49.42578125" style="2" bestFit="1" customWidth="1"/>
    <col min="8406" max="8415" width="8.42578125" style="2" customWidth="1"/>
    <col min="8416" max="8416" width="8.140625" style="2" bestFit="1" customWidth="1"/>
    <col min="8417" max="8417" width="8.42578125" style="2" customWidth="1"/>
    <col min="8418" max="8418" width="9.140625" style="2" bestFit="1" customWidth="1"/>
    <col min="8419" max="8419" width="27.140625" style="2" customWidth="1"/>
    <col min="8420" max="8659" width="9.140625" style="2"/>
    <col min="8660" max="8660" width="2.140625" style="2" customWidth="1"/>
    <col min="8661" max="8661" width="49.42578125" style="2" bestFit="1" customWidth="1"/>
    <col min="8662" max="8671" width="8.42578125" style="2" customWidth="1"/>
    <col min="8672" max="8672" width="8.140625" style="2" bestFit="1" customWidth="1"/>
    <col min="8673" max="8673" width="8.42578125" style="2" customWidth="1"/>
    <col min="8674" max="8674" width="9.140625" style="2" bestFit="1" customWidth="1"/>
    <col min="8675" max="8675" width="27.140625" style="2" customWidth="1"/>
    <col min="8676" max="8915" width="9.140625" style="2"/>
    <col min="8916" max="8916" width="2.140625" style="2" customWidth="1"/>
    <col min="8917" max="8917" width="49.42578125" style="2" bestFit="1" customWidth="1"/>
    <col min="8918" max="8927" width="8.42578125" style="2" customWidth="1"/>
    <col min="8928" max="8928" width="8.140625" style="2" bestFit="1" customWidth="1"/>
    <col min="8929" max="8929" width="8.42578125" style="2" customWidth="1"/>
    <col min="8930" max="8930" width="9.140625" style="2" bestFit="1" customWidth="1"/>
    <col min="8931" max="8931" width="27.140625" style="2" customWidth="1"/>
    <col min="8932" max="9171" width="9.140625" style="2"/>
    <col min="9172" max="9172" width="2.140625" style="2" customWidth="1"/>
    <col min="9173" max="9173" width="49.42578125" style="2" bestFit="1" customWidth="1"/>
    <col min="9174" max="9183" width="8.42578125" style="2" customWidth="1"/>
    <col min="9184" max="9184" width="8.140625" style="2" bestFit="1" customWidth="1"/>
    <col min="9185" max="9185" width="8.42578125" style="2" customWidth="1"/>
    <col min="9186" max="9186" width="9.140625" style="2" bestFit="1" customWidth="1"/>
    <col min="9187" max="9187" width="27.140625" style="2" customWidth="1"/>
    <col min="9188" max="9427" width="9.140625" style="2"/>
    <col min="9428" max="9428" width="2.140625" style="2" customWidth="1"/>
    <col min="9429" max="9429" width="49.42578125" style="2" bestFit="1" customWidth="1"/>
    <col min="9430" max="9439" width="8.42578125" style="2" customWidth="1"/>
    <col min="9440" max="9440" width="8.140625" style="2" bestFit="1" customWidth="1"/>
    <col min="9441" max="9441" width="8.42578125" style="2" customWidth="1"/>
    <col min="9442" max="9442" width="9.140625" style="2" bestFit="1" customWidth="1"/>
    <col min="9443" max="9443" width="27.140625" style="2" customWidth="1"/>
    <col min="9444" max="9683" width="9.140625" style="2"/>
    <col min="9684" max="9684" width="2.140625" style="2" customWidth="1"/>
    <col min="9685" max="9685" width="49.42578125" style="2" bestFit="1" customWidth="1"/>
    <col min="9686" max="9695" width="8.42578125" style="2" customWidth="1"/>
    <col min="9696" max="9696" width="8.140625" style="2" bestFit="1" customWidth="1"/>
    <col min="9697" max="9697" width="8.42578125" style="2" customWidth="1"/>
    <col min="9698" max="9698" width="9.140625" style="2" bestFit="1" customWidth="1"/>
    <col min="9699" max="9699" width="27.140625" style="2" customWidth="1"/>
    <col min="9700" max="9939" width="9.140625" style="2"/>
    <col min="9940" max="9940" width="2.140625" style="2" customWidth="1"/>
    <col min="9941" max="9941" width="49.42578125" style="2" bestFit="1" customWidth="1"/>
    <col min="9942" max="9951" width="8.42578125" style="2" customWidth="1"/>
    <col min="9952" max="9952" width="8.140625" style="2" bestFit="1" customWidth="1"/>
    <col min="9953" max="9953" width="8.42578125" style="2" customWidth="1"/>
    <col min="9954" max="9954" width="9.140625" style="2" bestFit="1" customWidth="1"/>
    <col min="9955" max="9955" width="27.140625" style="2" customWidth="1"/>
    <col min="9956" max="10195" width="9.140625" style="2"/>
    <col min="10196" max="10196" width="2.140625" style="2" customWidth="1"/>
    <col min="10197" max="10197" width="49.42578125" style="2" bestFit="1" customWidth="1"/>
    <col min="10198" max="10207" width="8.42578125" style="2" customWidth="1"/>
    <col min="10208" max="10208" width="8.140625" style="2" bestFit="1" customWidth="1"/>
    <col min="10209" max="10209" width="8.42578125" style="2" customWidth="1"/>
    <col min="10210" max="10210" width="9.140625" style="2" bestFit="1" customWidth="1"/>
    <col min="10211" max="10211" width="27.140625" style="2" customWidth="1"/>
    <col min="10212" max="10451" width="9.140625" style="2"/>
    <col min="10452" max="10452" width="2.140625" style="2" customWidth="1"/>
    <col min="10453" max="10453" width="49.42578125" style="2" bestFit="1" customWidth="1"/>
    <col min="10454" max="10463" width="8.42578125" style="2" customWidth="1"/>
    <col min="10464" max="10464" width="8.140625" style="2" bestFit="1" customWidth="1"/>
    <col min="10465" max="10465" width="8.42578125" style="2" customWidth="1"/>
    <col min="10466" max="10466" width="9.140625" style="2" bestFit="1" customWidth="1"/>
    <col min="10467" max="10467" width="27.140625" style="2" customWidth="1"/>
    <col min="10468" max="10707" width="9.140625" style="2"/>
    <col min="10708" max="10708" width="2.140625" style="2" customWidth="1"/>
    <col min="10709" max="10709" width="49.42578125" style="2" bestFit="1" customWidth="1"/>
    <col min="10710" max="10719" width="8.42578125" style="2" customWidth="1"/>
    <col min="10720" max="10720" width="8.140625" style="2" bestFit="1" customWidth="1"/>
    <col min="10721" max="10721" width="8.42578125" style="2" customWidth="1"/>
    <col min="10722" max="10722" width="9.140625" style="2" bestFit="1" customWidth="1"/>
    <col min="10723" max="10723" width="27.140625" style="2" customWidth="1"/>
    <col min="10724" max="10963" width="9.140625" style="2"/>
    <col min="10964" max="10964" width="2.140625" style="2" customWidth="1"/>
    <col min="10965" max="10965" width="49.42578125" style="2" bestFit="1" customWidth="1"/>
    <col min="10966" max="10975" width="8.42578125" style="2" customWidth="1"/>
    <col min="10976" max="10976" width="8.140625" style="2" bestFit="1" customWidth="1"/>
    <col min="10977" max="10977" width="8.42578125" style="2" customWidth="1"/>
    <col min="10978" max="10978" width="9.140625" style="2" bestFit="1" customWidth="1"/>
    <col min="10979" max="10979" width="27.140625" style="2" customWidth="1"/>
    <col min="10980" max="11219" width="9.140625" style="2"/>
    <col min="11220" max="11220" width="2.140625" style="2" customWidth="1"/>
    <col min="11221" max="11221" width="49.42578125" style="2" bestFit="1" customWidth="1"/>
    <col min="11222" max="11231" width="8.42578125" style="2" customWidth="1"/>
    <col min="11232" max="11232" width="8.140625" style="2" bestFit="1" customWidth="1"/>
    <col min="11233" max="11233" width="8.42578125" style="2" customWidth="1"/>
    <col min="11234" max="11234" width="9.140625" style="2" bestFit="1" customWidth="1"/>
    <col min="11235" max="11235" width="27.140625" style="2" customWidth="1"/>
    <col min="11236" max="11475" width="9.140625" style="2"/>
    <col min="11476" max="11476" width="2.140625" style="2" customWidth="1"/>
    <col min="11477" max="11477" width="49.42578125" style="2" bestFit="1" customWidth="1"/>
    <col min="11478" max="11487" width="8.42578125" style="2" customWidth="1"/>
    <col min="11488" max="11488" width="8.140625" style="2" bestFit="1" customWidth="1"/>
    <col min="11489" max="11489" width="8.42578125" style="2" customWidth="1"/>
    <col min="11490" max="11490" width="9.140625" style="2" bestFit="1" customWidth="1"/>
    <col min="11491" max="11491" width="27.140625" style="2" customWidth="1"/>
    <col min="11492" max="11731" width="9.140625" style="2"/>
    <col min="11732" max="11732" width="2.140625" style="2" customWidth="1"/>
    <col min="11733" max="11733" width="49.42578125" style="2" bestFit="1" customWidth="1"/>
    <col min="11734" max="11743" width="8.42578125" style="2" customWidth="1"/>
    <col min="11744" max="11744" width="8.140625" style="2" bestFit="1" customWidth="1"/>
    <col min="11745" max="11745" width="8.42578125" style="2" customWidth="1"/>
    <col min="11746" max="11746" width="9.140625" style="2" bestFit="1" customWidth="1"/>
    <col min="11747" max="11747" width="27.140625" style="2" customWidth="1"/>
    <col min="11748" max="11987" width="9.140625" style="2"/>
    <col min="11988" max="11988" width="2.140625" style="2" customWidth="1"/>
    <col min="11989" max="11989" width="49.42578125" style="2" bestFit="1" customWidth="1"/>
    <col min="11990" max="11999" width="8.42578125" style="2" customWidth="1"/>
    <col min="12000" max="12000" width="8.140625" style="2" bestFit="1" customWidth="1"/>
    <col min="12001" max="12001" width="8.42578125" style="2" customWidth="1"/>
    <col min="12002" max="12002" width="9.140625" style="2" bestFit="1" customWidth="1"/>
    <col min="12003" max="12003" width="27.140625" style="2" customWidth="1"/>
    <col min="12004" max="12243" width="9.140625" style="2"/>
    <col min="12244" max="12244" width="2.140625" style="2" customWidth="1"/>
    <col min="12245" max="12245" width="49.42578125" style="2" bestFit="1" customWidth="1"/>
    <col min="12246" max="12255" width="8.42578125" style="2" customWidth="1"/>
    <col min="12256" max="12256" width="8.140625" style="2" bestFit="1" customWidth="1"/>
    <col min="12257" max="12257" width="8.42578125" style="2" customWidth="1"/>
    <col min="12258" max="12258" width="9.140625" style="2" bestFit="1" customWidth="1"/>
    <col min="12259" max="12259" width="27.140625" style="2" customWidth="1"/>
    <col min="12260" max="12499" width="9.140625" style="2"/>
    <col min="12500" max="12500" width="2.140625" style="2" customWidth="1"/>
    <col min="12501" max="12501" width="49.42578125" style="2" bestFit="1" customWidth="1"/>
    <col min="12502" max="12511" width="8.42578125" style="2" customWidth="1"/>
    <col min="12512" max="12512" width="8.140625" style="2" bestFit="1" customWidth="1"/>
    <col min="12513" max="12513" width="8.42578125" style="2" customWidth="1"/>
    <col min="12514" max="12514" width="9.140625" style="2" bestFit="1" customWidth="1"/>
    <col min="12515" max="12515" width="27.140625" style="2" customWidth="1"/>
    <col min="12516" max="12755" width="9.140625" style="2"/>
    <col min="12756" max="12756" width="2.140625" style="2" customWidth="1"/>
    <col min="12757" max="12757" width="49.42578125" style="2" bestFit="1" customWidth="1"/>
    <col min="12758" max="12767" width="8.42578125" style="2" customWidth="1"/>
    <col min="12768" max="12768" width="8.140625" style="2" bestFit="1" customWidth="1"/>
    <col min="12769" max="12769" width="8.42578125" style="2" customWidth="1"/>
    <col min="12770" max="12770" width="9.140625" style="2" bestFit="1" customWidth="1"/>
    <col min="12771" max="12771" width="27.140625" style="2" customWidth="1"/>
    <col min="12772" max="13011" width="9.140625" style="2"/>
    <col min="13012" max="13012" width="2.140625" style="2" customWidth="1"/>
    <col min="13013" max="13013" width="49.42578125" style="2" bestFit="1" customWidth="1"/>
    <col min="13014" max="13023" width="8.42578125" style="2" customWidth="1"/>
    <col min="13024" max="13024" width="8.140625" style="2" bestFit="1" customWidth="1"/>
    <col min="13025" max="13025" width="8.42578125" style="2" customWidth="1"/>
    <col min="13026" max="13026" width="9.140625" style="2" bestFit="1" customWidth="1"/>
    <col min="13027" max="13027" width="27.140625" style="2" customWidth="1"/>
    <col min="13028" max="13267" width="9.140625" style="2"/>
    <col min="13268" max="13268" width="2.140625" style="2" customWidth="1"/>
    <col min="13269" max="13269" width="49.42578125" style="2" bestFit="1" customWidth="1"/>
    <col min="13270" max="13279" width="8.42578125" style="2" customWidth="1"/>
    <col min="13280" max="13280" width="8.140625" style="2" bestFit="1" customWidth="1"/>
    <col min="13281" max="13281" width="8.42578125" style="2" customWidth="1"/>
    <col min="13282" max="13282" width="9.140625" style="2" bestFit="1" customWidth="1"/>
    <col min="13283" max="13283" width="27.140625" style="2" customWidth="1"/>
    <col min="13284" max="13523" width="9.140625" style="2"/>
    <col min="13524" max="13524" width="2.140625" style="2" customWidth="1"/>
    <col min="13525" max="13525" width="49.42578125" style="2" bestFit="1" customWidth="1"/>
    <col min="13526" max="13535" width="8.42578125" style="2" customWidth="1"/>
    <col min="13536" max="13536" width="8.140625" style="2" bestFit="1" customWidth="1"/>
    <col min="13537" max="13537" width="8.42578125" style="2" customWidth="1"/>
    <col min="13538" max="13538" width="9.140625" style="2" bestFit="1" customWidth="1"/>
    <col min="13539" max="13539" width="27.140625" style="2" customWidth="1"/>
    <col min="13540" max="13779" width="9.140625" style="2"/>
    <col min="13780" max="13780" width="2.140625" style="2" customWidth="1"/>
    <col min="13781" max="13781" width="49.42578125" style="2" bestFit="1" customWidth="1"/>
    <col min="13782" max="13791" width="8.42578125" style="2" customWidth="1"/>
    <col min="13792" max="13792" width="8.140625" style="2" bestFit="1" customWidth="1"/>
    <col min="13793" max="13793" width="8.42578125" style="2" customWidth="1"/>
    <col min="13794" max="13794" width="9.140625" style="2" bestFit="1" customWidth="1"/>
    <col min="13795" max="13795" width="27.140625" style="2" customWidth="1"/>
    <col min="13796" max="14035" width="9.140625" style="2"/>
    <col min="14036" max="14036" width="2.140625" style="2" customWidth="1"/>
    <col min="14037" max="14037" width="49.42578125" style="2" bestFit="1" customWidth="1"/>
    <col min="14038" max="14047" width="8.42578125" style="2" customWidth="1"/>
    <col min="14048" max="14048" width="8.140625" style="2" bestFit="1" customWidth="1"/>
    <col min="14049" max="14049" width="8.42578125" style="2" customWidth="1"/>
    <col min="14050" max="14050" width="9.140625" style="2" bestFit="1" customWidth="1"/>
    <col min="14051" max="14051" width="27.140625" style="2" customWidth="1"/>
    <col min="14052" max="14291" width="9.140625" style="2"/>
    <col min="14292" max="14292" width="2.140625" style="2" customWidth="1"/>
    <col min="14293" max="14293" width="49.42578125" style="2" bestFit="1" customWidth="1"/>
    <col min="14294" max="14303" width="8.42578125" style="2" customWidth="1"/>
    <col min="14304" max="14304" width="8.140625" style="2" bestFit="1" customWidth="1"/>
    <col min="14305" max="14305" width="8.42578125" style="2" customWidth="1"/>
    <col min="14306" max="14306" width="9.140625" style="2" bestFit="1" customWidth="1"/>
    <col min="14307" max="14307" width="27.140625" style="2" customWidth="1"/>
    <col min="14308" max="14547" width="9.140625" style="2"/>
    <col min="14548" max="14548" width="2.140625" style="2" customWidth="1"/>
    <col min="14549" max="14549" width="49.42578125" style="2" bestFit="1" customWidth="1"/>
    <col min="14550" max="14559" width="8.42578125" style="2" customWidth="1"/>
    <col min="14560" max="14560" width="8.140625" style="2" bestFit="1" customWidth="1"/>
    <col min="14561" max="14561" width="8.42578125" style="2" customWidth="1"/>
    <col min="14562" max="14562" width="9.140625" style="2" bestFit="1" customWidth="1"/>
    <col min="14563" max="14563" width="27.140625" style="2" customWidth="1"/>
    <col min="14564" max="14803" width="9.140625" style="2"/>
    <col min="14804" max="14804" width="2.140625" style="2" customWidth="1"/>
    <col min="14805" max="14805" width="49.42578125" style="2" bestFit="1" customWidth="1"/>
    <col min="14806" max="14815" width="8.42578125" style="2" customWidth="1"/>
    <col min="14816" max="14816" width="8.140625" style="2" bestFit="1" customWidth="1"/>
    <col min="14817" max="14817" width="8.42578125" style="2" customWidth="1"/>
    <col min="14818" max="14818" width="9.140625" style="2" bestFit="1" customWidth="1"/>
    <col min="14819" max="14819" width="27.140625" style="2" customWidth="1"/>
    <col min="14820" max="15059" width="9.140625" style="2"/>
    <col min="15060" max="15060" width="2.140625" style="2" customWidth="1"/>
    <col min="15061" max="15061" width="49.42578125" style="2" bestFit="1" customWidth="1"/>
    <col min="15062" max="15071" width="8.42578125" style="2" customWidth="1"/>
    <col min="15072" max="15072" width="8.140625" style="2" bestFit="1" customWidth="1"/>
    <col min="15073" max="15073" width="8.42578125" style="2" customWidth="1"/>
    <col min="15074" max="15074" width="9.140625" style="2" bestFit="1" customWidth="1"/>
    <col min="15075" max="15075" width="27.140625" style="2" customWidth="1"/>
    <col min="15076" max="15315" width="9.140625" style="2"/>
    <col min="15316" max="15316" width="2.140625" style="2" customWidth="1"/>
    <col min="15317" max="15317" width="49.42578125" style="2" bestFit="1" customWidth="1"/>
    <col min="15318" max="15327" width="8.42578125" style="2" customWidth="1"/>
    <col min="15328" max="15328" width="8.140625" style="2" bestFit="1" customWidth="1"/>
    <col min="15329" max="15329" width="8.42578125" style="2" customWidth="1"/>
    <col min="15330" max="15330" width="9.140625" style="2" bestFit="1" customWidth="1"/>
    <col min="15331" max="15331" width="27.140625" style="2" customWidth="1"/>
    <col min="15332" max="15571" width="9.140625" style="2"/>
    <col min="15572" max="15572" width="2.140625" style="2" customWidth="1"/>
    <col min="15573" max="15573" width="49.42578125" style="2" bestFit="1" customWidth="1"/>
    <col min="15574" max="15583" width="8.42578125" style="2" customWidth="1"/>
    <col min="15584" max="15584" width="8.140625" style="2" bestFit="1" customWidth="1"/>
    <col min="15585" max="15585" width="8.42578125" style="2" customWidth="1"/>
    <col min="15586" max="15586" width="9.140625" style="2" bestFit="1" customWidth="1"/>
    <col min="15587" max="15587" width="27.140625" style="2" customWidth="1"/>
    <col min="15588" max="15827" width="9.140625" style="2"/>
    <col min="15828" max="15828" width="2.140625" style="2" customWidth="1"/>
    <col min="15829" max="15829" width="49.42578125" style="2" bestFit="1" customWidth="1"/>
    <col min="15830" max="15839" width="8.42578125" style="2" customWidth="1"/>
    <col min="15840" max="15840" width="8.140625" style="2" bestFit="1" customWidth="1"/>
    <col min="15841" max="15841" width="8.42578125" style="2" customWidth="1"/>
    <col min="15842" max="15842" width="9.140625" style="2" bestFit="1" customWidth="1"/>
    <col min="15843" max="15843" width="27.140625" style="2" customWidth="1"/>
    <col min="15844" max="16083" width="9.140625" style="2"/>
    <col min="16084" max="16084" width="2.140625" style="2" customWidth="1"/>
    <col min="16085" max="16085" width="49.42578125" style="2" bestFit="1" customWidth="1"/>
    <col min="16086" max="16095" width="8.42578125" style="2" customWidth="1"/>
    <col min="16096" max="16096" width="8.140625" style="2" bestFit="1" customWidth="1"/>
    <col min="16097" max="16097" width="8.42578125" style="2" customWidth="1"/>
    <col min="16098" max="16098" width="9.140625" style="2" bestFit="1" customWidth="1"/>
    <col min="16099" max="16099" width="27.140625" style="2" customWidth="1"/>
    <col min="16100" max="16384" width="9.140625" style="2"/>
  </cols>
  <sheetData>
    <row r="1" spans="1:15" ht="15.75" customHeight="1" x14ac:dyDescent="0.25">
      <c r="A1" s="1" t="s">
        <v>0</v>
      </c>
      <c r="B1" s="1"/>
      <c r="C1" s="1"/>
    </row>
    <row r="2" spans="1:15" ht="16.5" customHeight="1" x14ac:dyDescent="0.25">
      <c r="A2" s="1" t="s">
        <v>1</v>
      </c>
      <c r="B2" s="1"/>
      <c r="C2" s="1"/>
    </row>
    <row r="3" spans="1:15" ht="13.5" customHeight="1" x14ac:dyDescent="0.25">
      <c r="A3" s="315" t="s">
        <v>227</v>
      </c>
      <c r="B3" s="315"/>
      <c r="C3" s="315"/>
    </row>
    <row r="4" spans="1:15" x14ac:dyDescent="0.2">
      <c r="A4" s="2" t="s">
        <v>3</v>
      </c>
    </row>
    <row r="5" spans="1:15" x14ac:dyDescent="0.2">
      <c r="A5" s="20" t="s">
        <v>4</v>
      </c>
    </row>
    <row r="6" spans="1:15" s="20" customFormat="1" ht="12.75" customHeight="1" x14ac:dyDescent="0.2">
      <c r="A6" s="316" t="s">
        <v>5</v>
      </c>
      <c r="B6" s="317"/>
      <c r="C6" s="137" t="s">
        <v>6</v>
      </c>
      <c r="D6" s="137" t="s">
        <v>6</v>
      </c>
      <c r="E6" s="137" t="s">
        <v>6</v>
      </c>
      <c r="F6" s="149" t="s">
        <v>6</v>
      </c>
      <c r="G6" s="149" t="s">
        <v>6</v>
      </c>
      <c r="H6" s="149" t="s">
        <v>6</v>
      </c>
      <c r="I6" s="149" t="s">
        <v>6</v>
      </c>
      <c r="J6" s="149" t="s">
        <v>6</v>
      </c>
      <c r="K6" s="149" t="s">
        <v>6</v>
      </c>
      <c r="L6" s="149" t="s">
        <v>6</v>
      </c>
      <c r="M6" s="149" t="s">
        <v>6</v>
      </c>
      <c r="N6" s="150" t="s">
        <v>6</v>
      </c>
      <c r="O6" s="151" t="s">
        <v>6</v>
      </c>
    </row>
    <row r="7" spans="1:15" s="20" customFormat="1" ht="12.75" customHeight="1" thickBot="1" x14ac:dyDescent="0.25">
      <c r="A7" s="318"/>
      <c r="B7" s="319"/>
      <c r="C7" s="139" t="s">
        <v>7</v>
      </c>
      <c r="D7" s="139" t="s">
        <v>8</v>
      </c>
      <c r="E7" s="139" t="s">
        <v>9</v>
      </c>
      <c r="F7" s="152" t="s">
        <v>10</v>
      </c>
      <c r="G7" s="152" t="s">
        <v>11</v>
      </c>
      <c r="H7" s="152" t="s">
        <v>12</v>
      </c>
      <c r="I7" s="152" t="s">
        <v>13</v>
      </c>
      <c r="J7" s="152" t="s">
        <v>14</v>
      </c>
      <c r="K7" s="152" t="s">
        <v>15</v>
      </c>
      <c r="L7" s="152" t="s">
        <v>16</v>
      </c>
      <c r="M7" s="152" t="s">
        <v>17</v>
      </c>
      <c r="N7" s="153" t="s">
        <v>18</v>
      </c>
      <c r="O7" s="154" t="s">
        <v>19</v>
      </c>
    </row>
    <row r="8" spans="1:15" ht="12.75" customHeight="1" thickTop="1" x14ac:dyDescent="0.25">
      <c r="A8" s="24"/>
      <c r="B8" s="24"/>
      <c r="C8" s="24"/>
    </row>
    <row r="9" spans="1:15" s="4" customFormat="1" ht="15" x14ac:dyDescent="0.25">
      <c r="A9" s="3" t="s">
        <v>20</v>
      </c>
      <c r="C9" s="5">
        <v>488.70999999999992</v>
      </c>
      <c r="D9" s="69">
        <v>765.98400000000004</v>
      </c>
      <c r="E9" s="69">
        <v>282.18</v>
      </c>
      <c r="F9" s="69">
        <v>503.93999999999988</v>
      </c>
      <c r="G9" s="69">
        <v>280.13</v>
      </c>
      <c r="H9" s="69">
        <v>256.10000000000002</v>
      </c>
      <c r="I9" s="69">
        <v>565.3599999999999</v>
      </c>
      <c r="J9" s="69">
        <v>317.41000000000003</v>
      </c>
      <c r="K9" s="69">
        <v>484.53</v>
      </c>
      <c r="L9" s="69">
        <v>1699.77</v>
      </c>
      <c r="M9" s="69">
        <v>1275.2899999999997</v>
      </c>
      <c r="N9" s="70">
        <v>377.02</v>
      </c>
      <c r="O9" s="69">
        <v>7296.2840000000006</v>
      </c>
    </row>
    <row r="10" spans="1:15" x14ac:dyDescent="0.2">
      <c r="B10" s="2" t="s">
        <v>21</v>
      </c>
      <c r="C10" s="7">
        <v>0.68</v>
      </c>
      <c r="D10" s="71">
        <v>0.42</v>
      </c>
      <c r="E10" s="71">
        <v>0.56999999999999995</v>
      </c>
      <c r="F10" s="71">
        <v>0.52</v>
      </c>
      <c r="G10" s="22">
        <v>0.74</v>
      </c>
      <c r="H10" s="22">
        <v>0.4</v>
      </c>
      <c r="I10" s="22">
        <v>1.07</v>
      </c>
      <c r="J10" s="22">
        <v>0.35</v>
      </c>
      <c r="K10" s="22">
        <v>1.57</v>
      </c>
      <c r="L10" s="22">
        <v>0.64</v>
      </c>
      <c r="M10" s="22">
        <v>0.93</v>
      </c>
      <c r="N10" s="72">
        <v>0.54</v>
      </c>
      <c r="O10" s="22">
        <f>SUM(C10:N10)</f>
        <v>8.43</v>
      </c>
    </row>
    <row r="11" spans="1:15" x14ac:dyDescent="0.2">
      <c r="B11" s="2" t="s">
        <v>22</v>
      </c>
      <c r="C11" s="7">
        <v>10.36</v>
      </c>
      <c r="D11" s="71">
        <v>6.85</v>
      </c>
      <c r="E11" s="71">
        <v>3.08</v>
      </c>
      <c r="F11" s="71">
        <v>2.88</v>
      </c>
      <c r="G11" s="22">
        <v>16.79</v>
      </c>
      <c r="H11" s="22">
        <v>4.43</v>
      </c>
      <c r="I11" s="22">
        <v>10.9</v>
      </c>
      <c r="J11" s="22">
        <v>5.72</v>
      </c>
      <c r="K11" s="22">
        <v>6.63</v>
      </c>
      <c r="L11" s="22">
        <v>13.54</v>
      </c>
      <c r="M11" s="22">
        <v>4.59</v>
      </c>
      <c r="N11" s="72">
        <v>6.24</v>
      </c>
      <c r="O11" s="22">
        <f t="shared" ref="O11:O32" si="0">SUM(C11:N11)</f>
        <v>92.009999999999977</v>
      </c>
    </row>
    <row r="12" spans="1:15" x14ac:dyDescent="0.2">
      <c r="B12" s="2" t="s">
        <v>23</v>
      </c>
      <c r="C12" s="7">
        <v>0</v>
      </c>
      <c r="D12" s="71">
        <v>0</v>
      </c>
      <c r="E12" s="71">
        <v>0</v>
      </c>
      <c r="F12" s="71">
        <v>0</v>
      </c>
      <c r="G12" s="22">
        <v>0</v>
      </c>
      <c r="H12" s="22">
        <v>0</v>
      </c>
      <c r="I12" s="22">
        <v>0.02</v>
      </c>
      <c r="J12" s="22">
        <v>0</v>
      </c>
      <c r="K12" s="22">
        <v>0</v>
      </c>
      <c r="L12" s="22">
        <v>0</v>
      </c>
      <c r="M12" s="22">
        <v>0.12</v>
      </c>
      <c r="N12" s="72">
        <v>0</v>
      </c>
      <c r="O12" s="22">
        <f t="shared" si="0"/>
        <v>0.13999999999999999</v>
      </c>
    </row>
    <row r="13" spans="1:15" x14ac:dyDescent="0.2">
      <c r="B13" s="2" t="s">
        <v>230</v>
      </c>
      <c r="C13" s="7">
        <v>2.34</v>
      </c>
      <c r="D13" s="71">
        <v>2.7</v>
      </c>
      <c r="E13" s="71">
        <v>1.27</v>
      </c>
      <c r="F13" s="71">
        <v>2.0099999999999998</v>
      </c>
      <c r="G13" s="22">
        <v>3.62</v>
      </c>
      <c r="H13" s="22">
        <v>2.38</v>
      </c>
      <c r="I13" s="22">
        <v>3.52</v>
      </c>
      <c r="J13" s="22">
        <v>2.65</v>
      </c>
      <c r="K13" s="22">
        <v>3.16</v>
      </c>
      <c r="L13" s="22">
        <v>2.48</v>
      </c>
      <c r="M13" s="22">
        <v>2.79</v>
      </c>
      <c r="N13" s="72">
        <v>2.75</v>
      </c>
      <c r="O13" s="22">
        <f t="shared" si="0"/>
        <v>31.669999999999998</v>
      </c>
    </row>
    <row r="14" spans="1:15" x14ac:dyDescent="0.2">
      <c r="B14" s="2" t="s">
        <v>25</v>
      </c>
      <c r="C14" s="7">
        <v>3</v>
      </c>
      <c r="D14" s="71">
        <v>2.02</v>
      </c>
      <c r="E14" s="71">
        <v>2.31</v>
      </c>
      <c r="F14" s="73">
        <v>2.36</v>
      </c>
      <c r="G14" s="22">
        <v>2.76</v>
      </c>
      <c r="H14" s="22">
        <v>1.51</v>
      </c>
      <c r="I14" s="22">
        <v>2.17</v>
      </c>
      <c r="J14" s="22">
        <v>1.62</v>
      </c>
      <c r="K14" s="22">
        <v>2.39</v>
      </c>
      <c r="L14" s="22">
        <v>1.61</v>
      </c>
      <c r="M14" s="22">
        <v>2.73</v>
      </c>
      <c r="N14" s="72">
        <v>2.11</v>
      </c>
      <c r="O14" s="22">
        <f t="shared" si="0"/>
        <v>26.59</v>
      </c>
    </row>
    <row r="15" spans="1:15" x14ac:dyDescent="0.2">
      <c r="B15" s="2" t="s">
        <v>26</v>
      </c>
      <c r="C15" s="7">
        <v>62.3</v>
      </c>
      <c r="D15" s="71">
        <v>11.55</v>
      </c>
      <c r="E15" s="71">
        <v>5.21</v>
      </c>
      <c r="F15" s="74">
        <v>14.27</v>
      </c>
      <c r="G15" s="22">
        <v>5.42</v>
      </c>
      <c r="H15" s="22">
        <v>4.67</v>
      </c>
      <c r="I15" s="22">
        <v>141.61000000000001</v>
      </c>
      <c r="J15" s="22">
        <v>5.8</v>
      </c>
      <c r="K15" s="22">
        <v>41.42</v>
      </c>
      <c r="L15" s="22">
        <v>696.96</v>
      </c>
      <c r="M15" s="22">
        <v>16.920000000000002</v>
      </c>
      <c r="N15" s="72">
        <v>6.15</v>
      </c>
      <c r="O15" s="22">
        <f t="shared" si="0"/>
        <v>1012.28</v>
      </c>
    </row>
    <row r="16" spans="1:15" x14ac:dyDescent="0.2">
      <c r="B16" s="2" t="s">
        <v>27</v>
      </c>
      <c r="C16" s="7">
        <v>0.36</v>
      </c>
      <c r="D16" s="71">
        <v>0.81</v>
      </c>
      <c r="E16" s="71">
        <v>2.04</v>
      </c>
      <c r="F16" s="74">
        <v>1.6</v>
      </c>
      <c r="G16" s="22">
        <v>0.26</v>
      </c>
      <c r="H16" s="22">
        <v>0.3</v>
      </c>
      <c r="I16" s="22">
        <v>0.63</v>
      </c>
      <c r="J16" s="22">
        <v>0.74</v>
      </c>
      <c r="K16" s="22">
        <v>0.38</v>
      </c>
      <c r="L16" s="22">
        <v>0.28999999999999998</v>
      </c>
      <c r="M16" s="22">
        <v>0.2</v>
      </c>
      <c r="N16" s="72">
        <v>0.48</v>
      </c>
      <c r="O16" s="22">
        <f t="shared" si="0"/>
        <v>8.09</v>
      </c>
    </row>
    <row r="17" spans="2:15" x14ac:dyDescent="0.2">
      <c r="B17" s="2" t="s">
        <v>28</v>
      </c>
      <c r="C17" s="7">
        <v>0.01</v>
      </c>
      <c r="D17" s="71">
        <v>0.01</v>
      </c>
      <c r="E17" s="71">
        <v>0.28999999999999998</v>
      </c>
      <c r="F17" s="71">
        <v>5.3</v>
      </c>
      <c r="G17" s="22">
        <v>0.27</v>
      </c>
      <c r="H17" s="22">
        <v>0.55000000000000004</v>
      </c>
      <c r="I17" s="22">
        <v>0.79</v>
      </c>
      <c r="J17" s="22">
        <v>0</v>
      </c>
      <c r="K17" s="22">
        <v>1.04</v>
      </c>
      <c r="L17" s="22">
        <v>0.34</v>
      </c>
      <c r="M17" s="22">
        <v>0.06</v>
      </c>
      <c r="N17" s="72">
        <v>0.14000000000000001</v>
      </c>
      <c r="O17" s="22">
        <f t="shared" si="0"/>
        <v>8.7999999999999989</v>
      </c>
    </row>
    <row r="18" spans="2:15" x14ac:dyDescent="0.2">
      <c r="B18" s="2" t="s">
        <v>30</v>
      </c>
      <c r="C18" s="7">
        <v>0</v>
      </c>
      <c r="D18" s="7">
        <v>0</v>
      </c>
      <c r="E18" s="7">
        <v>0</v>
      </c>
      <c r="F18" s="72">
        <v>0</v>
      </c>
      <c r="G18" s="75">
        <v>0</v>
      </c>
      <c r="H18" s="75">
        <v>0</v>
      </c>
      <c r="I18" s="22">
        <v>0</v>
      </c>
      <c r="J18" s="75">
        <v>0</v>
      </c>
      <c r="K18" s="22">
        <v>0</v>
      </c>
      <c r="L18" s="75">
        <v>0</v>
      </c>
      <c r="M18" s="75">
        <v>0</v>
      </c>
      <c r="N18" s="72">
        <v>0</v>
      </c>
      <c r="O18" s="22">
        <f t="shared" si="0"/>
        <v>0</v>
      </c>
    </row>
    <row r="19" spans="2:15" x14ac:dyDescent="0.2">
      <c r="B19" s="2" t="s">
        <v>31</v>
      </c>
      <c r="C19" s="7">
        <v>0</v>
      </c>
      <c r="D19" s="71">
        <v>0</v>
      </c>
      <c r="E19" s="71">
        <v>0</v>
      </c>
      <c r="F19" s="71">
        <v>0.01</v>
      </c>
      <c r="G19" s="22">
        <v>0.15</v>
      </c>
      <c r="H19" s="22">
        <v>0.14000000000000001</v>
      </c>
      <c r="I19" s="22">
        <v>0.1</v>
      </c>
      <c r="J19" s="75">
        <v>0.01</v>
      </c>
      <c r="K19" s="22">
        <v>0.03</v>
      </c>
      <c r="L19" s="22">
        <v>0.01</v>
      </c>
      <c r="M19" s="75">
        <v>0</v>
      </c>
      <c r="N19" s="72">
        <v>0.01</v>
      </c>
      <c r="O19" s="22">
        <f t="shared" si="0"/>
        <v>0.46000000000000008</v>
      </c>
    </row>
    <row r="20" spans="2:15" x14ac:dyDescent="0.2">
      <c r="B20" s="2" t="s">
        <v>32</v>
      </c>
      <c r="C20" s="7">
        <v>0</v>
      </c>
      <c r="D20" s="7">
        <v>0</v>
      </c>
      <c r="E20" s="7">
        <v>0</v>
      </c>
      <c r="F20" s="72">
        <v>0</v>
      </c>
      <c r="G20" s="75">
        <v>0</v>
      </c>
      <c r="H20" s="75">
        <v>0</v>
      </c>
      <c r="I20" s="22">
        <v>0</v>
      </c>
      <c r="J20" s="75">
        <v>0</v>
      </c>
      <c r="K20" s="22">
        <v>0</v>
      </c>
      <c r="L20" s="75">
        <v>0</v>
      </c>
      <c r="M20" s="75">
        <v>0</v>
      </c>
      <c r="N20" s="72">
        <v>0</v>
      </c>
      <c r="O20" s="22">
        <f t="shared" si="0"/>
        <v>0</v>
      </c>
    </row>
    <row r="21" spans="2:15" x14ac:dyDescent="0.2">
      <c r="B21" s="2" t="s">
        <v>33</v>
      </c>
      <c r="C21" s="7">
        <v>0</v>
      </c>
      <c r="D21" s="7">
        <v>0</v>
      </c>
      <c r="E21" s="7">
        <v>0</v>
      </c>
      <c r="F21" s="7">
        <v>0</v>
      </c>
      <c r="G21" s="7">
        <v>0</v>
      </c>
      <c r="H21" s="7">
        <v>0</v>
      </c>
      <c r="I21" s="7">
        <v>0</v>
      </c>
      <c r="J21" s="7">
        <v>0</v>
      </c>
      <c r="K21" s="22">
        <v>0.21</v>
      </c>
      <c r="L21" s="75">
        <v>0.02</v>
      </c>
      <c r="M21" s="75">
        <v>0.04</v>
      </c>
      <c r="N21" s="72">
        <v>0</v>
      </c>
      <c r="O21" s="22">
        <f t="shared" si="0"/>
        <v>0.26999999999999996</v>
      </c>
    </row>
    <row r="22" spans="2:15" x14ac:dyDescent="0.2">
      <c r="B22" s="2" t="s">
        <v>35</v>
      </c>
      <c r="C22" s="7">
        <v>0.67</v>
      </c>
      <c r="D22" s="71">
        <v>0.47</v>
      </c>
      <c r="E22" s="71">
        <v>0.51</v>
      </c>
      <c r="F22" s="71">
        <v>0.61</v>
      </c>
      <c r="G22" s="22">
        <v>0.33</v>
      </c>
      <c r="H22" s="22">
        <v>0.32</v>
      </c>
      <c r="I22" s="22">
        <v>0.69</v>
      </c>
      <c r="J22" s="75">
        <v>0.59</v>
      </c>
      <c r="K22" s="22">
        <v>0.32</v>
      </c>
      <c r="L22" s="22">
        <v>0.19</v>
      </c>
      <c r="M22" s="22">
        <v>0.56999999999999995</v>
      </c>
      <c r="N22" s="72">
        <v>0.16</v>
      </c>
      <c r="O22" s="22">
        <f t="shared" si="0"/>
        <v>5.4300000000000015</v>
      </c>
    </row>
    <row r="23" spans="2:15" s="76" customFormat="1" x14ac:dyDescent="0.2">
      <c r="B23" s="76" t="s">
        <v>36</v>
      </c>
      <c r="C23" s="77">
        <v>1.48</v>
      </c>
      <c r="D23" s="7">
        <v>0</v>
      </c>
      <c r="E23" s="78">
        <v>1</v>
      </c>
      <c r="F23" s="78">
        <v>1.34</v>
      </c>
      <c r="G23" s="79">
        <v>0.7</v>
      </c>
      <c r="H23" s="22">
        <v>0.05</v>
      </c>
      <c r="I23" s="22">
        <v>0.08</v>
      </c>
      <c r="J23" s="75">
        <v>0.05</v>
      </c>
      <c r="K23" s="22">
        <v>0.16</v>
      </c>
      <c r="L23" s="79">
        <v>7.0000000000000007E-2</v>
      </c>
      <c r="M23" s="79">
        <v>0.12</v>
      </c>
      <c r="N23" s="72">
        <v>0.04</v>
      </c>
      <c r="O23" s="22">
        <f t="shared" si="0"/>
        <v>5.0900000000000007</v>
      </c>
    </row>
    <row r="24" spans="2:15" x14ac:dyDescent="0.2">
      <c r="B24" s="2" t="s">
        <v>37</v>
      </c>
      <c r="C24" s="7">
        <v>280.89999999999998</v>
      </c>
      <c r="D24" s="71">
        <v>634.64</v>
      </c>
      <c r="E24" s="71">
        <v>198.28</v>
      </c>
      <c r="F24" s="71">
        <v>405.33</v>
      </c>
      <c r="G24" s="22">
        <v>180.55</v>
      </c>
      <c r="H24" s="22">
        <v>157.78</v>
      </c>
      <c r="I24" s="22">
        <v>288.01</v>
      </c>
      <c r="J24" s="75">
        <v>216.67</v>
      </c>
      <c r="K24" s="22">
        <v>315.79000000000002</v>
      </c>
      <c r="L24" s="22">
        <v>918.75</v>
      </c>
      <c r="M24" s="79">
        <v>1173.48</v>
      </c>
      <c r="N24" s="72">
        <v>281.83</v>
      </c>
      <c r="O24" s="22">
        <f t="shared" si="0"/>
        <v>5052.01</v>
      </c>
    </row>
    <row r="25" spans="2:15" x14ac:dyDescent="0.2">
      <c r="B25" s="2" t="s">
        <v>38</v>
      </c>
      <c r="C25" s="7">
        <v>0.75</v>
      </c>
      <c r="D25" s="71">
        <v>0.12</v>
      </c>
      <c r="E25" s="71">
        <v>0.16</v>
      </c>
      <c r="F25" s="71">
        <v>0.34</v>
      </c>
      <c r="G25" s="22">
        <v>0.45</v>
      </c>
      <c r="H25" s="22">
        <v>1.46</v>
      </c>
      <c r="I25" s="22">
        <v>1.53</v>
      </c>
      <c r="J25" s="75">
        <v>0.54</v>
      </c>
      <c r="K25" s="22">
        <v>1.59</v>
      </c>
      <c r="L25" s="22">
        <v>1.21</v>
      </c>
      <c r="M25" s="22">
        <v>3.64</v>
      </c>
      <c r="N25" s="72">
        <v>1.34</v>
      </c>
      <c r="O25" s="22">
        <f t="shared" si="0"/>
        <v>13.13</v>
      </c>
    </row>
    <row r="26" spans="2:15" x14ac:dyDescent="0.2">
      <c r="B26" s="2" t="s">
        <v>39</v>
      </c>
      <c r="C26" s="7">
        <v>8.84</v>
      </c>
      <c r="D26" s="71">
        <v>6.28</v>
      </c>
      <c r="E26" s="71">
        <v>5.63</v>
      </c>
      <c r="F26" s="71">
        <v>8.49</v>
      </c>
      <c r="G26" s="22">
        <v>6.03</v>
      </c>
      <c r="H26" s="22">
        <v>4.5999999999999996</v>
      </c>
      <c r="I26" s="22">
        <v>6.81</v>
      </c>
      <c r="J26" s="75">
        <v>3.74</v>
      </c>
      <c r="K26" s="22">
        <v>5.82</v>
      </c>
      <c r="L26" s="22">
        <v>5.64</v>
      </c>
      <c r="M26" s="22">
        <v>3.12</v>
      </c>
      <c r="N26" s="72">
        <v>6.8</v>
      </c>
      <c r="O26" s="22">
        <f t="shared" si="0"/>
        <v>71.800000000000011</v>
      </c>
    </row>
    <row r="27" spans="2:15" x14ac:dyDescent="0.2">
      <c r="B27" s="2" t="s">
        <v>40</v>
      </c>
      <c r="C27" s="7">
        <v>0</v>
      </c>
      <c r="D27" s="7">
        <v>0</v>
      </c>
      <c r="E27" s="7">
        <v>0</v>
      </c>
      <c r="F27" s="72">
        <v>0</v>
      </c>
      <c r="G27" s="75">
        <v>0</v>
      </c>
      <c r="H27" s="75">
        <v>0</v>
      </c>
      <c r="I27" s="22">
        <v>0</v>
      </c>
      <c r="J27" s="75">
        <v>0</v>
      </c>
      <c r="K27" s="22">
        <v>0</v>
      </c>
      <c r="L27" s="75">
        <v>0</v>
      </c>
      <c r="M27" s="75">
        <v>0</v>
      </c>
      <c r="N27" s="72">
        <v>0</v>
      </c>
      <c r="O27" s="22">
        <f t="shared" si="0"/>
        <v>0</v>
      </c>
    </row>
    <row r="28" spans="2:15" x14ac:dyDescent="0.2">
      <c r="B28" s="2" t="s">
        <v>41</v>
      </c>
      <c r="C28" s="7">
        <v>116.79</v>
      </c>
      <c r="D28" s="71">
        <v>99.72</v>
      </c>
      <c r="E28" s="71">
        <v>61.37</v>
      </c>
      <c r="F28" s="71">
        <v>57.83</v>
      </c>
      <c r="G28" s="22">
        <v>61.86</v>
      </c>
      <c r="H28" s="22">
        <v>74.89</v>
      </c>
      <c r="I28" s="22">
        <v>104.12</v>
      </c>
      <c r="J28" s="75">
        <v>78.7</v>
      </c>
      <c r="K28" s="22">
        <v>103.59</v>
      </c>
      <c r="L28" s="22">
        <v>55.8</v>
      </c>
      <c r="M28" s="22">
        <v>65.37</v>
      </c>
      <c r="N28" s="72">
        <v>67.239999999999995</v>
      </c>
      <c r="O28" s="22">
        <f t="shared" si="0"/>
        <v>947.28</v>
      </c>
    </row>
    <row r="29" spans="2:15" ht="15" x14ac:dyDescent="0.25">
      <c r="B29" s="118" t="s">
        <v>713</v>
      </c>
      <c r="C29" s="7">
        <v>0.02</v>
      </c>
      <c r="D29" s="7">
        <v>0</v>
      </c>
      <c r="E29" s="7">
        <v>0</v>
      </c>
      <c r="F29" s="72">
        <v>0.02</v>
      </c>
      <c r="G29" s="22">
        <v>0</v>
      </c>
      <c r="H29" s="75">
        <v>0</v>
      </c>
      <c r="I29" s="22">
        <v>0</v>
      </c>
      <c r="J29" s="75">
        <v>0</v>
      </c>
      <c r="K29" s="22">
        <v>0</v>
      </c>
      <c r="L29" s="22">
        <v>0.04</v>
      </c>
      <c r="M29" s="22">
        <v>0</v>
      </c>
      <c r="N29" s="72">
        <v>0</v>
      </c>
      <c r="O29" s="22">
        <f t="shared" si="0"/>
        <v>0.08</v>
      </c>
    </row>
    <row r="30" spans="2:15" x14ac:dyDescent="0.2">
      <c r="B30" s="2" t="s">
        <v>43</v>
      </c>
      <c r="C30" s="7">
        <v>0.08</v>
      </c>
      <c r="D30" s="71">
        <v>0.13</v>
      </c>
      <c r="E30" s="71">
        <v>0.12</v>
      </c>
      <c r="F30" s="71">
        <v>0.15</v>
      </c>
      <c r="G30" s="22">
        <v>0.06</v>
      </c>
      <c r="H30" s="22">
        <v>0.92</v>
      </c>
      <c r="I30" s="22">
        <v>0.8</v>
      </c>
      <c r="J30" s="22">
        <v>0.1</v>
      </c>
      <c r="K30" s="22">
        <v>0.13</v>
      </c>
      <c r="L30" s="22">
        <v>0.05</v>
      </c>
      <c r="M30" s="22">
        <v>0.09</v>
      </c>
      <c r="N30" s="72">
        <v>0.89</v>
      </c>
      <c r="O30" s="22">
        <f t="shared" si="0"/>
        <v>3.5199999999999996</v>
      </c>
    </row>
    <row r="31" spans="2:15" x14ac:dyDescent="0.2">
      <c r="B31" s="2" t="s">
        <v>44</v>
      </c>
      <c r="C31" s="7">
        <v>0</v>
      </c>
      <c r="D31" s="71">
        <v>0.02</v>
      </c>
      <c r="E31" s="71">
        <v>0.04</v>
      </c>
      <c r="F31" s="72">
        <v>0.81</v>
      </c>
      <c r="G31" s="22">
        <v>0.01</v>
      </c>
      <c r="H31" s="75">
        <v>0</v>
      </c>
      <c r="I31" s="22">
        <v>0.88</v>
      </c>
      <c r="J31" s="22">
        <v>0.05</v>
      </c>
      <c r="K31" s="22">
        <v>0.02</v>
      </c>
      <c r="L31" s="22">
        <v>0.01</v>
      </c>
      <c r="M31" s="75">
        <v>0.02</v>
      </c>
      <c r="N31" s="72">
        <v>0.04</v>
      </c>
      <c r="O31" s="22">
        <f t="shared" si="0"/>
        <v>1.9000000000000004</v>
      </c>
    </row>
    <row r="32" spans="2:15" x14ac:dyDescent="0.2">
      <c r="B32" s="2" t="s">
        <v>45</v>
      </c>
      <c r="C32" s="7">
        <v>0.13</v>
      </c>
      <c r="D32" s="71">
        <v>0.24399999999999999</v>
      </c>
      <c r="E32" s="71">
        <v>0.3</v>
      </c>
      <c r="F32" s="71">
        <v>7.0000000000000007E-2</v>
      </c>
      <c r="G32" s="22">
        <v>0.13</v>
      </c>
      <c r="H32" s="22">
        <v>1.7</v>
      </c>
      <c r="I32" s="22">
        <v>1.63</v>
      </c>
      <c r="J32" s="22">
        <v>0.08</v>
      </c>
      <c r="K32" s="22">
        <v>0.28000000000000003</v>
      </c>
      <c r="L32" s="22">
        <v>2.12</v>
      </c>
      <c r="M32" s="22">
        <v>0.5</v>
      </c>
      <c r="N32" s="72">
        <v>0.26</v>
      </c>
      <c r="O32" s="22">
        <f t="shared" si="0"/>
        <v>7.444</v>
      </c>
    </row>
    <row r="33" spans="1:15" ht="11.25" customHeight="1" x14ac:dyDescent="0.2">
      <c r="B33" s="2" t="s">
        <v>6</v>
      </c>
      <c r="C33" s="7"/>
      <c r="D33" s="71"/>
      <c r="E33" s="71"/>
    </row>
    <row r="34" spans="1:15" s="4" customFormat="1" ht="15" x14ac:dyDescent="0.25">
      <c r="A34" s="3" t="s">
        <v>46</v>
      </c>
      <c r="C34" s="5">
        <v>5.24</v>
      </c>
      <c r="D34" s="69">
        <v>0.69</v>
      </c>
      <c r="E34" s="69">
        <v>0.88000000000000012</v>
      </c>
      <c r="F34" s="69">
        <v>1.69</v>
      </c>
      <c r="G34" s="69">
        <v>0.39</v>
      </c>
      <c r="H34" s="69">
        <v>1.9900000000000002</v>
      </c>
      <c r="I34" s="69">
        <v>3.8699999999999997</v>
      </c>
      <c r="J34" s="69">
        <v>0.6100000000000001</v>
      </c>
      <c r="K34" s="69">
        <v>0.88</v>
      </c>
      <c r="L34" s="69">
        <v>1.1600000000000001</v>
      </c>
      <c r="M34" s="69">
        <v>1.08</v>
      </c>
      <c r="N34" s="70">
        <v>1.21</v>
      </c>
      <c r="O34" s="69">
        <v>19.690000000000001</v>
      </c>
    </row>
    <row r="35" spans="1:15" x14ac:dyDescent="0.2">
      <c r="B35" s="2" t="s">
        <v>47</v>
      </c>
      <c r="C35" s="7">
        <v>2.41</v>
      </c>
      <c r="D35" s="71">
        <v>0.59</v>
      </c>
      <c r="E35" s="71">
        <v>0.18</v>
      </c>
      <c r="F35" s="22">
        <v>1.27</v>
      </c>
      <c r="G35" s="22">
        <v>0.09</v>
      </c>
      <c r="H35" s="22">
        <v>7.0000000000000007E-2</v>
      </c>
      <c r="I35" s="22">
        <v>2.65</v>
      </c>
      <c r="J35" s="22">
        <v>0.39</v>
      </c>
      <c r="K35" s="22">
        <v>0.21</v>
      </c>
      <c r="L35" s="22">
        <v>0.37</v>
      </c>
      <c r="M35" s="22">
        <v>0.45</v>
      </c>
      <c r="N35" s="72">
        <v>0.83</v>
      </c>
      <c r="O35" s="22">
        <v>9.509999999999998</v>
      </c>
    </row>
    <row r="36" spans="1:15" x14ac:dyDescent="0.2">
      <c r="B36" s="2" t="s">
        <v>48</v>
      </c>
      <c r="C36" s="7">
        <v>0</v>
      </c>
      <c r="D36" s="7">
        <v>0</v>
      </c>
      <c r="E36" s="80">
        <v>0</v>
      </c>
      <c r="F36" s="75">
        <v>0</v>
      </c>
      <c r="G36" s="75">
        <v>0.01</v>
      </c>
      <c r="H36" s="75">
        <v>0</v>
      </c>
      <c r="I36" s="22">
        <v>0.01</v>
      </c>
      <c r="J36" s="75">
        <v>0</v>
      </c>
      <c r="K36" s="22">
        <v>0</v>
      </c>
      <c r="L36" s="75">
        <v>0</v>
      </c>
      <c r="M36" s="75">
        <v>0</v>
      </c>
      <c r="N36" s="72">
        <v>0</v>
      </c>
      <c r="O36" s="22">
        <v>0.02</v>
      </c>
    </row>
    <row r="37" spans="1:15" x14ac:dyDescent="0.2">
      <c r="B37" s="2" t="s">
        <v>49</v>
      </c>
      <c r="C37" s="7">
        <v>0.89</v>
      </c>
      <c r="D37" s="71">
        <v>0.09</v>
      </c>
      <c r="E37" s="71">
        <v>0.66</v>
      </c>
      <c r="F37" s="22">
        <v>0.42</v>
      </c>
      <c r="G37" s="22">
        <v>0.18</v>
      </c>
      <c r="H37" s="22">
        <v>1.85</v>
      </c>
      <c r="I37" s="22">
        <v>0.82</v>
      </c>
      <c r="J37" s="22">
        <v>0.19</v>
      </c>
      <c r="K37" s="22">
        <v>0.55000000000000004</v>
      </c>
      <c r="L37" s="22">
        <v>0.43</v>
      </c>
      <c r="M37" s="22">
        <v>0.57999999999999996</v>
      </c>
      <c r="N37" s="72">
        <v>0.35</v>
      </c>
      <c r="O37" s="22">
        <v>7.01</v>
      </c>
    </row>
    <row r="38" spans="1:15" x14ac:dyDescent="0.2">
      <c r="B38" s="2" t="s">
        <v>50</v>
      </c>
      <c r="C38" s="7">
        <v>0</v>
      </c>
      <c r="D38" s="71">
        <v>0</v>
      </c>
      <c r="E38" s="71">
        <v>0</v>
      </c>
      <c r="F38" s="75">
        <v>0</v>
      </c>
      <c r="G38" s="75">
        <v>0</v>
      </c>
      <c r="H38" s="75">
        <v>0</v>
      </c>
      <c r="I38" s="22">
        <v>0</v>
      </c>
      <c r="J38" s="75">
        <v>0</v>
      </c>
      <c r="K38" s="22">
        <v>0</v>
      </c>
      <c r="L38" s="75">
        <v>0</v>
      </c>
      <c r="M38" s="75">
        <v>0</v>
      </c>
      <c r="N38" s="72">
        <v>0</v>
      </c>
      <c r="O38" s="22">
        <v>0</v>
      </c>
    </row>
    <row r="39" spans="1:15" s="81" customFormat="1" x14ac:dyDescent="0.2">
      <c r="A39" s="2"/>
      <c r="B39" s="2" t="s">
        <v>51</v>
      </c>
      <c r="C39" s="7">
        <v>0.1</v>
      </c>
      <c r="D39" s="71">
        <v>0</v>
      </c>
      <c r="E39" s="71">
        <v>0</v>
      </c>
      <c r="F39" s="22">
        <v>0</v>
      </c>
      <c r="G39" s="22">
        <v>0.01</v>
      </c>
      <c r="H39" s="22">
        <v>0.01</v>
      </c>
      <c r="I39" s="22">
        <v>0.1</v>
      </c>
      <c r="J39" s="22">
        <v>0.02</v>
      </c>
      <c r="K39" s="22">
        <v>0.12</v>
      </c>
      <c r="L39" s="22">
        <v>0.34</v>
      </c>
      <c r="M39" s="22">
        <v>0.03</v>
      </c>
      <c r="N39" s="72">
        <v>0.03</v>
      </c>
      <c r="O39" s="22">
        <v>0.76</v>
      </c>
    </row>
    <row r="40" spans="1:15" x14ac:dyDescent="0.2">
      <c r="B40" s="2" t="s">
        <v>52</v>
      </c>
      <c r="C40" s="7">
        <v>0</v>
      </c>
      <c r="D40" s="71">
        <v>0.01</v>
      </c>
      <c r="E40" s="71">
        <v>0.04</v>
      </c>
      <c r="F40" s="22">
        <v>0</v>
      </c>
      <c r="G40" s="22">
        <v>0.01</v>
      </c>
      <c r="H40" s="22">
        <v>0.04</v>
      </c>
      <c r="I40" s="22">
        <v>0.09</v>
      </c>
      <c r="J40" s="22">
        <v>0.01</v>
      </c>
      <c r="K40" s="22">
        <v>0</v>
      </c>
      <c r="L40" s="22">
        <v>0.01</v>
      </c>
      <c r="M40" s="22">
        <v>0.02</v>
      </c>
      <c r="N40" s="72">
        <v>0</v>
      </c>
      <c r="O40" s="22">
        <v>0.23</v>
      </c>
    </row>
    <row r="41" spans="1:15" x14ac:dyDescent="0.2">
      <c r="B41" s="2" t="s">
        <v>53</v>
      </c>
      <c r="C41" s="7">
        <v>1.84</v>
      </c>
      <c r="D41" s="7">
        <v>0</v>
      </c>
      <c r="E41" s="71">
        <v>0</v>
      </c>
      <c r="F41" s="22">
        <v>0</v>
      </c>
      <c r="G41" s="22">
        <v>0.09</v>
      </c>
      <c r="H41" s="22">
        <v>0.02</v>
      </c>
      <c r="I41" s="22">
        <v>0.2</v>
      </c>
      <c r="J41" s="22">
        <v>0</v>
      </c>
      <c r="K41" s="22">
        <v>0</v>
      </c>
      <c r="L41" s="22">
        <v>0.01</v>
      </c>
      <c r="M41" s="22">
        <v>0</v>
      </c>
      <c r="N41" s="72">
        <v>0</v>
      </c>
      <c r="O41" s="22">
        <v>2.16</v>
      </c>
    </row>
    <row r="42" spans="1:15" x14ac:dyDescent="0.2">
      <c r="D42" s="71"/>
      <c r="E42" s="71"/>
    </row>
    <row r="43" spans="1:15" s="4" customFormat="1" ht="15" x14ac:dyDescent="0.25">
      <c r="A43" s="3" t="s">
        <v>54</v>
      </c>
      <c r="C43" s="5">
        <v>56.13000000000001</v>
      </c>
      <c r="D43" s="69">
        <v>39.270000000000003</v>
      </c>
      <c r="E43" s="69">
        <v>34.799999999999997</v>
      </c>
      <c r="F43" s="69">
        <v>44.239999999999995</v>
      </c>
      <c r="G43" s="69">
        <v>39.880000000000003</v>
      </c>
      <c r="H43" s="69">
        <v>45.509999999999991</v>
      </c>
      <c r="I43" s="69">
        <v>52.199999999999996</v>
      </c>
      <c r="J43" s="69">
        <v>33.489999999999995</v>
      </c>
      <c r="K43" s="69">
        <v>55.6</v>
      </c>
      <c r="L43" s="69">
        <v>52.35</v>
      </c>
      <c r="M43" s="69">
        <v>50.65</v>
      </c>
      <c r="N43" s="70">
        <v>33.409999999999997</v>
      </c>
      <c r="O43" s="69">
        <v>537.53000000000009</v>
      </c>
    </row>
    <row r="44" spans="1:15" x14ac:dyDescent="0.2">
      <c r="B44" s="2" t="s">
        <v>55</v>
      </c>
      <c r="C44" s="7">
        <v>12.84</v>
      </c>
      <c r="D44" s="71">
        <v>4.93</v>
      </c>
      <c r="E44" s="71">
        <v>2.85</v>
      </c>
      <c r="F44" s="22">
        <v>3.6</v>
      </c>
      <c r="G44" s="22">
        <v>5.6</v>
      </c>
      <c r="H44" s="22">
        <v>12.75</v>
      </c>
      <c r="I44" s="22">
        <v>3.07</v>
      </c>
      <c r="J44" s="22">
        <v>3.38</v>
      </c>
      <c r="K44" s="22">
        <v>7.39</v>
      </c>
      <c r="L44" s="22">
        <v>13.16</v>
      </c>
      <c r="M44" s="22">
        <v>3.47</v>
      </c>
      <c r="N44" s="72">
        <v>2.72</v>
      </c>
      <c r="O44" s="22">
        <v>75.760000000000005</v>
      </c>
    </row>
    <row r="45" spans="1:15" x14ac:dyDescent="0.2">
      <c r="B45" s="2" t="s">
        <v>56</v>
      </c>
      <c r="C45" s="7">
        <v>0</v>
      </c>
      <c r="D45" s="71">
        <v>0</v>
      </c>
      <c r="E45" s="71">
        <v>0.08</v>
      </c>
      <c r="F45" s="71">
        <v>2.48</v>
      </c>
      <c r="G45" s="71">
        <v>0.11</v>
      </c>
      <c r="H45" s="75">
        <v>0.01</v>
      </c>
      <c r="I45" s="71">
        <v>0</v>
      </c>
      <c r="J45" s="71">
        <v>0.02</v>
      </c>
      <c r="K45" s="22">
        <v>0.01</v>
      </c>
      <c r="L45" s="71">
        <v>0.51</v>
      </c>
      <c r="M45" s="75">
        <v>0</v>
      </c>
      <c r="N45" s="72">
        <v>0</v>
      </c>
      <c r="O45" s="22">
        <v>3.2199999999999998</v>
      </c>
    </row>
    <row r="46" spans="1:15" x14ac:dyDescent="0.2">
      <c r="B46" s="2" t="s">
        <v>57</v>
      </c>
      <c r="C46" s="7">
        <v>22.75</v>
      </c>
      <c r="D46" s="71">
        <v>18.190000000000001</v>
      </c>
      <c r="E46" s="71">
        <v>15.77</v>
      </c>
      <c r="F46" s="22">
        <v>25.5</v>
      </c>
      <c r="G46" s="22">
        <v>20.239999999999998</v>
      </c>
      <c r="H46" s="22">
        <v>17.54</v>
      </c>
      <c r="I46" s="22">
        <v>25.87</v>
      </c>
      <c r="J46" s="22">
        <v>15.19</v>
      </c>
      <c r="K46" s="22">
        <v>25.91</v>
      </c>
      <c r="L46" s="22">
        <v>18.86</v>
      </c>
      <c r="M46" s="22">
        <v>28.11</v>
      </c>
      <c r="N46" s="72">
        <v>18.059999999999999</v>
      </c>
      <c r="O46" s="22">
        <v>251.99</v>
      </c>
    </row>
    <row r="47" spans="1:15" x14ac:dyDescent="0.2">
      <c r="B47" s="2" t="s">
        <v>58</v>
      </c>
      <c r="C47" s="7">
        <v>10.97</v>
      </c>
      <c r="D47" s="71">
        <v>7.69</v>
      </c>
      <c r="E47" s="71">
        <v>6.95</v>
      </c>
      <c r="F47" s="22">
        <v>3.66</v>
      </c>
      <c r="G47" s="22">
        <v>3.46</v>
      </c>
      <c r="H47" s="22">
        <v>4.01</v>
      </c>
      <c r="I47" s="22">
        <v>13.88</v>
      </c>
      <c r="J47" s="22">
        <v>4.2300000000000004</v>
      </c>
      <c r="K47" s="22">
        <v>5.99</v>
      </c>
      <c r="L47" s="22">
        <v>4.42</v>
      </c>
      <c r="M47" s="22">
        <v>5.21</v>
      </c>
      <c r="N47" s="72">
        <v>4.6500000000000004</v>
      </c>
      <c r="O47" s="22">
        <v>75.11999999999999</v>
      </c>
    </row>
    <row r="48" spans="1:15" x14ac:dyDescent="0.2">
      <c r="B48" s="2" t="s">
        <v>59</v>
      </c>
      <c r="C48" s="7">
        <v>1.2</v>
      </c>
      <c r="D48" s="71">
        <v>1.68</v>
      </c>
      <c r="E48" s="71">
        <v>1.44</v>
      </c>
      <c r="F48" s="22">
        <v>2.33</v>
      </c>
      <c r="G48" s="22">
        <v>1.87</v>
      </c>
      <c r="H48" s="22">
        <v>1.78</v>
      </c>
      <c r="I48" s="22">
        <v>2.5</v>
      </c>
      <c r="J48" s="22">
        <v>1.96</v>
      </c>
      <c r="K48" s="22">
        <v>2.2599999999999998</v>
      </c>
      <c r="L48" s="22">
        <v>1.26</v>
      </c>
      <c r="M48" s="22">
        <v>2.58</v>
      </c>
      <c r="N48" s="72">
        <v>2.0499999999999998</v>
      </c>
      <c r="O48" s="22">
        <v>22.91</v>
      </c>
    </row>
    <row r="49" spans="1:15" x14ac:dyDescent="0.2">
      <c r="B49" s="2" t="s">
        <v>60</v>
      </c>
      <c r="C49" s="7">
        <v>0.03</v>
      </c>
      <c r="D49" s="71">
        <v>0</v>
      </c>
      <c r="E49" s="71">
        <v>0</v>
      </c>
      <c r="F49" s="22">
        <v>0.03</v>
      </c>
      <c r="G49" s="22">
        <v>0.09</v>
      </c>
      <c r="H49" s="22">
        <v>0.04</v>
      </c>
      <c r="I49" s="22">
        <v>0.12</v>
      </c>
      <c r="J49" s="22">
        <v>0.08</v>
      </c>
      <c r="K49" s="22">
        <v>0.08</v>
      </c>
      <c r="L49" s="22">
        <v>0.04</v>
      </c>
      <c r="M49" s="22">
        <v>0.02</v>
      </c>
      <c r="N49" s="72">
        <v>0.04</v>
      </c>
      <c r="O49" s="22">
        <v>0.57000000000000006</v>
      </c>
    </row>
    <row r="50" spans="1:15" x14ac:dyDescent="0.2">
      <c r="B50" s="2" t="s">
        <v>61</v>
      </c>
      <c r="C50" s="7">
        <v>0.17</v>
      </c>
      <c r="D50" s="71">
        <v>0.08</v>
      </c>
      <c r="E50" s="71">
        <v>0.28999999999999998</v>
      </c>
      <c r="F50" s="22">
        <v>0.42</v>
      </c>
      <c r="G50" s="22">
        <v>0.39</v>
      </c>
      <c r="H50" s="22">
        <v>0.08</v>
      </c>
      <c r="I50" s="22">
        <v>0.1</v>
      </c>
      <c r="J50" s="22">
        <v>0.01</v>
      </c>
      <c r="K50" s="22">
        <v>0.05</v>
      </c>
      <c r="L50" s="22">
        <v>0.05</v>
      </c>
      <c r="M50" s="22">
        <v>0.04</v>
      </c>
      <c r="N50" s="72">
        <v>0.06</v>
      </c>
      <c r="O50" s="22">
        <v>1.7400000000000004</v>
      </c>
    </row>
    <row r="51" spans="1:15" x14ac:dyDescent="0.2">
      <c r="B51" s="2" t="s">
        <v>62</v>
      </c>
      <c r="C51" s="7">
        <v>0</v>
      </c>
      <c r="D51" s="7">
        <v>0</v>
      </c>
      <c r="E51" s="80">
        <v>0</v>
      </c>
      <c r="F51" s="75">
        <v>0</v>
      </c>
      <c r="G51" s="75">
        <v>0</v>
      </c>
      <c r="H51" s="75">
        <v>0</v>
      </c>
      <c r="I51" s="22">
        <v>0</v>
      </c>
      <c r="J51" s="75">
        <v>0</v>
      </c>
      <c r="K51" s="22">
        <v>0</v>
      </c>
      <c r="L51" s="75">
        <v>0</v>
      </c>
      <c r="M51" s="75">
        <v>0</v>
      </c>
      <c r="N51" s="72">
        <v>0</v>
      </c>
      <c r="O51" s="22">
        <v>0</v>
      </c>
    </row>
    <row r="52" spans="1:15" x14ac:dyDescent="0.2">
      <c r="B52" s="2" t="s">
        <v>63</v>
      </c>
      <c r="C52" s="7">
        <v>0.11</v>
      </c>
      <c r="D52" s="71">
        <v>7.0000000000000007E-2</v>
      </c>
      <c r="E52" s="71">
        <v>0.09</v>
      </c>
      <c r="F52" s="22">
        <v>0.09</v>
      </c>
      <c r="G52" s="22">
        <v>0.05</v>
      </c>
      <c r="H52" s="22">
        <v>0.15</v>
      </c>
      <c r="I52" s="22">
        <v>0.09</v>
      </c>
      <c r="J52" s="22">
        <v>0.08</v>
      </c>
      <c r="K52" s="22">
        <v>0.2</v>
      </c>
      <c r="L52" s="22">
        <v>0.09</v>
      </c>
      <c r="M52" s="22">
        <v>0.4</v>
      </c>
      <c r="N52" s="72">
        <v>0.06</v>
      </c>
      <c r="O52" s="22">
        <v>1.48</v>
      </c>
    </row>
    <row r="53" spans="1:15" x14ac:dyDescent="0.2">
      <c r="B53" s="2" t="s">
        <v>64</v>
      </c>
      <c r="C53" s="7">
        <v>0.24</v>
      </c>
      <c r="D53" s="71">
        <v>0.17</v>
      </c>
      <c r="E53" s="71">
        <v>0.11</v>
      </c>
      <c r="F53" s="22">
        <v>0.1</v>
      </c>
      <c r="G53" s="22">
        <v>0.24</v>
      </c>
      <c r="H53" s="22">
        <v>0.22</v>
      </c>
      <c r="I53" s="22">
        <v>0.18</v>
      </c>
      <c r="J53" s="22">
        <v>0.08</v>
      </c>
      <c r="K53" s="22">
        <v>0.44</v>
      </c>
      <c r="L53" s="22">
        <v>0.15</v>
      </c>
      <c r="M53" s="22">
        <v>0.4</v>
      </c>
      <c r="N53" s="72">
        <v>0.14000000000000001</v>
      </c>
      <c r="O53" s="22">
        <v>2.4700000000000002</v>
      </c>
    </row>
    <row r="54" spans="1:15" s="20" customFormat="1" x14ac:dyDescent="0.2">
      <c r="B54" s="82" t="s">
        <v>65</v>
      </c>
      <c r="C54" s="83">
        <v>0</v>
      </c>
      <c r="D54" s="7">
        <v>0</v>
      </c>
      <c r="E54" s="84">
        <v>0</v>
      </c>
      <c r="F54" s="84">
        <v>0</v>
      </c>
      <c r="G54" s="75">
        <v>0</v>
      </c>
      <c r="H54" s="85">
        <v>0</v>
      </c>
      <c r="I54" s="22">
        <v>0</v>
      </c>
      <c r="J54" s="75">
        <v>0</v>
      </c>
      <c r="K54" s="22">
        <v>0</v>
      </c>
      <c r="L54" s="75">
        <v>0</v>
      </c>
      <c r="M54" s="75">
        <v>0</v>
      </c>
      <c r="N54" s="72">
        <v>0.01</v>
      </c>
      <c r="O54" s="22">
        <v>0.01</v>
      </c>
    </row>
    <row r="55" spans="1:15" x14ac:dyDescent="0.2">
      <c r="B55" s="2" t="s">
        <v>66</v>
      </c>
      <c r="C55" s="7">
        <v>0</v>
      </c>
      <c r="D55" s="71">
        <v>0.02</v>
      </c>
      <c r="E55" s="71">
        <v>0</v>
      </c>
      <c r="F55" s="75">
        <v>0.01</v>
      </c>
      <c r="G55" s="75">
        <v>0</v>
      </c>
      <c r="H55" s="75">
        <v>0</v>
      </c>
      <c r="I55" s="22">
        <v>0</v>
      </c>
      <c r="J55" s="22">
        <v>0.01</v>
      </c>
      <c r="K55" s="22">
        <v>0.03</v>
      </c>
      <c r="L55" s="75">
        <v>0</v>
      </c>
      <c r="M55" s="22">
        <v>0</v>
      </c>
      <c r="N55" s="72">
        <v>0</v>
      </c>
      <c r="O55" s="22">
        <v>7.0000000000000007E-2</v>
      </c>
    </row>
    <row r="56" spans="1:15" x14ac:dyDescent="0.2">
      <c r="B56" s="2" t="s">
        <v>67</v>
      </c>
      <c r="C56" s="7">
        <v>7.82</v>
      </c>
      <c r="D56" s="71">
        <v>6.44</v>
      </c>
      <c r="E56" s="71">
        <v>7.22</v>
      </c>
      <c r="F56" s="22">
        <v>6.02</v>
      </c>
      <c r="G56" s="22">
        <v>7.83</v>
      </c>
      <c r="H56" s="22">
        <v>8.93</v>
      </c>
      <c r="I56" s="22">
        <v>6.27</v>
      </c>
      <c r="J56" s="22">
        <v>8.4499999999999993</v>
      </c>
      <c r="K56" s="22">
        <v>13.24</v>
      </c>
      <c r="L56" s="22">
        <v>13.81</v>
      </c>
      <c r="M56" s="22">
        <v>10.42</v>
      </c>
      <c r="N56" s="72">
        <v>5.62</v>
      </c>
      <c r="O56" s="22">
        <v>102.07000000000001</v>
      </c>
    </row>
    <row r="57" spans="1:15" x14ac:dyDescent="0.2">
      <c r="B57" s="2" t="s">
        <v>68</v>
      </c>
      <c r="C57" s="7">
        <v>0</v>
      </c>
      <c r="D57" s="7">
        <v>0</v>
      </c>
      <c r="E57" s="71">
        <v>0</v>
      </c>
      <c r="F57" s="75">
        <v>0</v>
      </c>
      <c r="G57" s="75">
        <v>0</v>
      </c>
      <c r="H57" s="75">
        <v>0</v>
      </c>
      <c r="I57" s="22">
        <v>0.12</v>
      </c>
      <c r="J57" s="75">
        <v>0</v>
      </c>
      <c r="K57" s="22">
        <v>0</v>
      </c>
      <c r="L57" s="22">
        <v>0</v>
      </c>
      <c r="M57" s="22">
        <v>0</v>
      </c>
      <c r="N57" s="72">
        <v>0</v>
      </c>
      <c r="O57" s="22">
        <v>0.12</v>
      </c>
    </row>
    <row r="58" spans="1:15" x14ac:dyDescent="0.2">
      <c r="D58" s="71"/>
      <c r="E58" s="71"/>
    </row>
    <row r="59" spans="1:15" s="4" customFormat="1" ht="15" x14ac:dyDescent="0.25">
      <c r="A59" s="3" t="s">
        <v>69</v>
      </c>
      <c r="C59" s="5">
        <v>0.24</v>
      </c>
      <c r="D59" s="5">
        <v>0</v>
      </c>
      <c r="E59" s="5">
        <v>0.02</v>
      </c>
      <c r="F59" s="21">
        <v>0.17</v>
      </c>
      <c r="G59" s="21">
        <v>0.71</v>
      </c>
      <c r="H59" s="21">
        <v>0.15</v>
      </c>
      <c r="I59" s="21">
        <v>2.4900000000000002</v>
      </c>
      <c r="J59" s="21">
        <v>0.9</v>
      </c>
      <c r="K59" s="21">
        <v>7.0000000000000007E-2</v>
      </c>
      <c r="L59" s="21">
        <v>0.28000000000000003</v>
      </c>
      <c r="M59" s="21">
        <v>0.51</v>
      </c>
      <c r="N59" s="70">
        <v>0.08</v>
      </c>
      <c r="O59" s="21">
        <v>5.620000000000001</v>
      </c>
    </row>
    <row r="60" spans="1:15" x14ac:dyDescent="0.2">
      <c r="B60" s="2" t="s">
        <v>70</v>
      </c>
      <c r="C60" s="7">
        <v>0.24</v>
      </c>
      <c r="D60" s="71">
        <v>0</v>
      </c>
      <c r="E60" s="71">
        <v>0.02</v>
      </c>
      <c r="F60" s="22">
        <v>0.17</v>
      </c>
      <c r="G60" s="22">
        <v>0.71</v>
      </c>
      <c r="H60" s="22">
        <v>0.15</v>
      </c>
      <c r="I60" s="22">
        <v>2.4900000000000002</v>
      </c>
      <c r="J60" s="22">
        <v>0.9</v>
      </c>
      <c r="K60" s="22">
        <v>7.0000000000000007E-2</v>
      </c>
      <c r="L60" s="22">
        <v>0.28000000000000003</v>
      </c>
      <c r="M60" s="22">
        <v>0.51</v>
      </c>
      <c r="N60" s="72">
        <v>0.08</v>
      </c>
      <c r="O60" s="22">
        <v>5.620000000000001</v>
      </c>
    </row>
    <row r="61" spans="1:15" ht="12.75" customHeight="1" x14ac:dyDescent="0.2">
      <c r="C61" s="7"/>
      <c r="D61" s="71"/>
      <c r="E61" s="71"/>
    </row>
    <row r="62" spans="1:15" s="4" customFormat="1" ht="15" x14ac:dyDescent="0.25">
      <c r="A62" s="3" t="s">
        <v>71</v>
      </c>
      <c r="C62" s="5">
        <v>13.48</v>
      </c>
      <c r="D62" s="5">
        <v>14.22</v>
      </c>
      <c r="E62" s="5">
        <v>7.52</v>
      </c>
      <c r="F62" s="21">
        <v>58.36</v>
      </c>
      <c r="G62" s="21">
        <v>17.61</v>
      </c>
      <c r="H62" s="21">
        <v>12.98</v>
      </c>
      <c r="I62" s="21">
        <v>17.93</v>
      </c>
      <c r="J62" s="21">
        <v>12.41</v>
      </c>
      <c r="K62" s="21">
        <v>17.720000000000002</v>
      </c>
      <c r="L62" s="21">
        <v>15.149999999999999</v>
      </c>
      <c r="M62" s="21">
        <v>11.47</v>
      </c>
      <c r="N62" s="70">
        <v>8.3800000000000008</v>
      </c>
      <c r="O62" s="21">
        <v>207.23000000000002</v>
      </c>
    </row>
    <row r="63" spans="1:15" x14ac:dyDescent="0.2">
      <c r="B63" s="2" t="s">
        <v>72</v>
      </c>
      <c r="C63" s="7">
        <v>13.47</v>
      </c>
      <c r="D63" s="71">
        <v>14.21</v>
      </c>
      <c r="E63" s="71">
        <v>7.52</v>
      </c>
      <c r="F63" s="22">
        <v>58.33</v>
      </c>
      <c r="G63" s="22">
        <v>17.57</v>
      </c>
      <c r="H63" s="22">
        <v>12.98</v>
      </c>
      <c r="I63" s="22">
        <v>17.93</v>
      </c>
      <c r="J63" s="22">
        <v>12.41</v>
      </c>
      <c r="K63" s="22">
        <v>17.62</v>
      </c>
      <c r="L63" s="22">
        <v>15.03</v>
      </c>
      <c r="M63" s="22">
        <v>11.05</v>
      </c>
      <c r="N63" s="72">
        <v>8.3800000000000008</v>
      </c>
      <c r="O63" s="22">
        <v>206.5</v>
      </c>
    </row>
    <row r="64" spans="1:15" x14ac:dyDescent="0.2">
      <c r="B64" s="2" t="s">
        <v>73</v>
      </c>
      <c r="C64" s="7">
        <v>0</v>
      </c>
      <c r="D64" s="7">
        <v>0</v>
      </c>
      <c r="E64" s="7">
        <v>0</v>
      </c>
      <c r="F64" s="75">
        <v>0.03</v>
      </c>
      <c r="G64" s="22">
        <v>0.04</v>
      </c>
      <c r="H64" s="22">
        <v>0</v>
      </c>
      <c r="I64" s="22">
        <v>0</v>
      </c>
      <c r="J64" s="22">
        <v>0</v>
      </c>
      <c r="K64" s="22">
        <v>0.1</v>
      </c>
      <c r="L64" s="75">
        <v>0.12</v>
      </c>
      <c r="M64" s="22">
        <v>0.42</v>
      </c>
      <c r="N64" s="72">
        <v>0</v>
      </c>
      <c r="O64" s="22">
        <v>0.71</v>
      </c>
    </row>
    <row r="65" spans="1:15" x14ac:dyDescent="0.2">
      <c r="B65" s="2" t="s">
        <v>74</v>
      </c>
      <c r="C65" s="7">
        <v>0.01</v>
      </c>
      <c r="D65" s="71">
        <v>0.01</v>
      </c>
      <c r="E65" s="71">
        <v>0</v>
      </c>
      <c r="F65" s="22">
        <v>0</v>
      </c>
      <c r="G65" s="22">
        <v>0</v>
      </c>
      <c r="H65" s="22">
        <v>0</v>
      </c>
      <c r="I65" s="22">
        <v>0</v>
      </c>
      <c r="J65" s="22">
        <v>0</v>
      </c>
      <c r="K65" s="22">
        <v>0</v>
      </c>
      <c r="L65" s="22">
        <v>0</v>
      </c>
      <c r="M65" s="22">
        <v>0</v>
      </c>
      <c r="N65" s="72">
        <v>0</v>
      </c>
      <c r="O65" s="22">
        <v>0.02</v>
      </c>
    </row>
    <row r="66" spans="1:15" ht="12.75" customHeight="1" x14ac:dyDescent="0.2">
      <c r="C66" s="7"/>
      <c r="D66" s="71"/>
      <c r="E66" s="71"/>
    </row>
    <row r="67" spans="1:15" s="4" customFormat="1" ht="15" x14ac:dyDescent="0.25">
      <c r="A67" s="3" t="s">
        <v>75</v>
      </c>
      <c r="C67" s="5">
        <v>0</v>
      </c>
      <c r="D67" s="5">
        <v>0</v>
      </c>
      <c r="E67" s="5">
        <v>0</v>
      </c>
      <c r="F67" s="5">
        <v>0</v>
      </c>
      <c r="G67" s="5">
        <v>0</v>
      </c>
      <c r="H67" s="5">
        <v>0.01</v>
      </c>
      <c r="I67" s="5">
        <v>0</v>
      </c>
      <c r="J67" s="5">
        <v>0.01</v>
      </c>
      <c r="K67" s="5">
        <v>0.15</v>
      </c>
      <c r="L67" s="5">
        <v>0.05</v>
      </c>
      <c r="M67" s="5">
        <v>0</v>
      </c>
      <c r="N67" s="5">
        <v>0</v>
      </c>
      <c r="O67" s="21">
        <v>0.21999999999999997</v>
      </c>
    </row>
    <row r="68" spans="1:15" x14ac:dyDescent="0.2">
      <c r="B68" s="2" t="s">
        <v>76</v>
      </c>
      <c r="C68" s="7">
        <v>0</v>
      </c>
      <c r="D68" s="7">
        <v>0</v>
      </c>
      <c r="E68" s="71">
        <v>0</v>
      </c>
      <c r="F68" s="75">
        <v>0</v>
      </c>
      <c r="G68" s="75">
        <v>0</v>
      </c>
      <c r="H68" s="75">
        <v>0</v>
      </c>
      <c r="I68" s="22">
        <v>0</v>
      </c>
      <c r="J68" s="75">
        <v>0</v>
      </c>
      <c r="K68" s="22">
        <v>0</v>
      </c>
      <c r="L68" s="75">
        <v>0</v>
      </c>
      <c r="M68" s="75">
        <v>0</v>
      </c>
      <c r="N68" s="72">
        <v>0</v>
      </c>
      <c r="O68" s="22">
        <v>0</v>
      </c>
    </row>
    <row r="69" spans="1:15" x14ac:dyDescent="0.2">
      <c r="B69" s="2" t="s">
        <v>77</v>
      </c>
      <c r="C69" s="7">
        <v>0</v>
      </c>
      <c r="D69" s="71">
        <v>0</v>
      </c>
      <c r="E69" s="71">
        <v>0</v>
      </c>
      <c r="F69" s="71">
        <v>0</v>
      </c>
      <c r="G69" s="75">
        <v>0</v>
      </c>
      <c r="H69" s="71">
        <v>0.01</v>
      </c>
      <c r="I69" s="71">
        <v>0</v>
      </c>
      <c r="J69" s="71">
        <v>0.01</v>
      </c>
      <c r="K69" s="22">
        <v>0.15</v>
      </c>
      <c r="L69" s="22">
        <v>0.05</v>
      </c>
      <c r="M69" s="22">
        <v>0</v>
      </c>
      <c r="N69" s="72">
        <v>0</v>
      </c>
      <c r="O69" s="22">
        <v>0.21999999999999997</v>
      </c>
    </row>
    <row r="70" spans="1:15" x14ac:dyDescent="0.2">
      <c r="C70" s="7"/>
      <c r="D70" s="71"/>
      <c r="E70" s="71"/>
    </row>
    <row r="71" spans="1:15" s="4" customFormat="1" ht="15" x14ac:dyDescent="0.25">
      <c r="A71" s="3" t="s">
        <v>78</v>
      </c>
      <c r="C71" s="5">
        <v>59.28</v>
      </c>
      <c r="D71" s="5">
        <v>48.36</v>
      </c>
      <c r="E71" s="5">
        <v>56.71</v>
      </c>
      <c r="F71" s="21">
        <v>63.1</v>
      </c>
      <c r="G71" s="21">
        <v>124.08</v>
      </c>
      <c r="H71" s="21">
        <v>40.89</v>
      </c>
      <c r="I71" s="21">
        <v>56.899999999999991</v>
      </c>
      <c r="J71" s="21">
        <v>62.480000000000011</v>
      </c>
      <c r="K71" s="21">
        <v>46.11</v>
      </c>
      <c r="L71" s="21">
        <v>29.990000000000006</v>
      </c>
      <c r="M71" s="21">
        <v>37.76</v>
      </c>
      <c r="N71" s="21">
        <v>22.850000000000005</v>
      </c>
      <c r="O71" s="21">
        <v>648.50999999999988</v>
      </c>
    </row>
    <row r="72" spans="1:15" x14ac:dyDescent="0.2">
      <c r="B72" s="2" t="s">
        <v>79</v>
      </c>
      <c r="C72" s="7">
        <v>27.33</v>
      </c>
      <c r="D72" s="71">
        <v>29</v>
      </c>
      <c r="E72" s="71">
        <v>29.18</v>
      </c>
      <c r="F72" s="71">
        <v>21.53</v>
      </c>
      <c r="G72" s="71">
        <v>31.69</v>
      </c>
      <c r="H72" s="71">
        <v>21.2</v>
      </c>
      <c r="I72" s="71">
        <v>30.78</v>
      </c>
      <c r="J72" s="71">
        <v>29.15</v>
      </c>
      <c r="K72" s="71">
        <v>22.07</v>
      </c>
      <c r="L72" s="71">
        <v>21.1</v>
      </c>
      <c r="M72" s="71">
        <v>21.93</v>
      </c>
      <c r="N72" s="72">
        <v>14.63</v>
      </c>
      <c r="O72" s="22">
        <v>299.58999999999997</v>
      </c>
    </row>
    <row r="73" spans="1:15" x14ac:dyDescent="0.2">
      <c r="B73" s="2" t="s">
        <v>80</v>
      </c>
      <c r="C73" s="7">
        <v>0</v>
      </c>
      <c r="D73" s="80">
        <v>0</v>
      </c>
      <c r="E73" s="80">
        <v>0</v>
      </c>
      <c r="F73" s="71">
        <v>0</v>
      </c>
      <c r="G73" s="71">
        <v>0</v>
      </c>
      <c r="H73" s="75">
        <v>0</v>
      </c>
      <c r="I73" s="71">
        <v>0</v>
      </c>
      <c r="J73" s="75">
        <v>0</v>
      </c>
      <c r="K73" s="22">
        <v>0</v>
      </c>
      <c r="L73" s="75">
        <v>0</v>
      </c>
      <c r="M73" s="75">
        <v>0.01</v>
      </c>
      <c r="N73" s="72">
        <v>0</v>
      </c>
      <c r="O73" s="22">
        <v>0.01</v>
      </c>
    </row>
    <row r="74" spans="1:15" x14ac:dyDescent="0.2">
      <c r="B74" s="2" t="s">
        <v>81</v>
      </c>
      <c r="C74" s="7">
        <v>0.22</v>
      </c>
      <c r="D74" s="71">
        <v>0.27</v>
      </c>
      <c r="E74" s="71">
        <v>0.16</v>
      </c>
      <c r="F74" s="71">
        <v>1.02</v>
      </c>
      <c r="G74" s="71">
        <v>0.87</v>
      </c>
      <c r="H74" s="71">
        <v>0</v>
      </c>
      <c r="I74" s="71">
        <v>0.47</v>
      </c>
      <c r="J74" s="71">
        <v>0</v>
      </c>
      <c r="K74" s="71">
        <v>0</v>
      </c>
      <c r="L74" s="71">
        <v>0.02</v>
      </c>
      <c r="M74" s="71">
        <v>0.48</v>
      </c>
      <c r="N74" s="72">
        <v>0.13</v>
      </c>
      <c r="O74" s="22">
        <v>3.6399999999999997</v>
      </c>
    </row>
    <row r="75" spans="1:15" x14ac:dyDescent="0.2">
      <c r="B75" s="2" t="s">
        <v>82</v>
      </c>
      <c r="C75" s="7">
        <v>7.72</v>
      </c>
      <c r="D75" s="71">
        <v>4.13</v>
      </c>
      <c r="E75" s="71">
        <v>6.78</v>
      </c>
      <c r="F75" s="71">
        <v>6.78</v>
      </c>
      <c r="G75" s="71">
        <v>5.54</v>
      </c>
      <c r="H75" s="71">
        <v>3.48</v>
      </c>
      <c r="I75" s="71">
        <v>6.58</v>
      </c>
      <c r="J75" s="71">
        <v>4.5199999999999996</v>
      </c>
      <c r="K75" s="71">
        <v>7.62</v>
      </c>
      <c r="L75" s="71">
        <v>4.1900000000000004</v>
      </c>
      <c r="M75" s="71">
        <v>6.65</v>
      </c>
      <c r="N75" s="72">
        <v>5.03</v>
      </c>
      <c r="O75" s="22">
        <v>69.02</v>
      </c>
    </row>
    <row r="76" spans="1:15" x14ac:dyDescent="0.2">
      <c r="B76" s="2" t="s">
        <v>83</v>
      </c>
      <c r="C76" s="7">
        <v>1.17</v>
      </c>
      <c r="D76" s="71">
        <v>1.1299999999999999</v>
      </c>
      <c r="E76" s="71">
        <v>0.34</v>
      </c>
      <c r="F76" s="71">
        <v>0.13</v>
      </c>
      <c r="G76" s="71">
        <v>0.19</v>
      </c>
      <c r="H76" s="71">
        <v>0.15</v>
      </c>
      <c r="I76" s="71">
        <v>0.16</v>
      </c>
      <c r="J76" s="71">
        <v>0.09</v>
      </c>
      <c r="K76" s="71">
        <v>0.13</v>
      </c>
      <c r="L76" s="71">
        <v>0.53</v>
      </c>
      <c r="M76" s="71">
        <v>0.84</v>
      </c>
      <c r="N76" s="72">
        <v>0.1</v>
      </c>
      <c r="O76" s="22">
        <v>4.9599999999999991</v>
      </c>
    </row>
    <row r="77" spans="1:15" x14ac:dyDescent="0.2">
      <c r="B77" s="2" t="s">
        <v>84</v>
      </c>
      <c r="C77" s="7">
        <v>20.78</v>
      </c>
      <c r="D77" s="71">
        <v>12.61</v>
      </c>
      <c r="E77" s="71">
        <v>18.850000000000001</v>
      </c>
      <c r="F77" s="71">
        <v>32.07</v>
      </c>
      <c r="G77" s="71">
        <v>85.09</v>
      </c>
      <c r="H77" s="71">
        <v>15.5</v>
      </c>
      <c r="I77" s="71">
        <v>16.690000000000001</v>
      </c>
      <c r="J77" s="71">
        <v>27.67</v>
      </c>
      <c r="K77" s="71">
        <v>14.97</v>
      </c>
      <c r="L77" s="71">
        <v>3.42</v>
      </c>
      <c r="M77" s="71">
        <v>7.08</v>
      </c>
      <c r="N77" s="72">
        <v>2.09</v>
      </c>
      <c r="O77" s="22">
        <v>256.82</v>
      </c>
    </row>
    <row r="78" spans="1:15" x14ac:dyDescent="0.2">
      <c r="B78" s="2" t="s">
        <v>85</v>
      </c>
      <c r="C78" s="7">
        <v>1.95</v>
      </c>
      <c r="D78" s="71">
        <v>1.22</v>
      </c>
      <c r="E78" s="71">
        <v>0.96</v>
      </c>
      <c r="F78" s="71">
        <v>1.55</v>
      </c>
      <c r="G78" s="71">
        <v>0.65</v>
      </c>
      <c r="H78" s="71">
        <v>0.52</v>
      </c>
      <c r="I78" s="71">
        <v>2.19</v>
      </c>
      <c r="J78" s="71">
        <v>1.02</v>
      </c>
      <c r="K78" s="71">
        <v>1.23</v>
      </c>
      <c r="L78" s="71">
        <v>0.71</v>
      </c>
      <c r="M78" s="71">
        <v>0.73</v>
      </c>
      <c r="N78" s="72">
        <v>0.77</v>
      </c>
      <c r="O78" s="22">
        <v>13.5</v>
      </c>
    </row>
    <row r="79" spans="1:15" x14ac:dyDescent="0.2">
      <c r="B79" s="2" t="s">
        <v>86</v>
      </c>
      <c r="C79" s="7">
        <v>0.05</v>
      </c>
      <c r="D79" s="80">
        <v>0</v>
      </c>
      <c r="E79" s="71">
        <v>0</v>
      </c>
      <c r="F79" s="75">
        <v>0</v>
      </c>
      <c r="G79" s="75">
        <v>0</v>
      </c>
      <c r="H79" s="75">
        <v>0</v>
      </c>
      <c r="I79" s="71">
        <v>0</v>
      </c>
      <c r="J79" s="75">
        <v>0</v>
      </c>
      <c r="K79" s="22">
        <v>0</v>
      </c>
      <c r="L79" s="22">
        <v>0</v>
      </c>
      <c r="M79" s="22">
        <v>0</v>
      </c>
      <c r="N79" s="72">
        <v>0</v>
      </c>
      <c r="O79" s="22">
        <v>0.05</v>
      </c>
    </row>
    <row r="80" spans="1:15" x14ac:dyDescent="0.2">
      <c r="B80" s="2" t="s">
        <v>87</v>
      </c>
      <c r="C80" s="7">
        <v>0.06</v>
      </c>
      <c r="D80" s="71">
        <v>0</v>
      </c>
      <c r="E80" s="71">
        <v>0.44</v>
      </c>
      <c r="F80" s="71">
        <v>0.02</v>
      </c>
      <c r="G80" s="71">
        <v>0.05</v>
      </c>
      <c r="H80" s="71">
        <v>0.04</v>
      </c>
      <c r="I80" s="71">
        <v>0.03</v>
      </c>
      <c r="J80" s="71">
        <v>0.03</v>
      </c>
      <c r="K80" s="71">
        <v>0.09</v>
      </c>
      <c r="L80" s="71">
        <v>0.02</v>
      </c>
      <c r="M80" s="71">
        <v>0.04</v>
      </c>
      <c r="N80" s="72">
        <v>0.1</v>
      </c>
      <c r="O80" s="22">
        <v>0.92000000000000015</v>
      </c>
    </row>
    <row r="81" spans="1:15" ht="12.75" customHeight="1" x14ac:dyDescent="0.2">
      <c r="C81" s="7"/>
      <c r="D81" s="71"/>
      <c r="E81" s="71"/>
    </row>
    <row r="82" spans="1:15" s="4" customFormat="1" ht="15" x14ac:dyDescent="0.25">
      <c r="A82" s="3" t="s">
        <v>88</v>
      </c>
      <c r="C82" s="5">
        <v>509.53</v>
      </c>
      <c r="D82" s="5">
        <v>226.19</v>
      </c>
      <c r="E82" s="5">
        <v>201.79000000000002</v>
      </c>
      <c r="F82" s="21">
        <v>259.72999999999996</v>
      </c>
      <c r="G82" s="21">
        <v>157.63</v>
      </c>
      <c r="H82" s="21">
        <v>113.22000000000001</v>
      </c>
      <c r="I82" s="21">
        <v>201.38</v>
      </c>
      <c r="J82" s="21">
        <v>286.89</v>
      </c>
      <c r="K82" s="21">
        <v>337.77</v>
      </c>
      <c r="L82" s="21">
        <v>179.98</v>
      </c>
      <c r="M82" s="21">
        <v>223.38</v>
      </c>
      <c r="N82" s="70">
        <v>217.16</v>
      </c>
      <c r="O82" s="21">
        <v>2914.65</v>
      </c>
    </row>
    <row r="83" spans="1:15" x14ac:dyDescent="0.2">
      <c r="B83" s="82" t="s">
        <v>89</v>
      </c>
      <c r="C83" s="7">
        <v>0.26</v>
      </c>
      <c r="D83" s="71">
        <v>0.25</v>
      </c>
      <c r="E83" s="71">
        <v>0.08</v>
      </c>
      <c r="F83" s="22">
        <v>0.21</v>
      </c>
      <c r="G83" s="22">
        <v>0.13</v>
      </c>
      <c r="H83" s="22">
        <v>0.04</v>
      </c>
      <c r="I83" s="22">
        <v>0.12</v>
      </c>
      <c r="J83" s="22">
        <v>0.01</v>
      </c>
      <c r="K83" s="22">
        <v>1</v>
      </c>
      <c r="L83" s="22">
        <v>0.03</v>
      </c>
      <c r="M83" s="22">
        <v>0.19</v>
      </c>
      <c r="N83" s="72">
        <v>0.09</v>
      </c>
      <c r="O83" s="22">
        <v>2.4099999999999993</v>
      </c>
    </row>
    <row r="84" spans="1:15" x14ac:dyDescent="0.2">
      <c r="B84" s="82" t="s">
        <v>90</v>
      </c>
      <c r="C84" s="7">
        <v>0</v>
      </c>
      <c r="D84" s="71">
        <v>0</v>
      </c>
      <c r="E84" s="71">
        <v>0</v>
      </c>
      <c r="F84" s="71">
        <v>0</v>
      </c>
      <c r="G84" s="22">
        <v>0</v>
      </c>
      <c r="H84" s="75">
        <v>0</v>
      </c>
      <c r="I84" s="22">
        <v>0</v>
      </c>
      <c r="J84" s="22">
        <v>0</v>
      </c>
      <c r="K84" s="22">
        <v>0</v>
      </c>
      <c r="L84" s="22">
        <v>0</v>
      </c>
      <c r="M84" s="75">
        <v>0.02</v>
      </c>
      <c r="N84" s="72">
        <v>0.01</v>
      </c>
      <c r="O84" s="22">
        <v>0.03</v>
      </c>
    </row>
    <row r="85" spans="1:15" x14ac:dyDescent="0.2">
      <c r="B85" s="82" t="s">
        <v>91</v>
      </c>
      <c r="C85" s="7">
        <v>509.27</v>
      </c>
      <c r="D85" s="71">
        <v>225.94</v>
      </c>
      <c r="E85" s="71">
        <v>201.71</v>
      </c>
      <c r="F85" s="22">
        <v>259.52</v>
      </c>
      <c r="G85" s="22">
        <v>157.5</v>
      </c>
      <c r="H85" s="22">
        <v>113.18</v>
      </c>
      <c r="I85" s="22">
        <v>201.26</v>
      </c>
      <c r="J85" s="22">
        <v>286.88</v>
      </c>
      <c r="K85" s="22">
        <v>336.77</v>
      </c>
      <c r="L85" s="22">
        <v>179.95</v>
      </c>
      <c r="M85" s="22">
        <v>223.17</v>
      </c>
      <c r="N85" s="72">
        <v>217.06</v>
      </c>
      <c r="O85" s="22">
        <v>2912.21</v>
      </c>
    </row>
    <row r="86" spans="1:15" ht="12.75" customHeight="1" x14ac:dyDescent="0.2">
      <c r="C86" s="7"/>
      <c r="D86" s="71"/>
      <c r="E86" s="71"/>
    </row>
    <row r="87" spans="1:15" s="4" customFormat="1" ht="15" x14ac:dyDescent="0.25">
      <c r="A87" s="3" t="s">
        <v>92</v>
      </c>
      <c r="C87" s="5">
        <v>193.87</v>
      </c>
      <c r="D87" s="5">
        <v>166.06</v>
      </c>
      <c r="E87" s="5">
        <v>183.65</v>
      </c>
      <c r="F87" s="21">
        <v>200.99</v>
      </c>
      <c r="G87" s="21">
        <v>215.5</v>
      </c>
      <c r="H87" s="21">
        <v>151.46</v>
      </c>
      <c r="I87" s="21">
        <v>205.24</v>
      </c>
      <c r="J87" s="21">
        <v>145.35999999999999</v>
      </c>
      <c r="K87" s="21">
        <v>238.35</v>
      </c>
      <c r="L87" s="21">
        <v>193.75</v>
      </c>
      <c r="M87" s="21">
        <v>345.11</v>
      </c>
      <c r="N87" s="70">
        <v>179.47</v>
      </c>
      <c r="O87" s="21">
        <v>2418.81</v>
      </c>
    </row>
    <row r="88" spans="1:15" x14ac:dyDescent="0.2">
      <c r="B88" s="2" t="s">
        <v>93</v>
      </c>
      <c r="C88" s="7">
        <v>189.74</v>
      </c>
      <c r="D88" s="71">
        <v>163.26</v>
      </c>
      <c r="E88" s="71">
        <v>180.41</v>
      </c>
      <c r="F88" s="22">
        <v>194.8</v>
      </c>
      <c r="G88" s="22">
        <v>211.42</v>
      </c>
      <c r="H88" s="22">
        <v>148.88</v>
      </c>
      <c r="I88" s="22">
        <v>200.65</v>
      </c>
      <c r="J88" s="22">
        <v>143.12</v>
      </c>
      <c r="K88" s="22">
        <v>234.06</v>
      </c>
      <c r="L88" s="22">
        <v>191.47</v>
      </c>
      <c r="M88" s="22">
        <v>341.49</v>
      </c>
      <c r="N88" s="72">
        <v>177.12</v>
      </c>
      <c r="O88" s="22">
        <v>2376.42</v>
      </c>
    </row>
    <row r="89" spans="1:15" x14ac:dyDescent="0.2">
      <c r="B89" s="2" t="s">
        <v>94</v>
      </c>
      <c r="C89" s="7">
        <v>4.09</v>
      </c>
      <c r="D89" s="71">
        <v>2.8</v>
      </c>
      <c r="E89" s="71">
        <v>3.24</v>
      </c>
      <c r="F89" s="22">
        <v>6.17</v>
      </c>
      <c r="G89" s="22">
        <v>4.08</v>
      </c>
      <c r="H89" s="22">
        <v>2.58</v>
      </c>
      <c r="I89" s="22">
        <v>4.51</v>
      </c>
      <c r="J89" s="22">
        <v>2.23</v>
      </c>
      <c r="K89" s="22">
        <v>4.28</v>
      </c>
      <c r="L89" s="22">
        <v>2.2799999999999998</v>
      </c>
      <c r="M89" s="22">
        <v>3.62</v>
      </c>
      <c r="N89" s="72">
        <v>2.35</v>
      </c>
      <c r="O89" s="22">
        <v>42.22999999999999</v>
      </c>
    </row>
    <row r="90" spans="1:15" x14ac:dyDescent="0.2">
      <c r="B90" s="2" t="s">
        <v>95</v>
      </c>
      <c r="C90" s="7">
        <v>0.04</v>
      </c>
      <c r="D90" s="71">
        <v>0</v>
      </c>
      <c r="E90" s="71">
        <v>0</v>
      </c>
      <c r="F90" s="22">
        <v>0.02</v>
      </c>
      <c r="G90" s="75">
        <v>0</v>
      </c>
      <c r="H90" s="75">
        <v>0</v>
      </c>
      <c r="I90" s="22">
        <v>0.08</v>
      </c>
      <c r="J90" s="75">
        <v>0.01</v>
      </c>
      <c r="K90" s="22">
        <v>0.01</v>
      </c>
      <c r="L90" s="75">
        <v>0</v>
      </c>
      <c r="M90" s="22">
        <v>0</v>
      </c>
      <c r="N90" s="72">
        <v>0</v>
      </c>
      <c r="O90" s="22">
        <v>0.16000000000000003</v>
      </c>
    </row>
    <row r="91" spans="1:15" ht="12.75" customHeight="1" x14ac:dyDescent="0.2">
      <c r="C91" s="7"/>
      <c r="D91" s="71"/>
      <c r="E91" s="71"/>
    </row>
    <row r="92" spans="1:15" s="4" customFormat="1" ht="15" x14ac:dyDescent="0.25">
      <c r="A92" s="3" t="s">
        <v>96</v>
      </c>
      <c r="C92" s="5">
        <v>31.009999999999998</v>
      </c>
      <c r="D92" s="5">
        <v>55.28</v>
      </c>
      <c r="E92" s="5">
        <v>16.84</v>
      </c>
      <c r="F92" s="5">
        <v>212.20999999999998</v>
      </c>
      <c r="G92" s="5">
        <v>44</v>
      </c>
      <c r="H92" s="5">
        <v>47.370000000000005</v>
      </c>
      <c r="I92" s="5">
        <v>79.44</v>
      </c>
      <c r="J92" s="5">
        <v>39.840000000000003</v>
      </c>
      <c r="K92" s="5">
        <v>34.050000000000004</v>
      </c>
      <c r="L92" s="5">
        <v>78.25</v>
      </c>
      <c r="M92" s="5">
        <v>19.229999999999997</v>
      </c>
      <c r="N92" s="5">
        <v>55.8</v>
      </c>
      <c r="O92" s="21">
        <v>713.31999999999994</v>
      </c>
    </row>
    <row r="93" spans="1:15" x14ac:dyDescent="0.2">
      <c r="B93" s="2" t="s">
        <v>97</v>
      </c>
      <c r="C93" s="7">
        <v>22.84</v>
      </c>
      <c r="D93" s="71">
        <v>48.39</v>
      </c>
      <c r="E93" s="71">
        <v>8.39</v>
      </c>
      <c r="F93" s="22">
        <v>20.72</v>
      </c>
      <c r="G93" s="22">
        <v>35.92</v>
      </c>
      <c r="H93" s="22">
        <v>41.63</v>
      </c>
      <c r="I93" s="22">
        <v>11.91</v>
      </c>
      <c r="J93" s="22">
        <v>34.74</v>
      </c>
      <c r="K93" s="22">
        <v>23.69</v>
      </c>
      <c r="L93" s="22">
        <v>27.07</v>
      </c>
      <c r="M93" s="22">
        <v>9.43</v>
      </c>
      <c r="N93" s="72">
        <v>14.77</v>
      </c>
      <c r="O93" s="22">
        <v>299.5</v>
      </c>
    </row>
    <row r="94" spans="1:15" x14ac:dyDescent="0.2">
      <c r="B94" s="2" t="s">
        <v>98</v>
      </c>
      <c r="C94" s="7">
        <v>0.5</v>
      </c>
      <c r="D94" s="71">
        <v>0.45</v>
      </c>
      <c r="E94" s="71">
        <v>0.65</v>
      </c>
      <c r="F94" s="22">
        <v>181.79</v>
      </c>
      <c r="G94" s="22">
        <v>0.6</v>
      </c>
      <c r="H94" s="22">
        <v>0.36</v>
      </c>
      <c r="I94" s="22">
        <v>57.67</v>
      </c>
      <c r="J94" s="22">
        <v>0.39</v>
      </c>
      <c r="K94" s="22">
        <v>0.76</v>
      </c>
      <c r="L94" s="22">
        <v>45.23</v>
      </c>
      <c r="M94" s="75">
        <v>0.7</v>
      </c>
      <c r="N94" s="72">
        <v>34.76</v>
      </c>
      <c r="O94" s="22">
        <v>323.85999999999996</v>
      </c>
    </row>
    <row r="95" spans="1:15" x14ac:dyDescent="0.2">
      <c r="B95" s="2" t="s">
        <v>99</v>
      </c>
      <c r="C95" s="7">
        <v>7.67</v>
      </c>
      <c r="D95" s="71">
        <v>6.44</v>
      </c>
      <c r="E95" s="71">
        <v>7.8</v>
      </c>
      <c r="F95" s="22">
        <v>9.6999999999999993</v>
      </c>
      <c r="G95" s="22">
        <v>7.48</v>
      </c>
      <c r="H95" s="22">
        <v>5.38</v>
      </c>
      <c r="I95" s="22">
        <v>9.7799999999999994</v>
      </c>
      <c r="J95" s="22">
        <v>4.71</v>
      </c>
      <c r="K95" s="22">
        <v>9.6</v>
      </c>
      <c r="L95" s="22">
        <v>5.95</v>
      </c>
      <c r="M95" s="22">
        <v>9.1</v>
      </c>
      <c r="N95" s="72">
        <v>6.27</v>
      </c>
      <c r="O95" s="22">
        <v>89.88</v>
      </c>
    </row>
    <row r="96" spans="1:15" x14ac:dyDescent="0.2">
      <c r="B96" s="2" t="s">
        <v>100</v>
      </c>
      <c r="C96" s="7">
        <v>0</v>
      </c>
      <c r="D96" s="7">
        <v>0</v>
      </c>
      <c r="E96" s="80">
        <v>0</v>
      </c>
      <c r="F96" s="80">
        <v>0</v>
      </c>
      <c r="G96" s="75">
        <v>0</v>
      </c>
      <c r="H96" s="75">
        <v>0</v>
      </c>
      <c r="I96" s="22">
        <v>0</v>
      </c>
      <c r="J96" s="75">
        <v>0</v>
      </c>
      <c r="K96" s="22">
        <v>0</v>
      </c>
      <c r="L96" s="22">
        <v>0</v>
      </c>
      <c r="M96" s="22">
        <v>0</v>
      </c>
      <c r="N96" s="72">
        <v>0</v>
      </c>
      <c r="O96" s="22">
        <v>0</v>
      </c>
    </row>
    <row r="97" spans="1:15" x14ac:dyDescent="0.2">
      <c r="B97" s="2" t="s">
        <v>101</v>
      </c>
      <c r="C97" s="7">
        <v>0</v>
      </c>
      <c r="D97" s="7">
        <v>0</v>
      </c>
      <c r="E97" s="80">
        <v>0</v>
      </c>
      <c r="F97" s="80">
        <v>0</v>
      </c>
      <c r="G97" s="75">
        <v>0</v>
      </c>
      <c r="H97" s="75">
        <v>0</v>
      </c>
      <c r="I97" s="22">
        <v>0.08</v>
      </c>
      <c r="J97" s="75">
        <v>0</v>
      </c>
      <c r="K97" s="22">
        <v>0</v>
      </c>
      <c r="L97" s="22">
        <v>0</v>
      </c>
      <c r="M97" s="22">
        <v>0</v>
      </c>
      <c r="N97" s="72">
        <v>0</v>
      </c>
      <c r="O97" s="22">
        <v>0.08</v>
      </c>
    </row>
    <row r="98" spans="1:15" ht="12.75" customHeight="1" x14ac:dyDescent="0.2">
      <c r="C98" s="7"/>
      <c r="D98" s="71"/>
      <c r="E98" s="71"/>
    </row>
    <row r="99" spans="1:15" s="4" customFormat="1" ht="15" x14ac:dyDescent="0.25">
      <c r="A99" s="3" t="s">
        <v>102</v>
      </c>
      <c r="C99" s="5">
        <v>2.12</v>
      </c>
      <c r="D99" s="5">
        <v>7.36</v>
      </c>
      <c r="E99" s="5">
        <v>6.75</v>
      </c>
      <c r="F99" s="21">
        <v>8.2800000000000011</v>
      </c>
      <c r="G99" s="21">
        <v>4.2299999999999995</v>
      </c>
      <c r="H99" s="21">
        <v>2.48</v>
      </c>
      <c r="I99" s="21">
        <v>3.79</v>
      </c>
      <c r="J99" s="21">
        <v>1.52</v>
      </c>
      <c r="K99" s="21">
        <v>13.82</v>
      </c>
      <c r="L99" s="21">
        <v>3.5</v>
      </c>
      <c r="M99" s="21">
        <v>8.02</v>
      </c>
      <c r="N99" s="70">
        <v>3.02</v>
      </c>
      <c r="O99" s="21">
        <v>64.890000000000015</v>
      </c>
    </row>
    <row r="100" spans="1:15" x14ac:dyDescent="0.2">
      <c r="B100" s="2" t="s">
        <v>103</v>
      </c>
      <c r="C100" s="7">
        <v>0.88</v>
      </c>
      <c r="D100" s="71">
        <v>5</v>
      </c>
      <c r="E100" s="71">
        <v>0.56999999999999995</v>
      </c>
      <c r="F100" s="71">
        <v>0.66</v>
      </c>
      <c r="G100" s="71">
        <v>0.52</v>
      </c>
      <c r="H100" s="71">
        <v>0.34</v>
      </c>
      <c r="I100" s="71">
        <v>0.56000000000000005</v>
      </c>
      <c r="J100" s="71">
        <v>0.34</v>
      </c>
      <c r="K100" s="71">
        <v>0.18</v>
      </c>
      <c r="L100" s="71">
        <v>0.14000000000000001</v>
      </c>
      <c r="M100" s="71">
        <v>5.37</v>
      </c>
      <c r="N100" s="72">
        <v>0.7</v>
      </c>
      <c r="O100" s="22">
        <v>15.260000000000002</v>
      </c>
    </row>
    <row r="101" spans="1:15" x14ac:dyDescent="0.2">
      <c r="B101" s="2" t="s">
        <v>104</v>
      </c>
      <c r="C101" s="7">
        <v>7.0000000000000007E-2</v>
      </c>
      <c r="D101" s="71">
        <v>1.31</v>
      </c>
      <c r="E101" s="71">
        <v>0.02</v>
      </c>
      <c r="F101" s="71">
        <v>0.01</v>
      </c>
      <c r="G101" s="71">
        <v>0.01</v>
      </c>
      <c r="H101" s="71">
        <v>0.03</v>
      </c>
      <c r="I101" s="71">
        <v>0.1</v>
      </c>
      <c r="J101" s="71">
        <v>0.01</v>
      </c>
      <c r="K101" s="71">
        <v>0.02</v>
      </c>
      <c r="L101" s="71">
        <v>0.28000000000000003</v>
      </c>
      <c r="M101" s="71">
        <v>0.13</v>
      </c>
      <c r="N101" s="72">
        <v>0.09</v>
      </c>
      <c r="O101" s="22">
        <v>2.08</v>
      </c>
    </row>
    <row r="102" spans="1:15" x14ac:dyDescent="0.2">
      <c r="B102" s="2" t="s">
        <v>105</v>
      </c>
      <c r="C102" s="7">
        <v>0.47</v>
      </c>
      <c r="D102" s="71">
        <v>0.69</v>
      </c>
      <c r="E102" s="71">
        <v>5.79</v>
      </c>
      <c r="F102" s="71">
        <v>6.98</v>
      </c>
      <c r="G102" s="71">
        <v>2.11</v>
      </c>
      <c r="H102" s="71">
        <v>1.0900000000000001</v>
      </c>
      <c r="I102" s="71">
        <v>1.29</v>
      </c>
      <c r="J102" s="71">
        <v>0.92</v>
      </c>
      <c r="K102" s="71">
        <v>12.89</v>
      </c>
      <c r="L102" s="71">
        <v>2.42</v>
      </c>
      <c r="M102" s="71">
        <v>2</v>
      </c>
      <c r="N102" s="72">
        <v>0.43</v>
      </c>
      <c r="O102" s="22">
        <v>37.080000000000005</v>
      </c>
    </row>
    <row r="103" spans="1:15" x14ac:dyDescent="0.2">
      <c r="B103" s="2" t="s">
        <v>106</v>
      </c>
      <c r="C103" s="7">
        <v>0.7</v>
      </c>
      <c r="D103" s="71">
        <v>0.36</v>
      </c>
      <c r="E103" s="71">
        <v>0.37</v>
      </c>
      <c r="F103" s="71">
        <v>0.63</v>
      </c>
      <c r="G103" s="71">
        <v>1.59</v>
      </c>
      <c r="H103" s="71">
        <v>1.02</v>
      </c>
      <c r="I103" s="71">
        <v>1.84</v>
      </c>
      <c r="J103" s="71">
        <v>0.25</v>
      </c>
      <c r="K103" s="71">
        <v>0.73</v>
      </c>
      <c r="L103" s="71">
        <v>0.66</v>
      </c>
      <c r="M103" s="71">
        <v>0.52</v>
      </c>
      <c r="N103" s="72">
        <v>1.8</v>
      </c>
      <c r="O103" s="22">
        <v>10.47</v>
      </c>
    </row>
    <row r="104" spans="1:15" ht="12.75" customHeight="1" x14ac:dyDescent="0.2">
      <c r="C104" s="7"/>
      <c r="D104" s="71"/>
      <c r="E104" s="71"/>
    </row>
    <row r="105" spans="1:15" s="4" customFormat="1" ht="15" x14ac:dyDescent="0.25">
      <c r="A105" s="3" t="s">
        <v>107</v>
      </c>
      <c r="C105" s="5">
        <v>899.2700000000001</v>
      </c>
      <c r="D105" s="5">
        <v>659.23</v>
      </c>
      <c r="E105" s="5">
        <v>850.46</v>
      </c>
      <c r="F105" s="21">
        <v>1017.3399999999999</v>
      </c>
      <c r="G105" s="21">
        <v>940.61000000000013</v>
      </c>
      <c r="H105" s="21">
        <v>908.29</v>
      </c>
      <c r="I105" s="21">
        <v>1194.4199999999998</v>
      </c>
      <c r="J105" s="21">
        <v>686.37</v>
      </c>
      <c r="K105" s="21">
        <v>1136.6500000000001</v>
      </c>
      <c r="L105" s="21">
        <v>988.5</v>
      </c>
      <c r="M105" s="21">
        <v>1048.8399999999999</v>
      </c>
      <c r="N105" s="70">
        <v>722.16</v>
      </c>
      <c r="O105" s="21">
        <v>11052.14</v>
      </c>
    </row>
    <row r="106" spans="1:15" x14ac:dyDescent="0.2">
      <c r="B106" s="2" t="s">
        <v>108</v>
      </c>
      <c r="C106" s="7">
        <v>5.09</v>
      </c>
      <c r="D106" s="71">
        <v>4.0999999999999996</v>
      </c>
      <c r="E106" s="71">
        <v>4.16</v>
      </c>
      <c r="F106" s="22">
        <v>6.13</v>
      </c>
      <c r="G106" s="22">
        <v>7.94</v>
      </c>
      <c r="H106" s="22">
        <v>3.72</v>
      </c>
      <c r="I106" s="22">
        <v>7.24</v>
      </c>
      <c r="J106" s="22">
        <v>4.45</v>
      </c>
      <c r="K106" s="22">
        <v>6.97</v>
      </c>
      <c r="L106" s="22">
        <v>4.24</v>
      </c>
      <c r="M106" s="22">
        <v>6.45</v>
      </c>
      <c r="N106" s="72">
        <v>4.6500000000000004</v>
      </c>
      <c r="O106" s="22">
        <v>65.140000000000015</v>
      </c>
    </row>
    <row r="107" spans="1:15" x14ac:dyDescent="0.2">
      <c r="B107" s="2" t="s">
        <v>109</v>
      </c>
      <c r="C107" s="7">
        <v>0.03</v>
      </c>
      <c r="D107" s="71">
        <v>7.0000000000000007E-2</v>
      </c>
      <c r="E107" s="71">
        <v>0.04</v>
      </c>
      <c r="F107" s="22">
        <v>0.05</v>
      </c>
      <c r="G107" s="22">
        <v>0.3</v>
      </c>
      <c r="H107" s="22">
        <v>0.02</v>
      </c>
      <c r="I107" s="22">
        <v>0.05</v>
      </c>
      <c r="J107" s="22">
        <v>0.01</v>
      </c>
      <c r="K107" s="22">
        <v>0.03</v>
      </c>
      <c r="L107" s="22">
        <v>0.05</v>
      </c>
      <c r="M107" s="22">
        <v>0.04</v>
      </c>
      <c r="N107" s="72">
        <v>0.13</v>
      </c>
      <c r="O107" s="22">
        <v>0.82000000000000017</v>
      </c>
    </row>
    <row r="108" spans="1:15" x14ac:dyDescent="0.2">
      <c r="B108" s="2" t="s">
        <v>110</v>
      </c>
      <c r="C108" s="7">
        <v>381.29</v>
      </c>
      <c r="D108" s="71">
        <v>248.12</v>
      </c>
      <c r="E108" s="71">
        <v>298.47000000000003</v>
      </c>
      <c r="F108" s="22">
        <v>396.34</v>
      </c>
      <c r="G108" s="22">
        <v>322.04000000000002</v>
      </c>
      <c r="H108" s="22">
        <v>245.85</v>
      </c>
      <c r="I108" s="22">
        <v>373.49</v>
      </c>
      <c r="J108" s="22">
        <v>222.18</v>
      </c>
      <c r="K108" s="22">
        <v>395.22</v>
      </c>
      <c r="L108" s="22">
        <v>240.23</v>
      </c>
      <c r="M108" s="22">
        <v>404.46</v>
      </c>
      <c r="N108" s="72">
        <v>277.85000000000002</v>
      </c>
      <c r="O108" s="22">
        <v>3805.54</v>
      </c>
    </row>
    <row r="109" spans="1:15" x14ac:dyDescent="0.2">
      <c r="B109" s="2" t="s">
        <v>111</v>
      </c>
      <c r="C109" s="7">
        <v>467.54</v>
      </c>
      <c r="D109" s="71">
        <v>351.48</v>
      </c>
      <c r="E109" s="71">
        <v>479</v>
      </c>
      <c r="F109" s="22">
        <v>543.29999999999995</v>
      </c>
      <c r="G109" s="22">
        <v>558.07000000000005</v>
      </c>
      <c r="H109" s="22">
        <v>604.53</v>
      </c>
      <c r="I109" s="22">
        <v>734.55</v>
      </c>
      <c r="J109" s="22">
        <v>413.48</v>
      </c>
      <c r="K109" s="22">
        <v>657.28</v>
      </c>
      <c r="L109" s="22">
        <v>685.61</v>
      </c>
      <c r="M109" s="22">
        <v>568.32000000000005</v>
      </c>
      <c r="N109" s="72">
        <v>399.9</v>
      </c>
      <c r="O109" s="22">
        <v>6463.0599999999995</v>
      </c>
    </row>
    <row r="110" spans="1:15" x14ac:dyDescent="0.2">
      <c r="B110" s="2" t="s">
        <v>112</v>
      </c>
      <c r="C110" s="7">
        <v>45.32</v>
      </c>
      <c r="D110" s="71">
        <v>55.46</v>
      </c>
      <c r="E110" s="71">
        <v>68.790000000000006</v>
      </c>
      <c r="F110" s="22">
        <v>71.52</v>
      </c>
      <c r="G110" s="22">
        <v>52.26</v>
      </c>
      <c r="H110" s="22">
        <v>54.17</v>
      </c>
      <c r="I110" s="22">
        <v>79.09</v>
      </c>
      <c r="J110" s="22">
        <v>46.25</v>
      </c>
      <c r="K110" s="22">
        <v>77.150000000000006</v>
      </c>
      <c r="L110" s="22">
        <v>58.37</v>
      </c>
      <c r="M110" s="22">
        <v>69.569999999999993</v>
      </c>
      <c r="N110" s="72">
        <v>39.630000000000003</v>
      </c>
      <c r="O110" s="22">
        <v>717.58</v>
      </c>
    </row>
    <row r="111" spans="1:15" x14ac:dyDescent="0.2">
      <c r="C111" s="7"/>
      <c r="D111" s="71"/>
      <c r="E111" s="71"/>
    </row>
    <row r="112" spans="1:15" s="4" customFormat="1" ht="15" x14ac:dyDescent="0.25">
      <c r="A112" s="3" t="s">
        <v>113</v>
      </c>
      <c r="C112" s="5">
        <v>82.86</v>
      </c>
      <c r="D112" s="5">
        <v>58.209999999999994</v>
      </c>
      <c r="E112" s="5">
        <v>62.83</v>
      </c>
      <c r="F112" s="21">
        <v>88.61999999999999</v>
      </c>
      <c r="G112" s="21">
        <v>108.27000000000001</v>
      </c>
      <c r="H112" s="21">
        <v>68.360000000000014</v>
      </c>
      <c r="I112" s="21">
        <v>101.52000000000001</v>
      </c>
      <c r="J112" s="21">
        <v>68.249999999999986</v>
      </c>
      <c r="K112" s="21">
        <v>133.78000000000003</v>
      </c>
      <c r="L112" s="21">
        <v>72.919999999999987</v>
      </c>
      <c r="M112" s="21">
        <v>91.609999999999985</v>
      </c>
      <c r="N112" s="70">
        <v>49.43</v>
      </c>
      <c r="O112" s="21">
        <v>986.66</v>
      </c>
    </row>
    <row r="113" spans="1:15" x14ac:dyDescent="0.2">
      <c r="B113" s="2" t="s">
        <v>108</v>
      </c>
      <c r="C113" s="7">
        <v>43.48</v>
      </c>
      <c r="D113" s="71">
        <v>29.08</v>
      </c>
      <c r="E113" s="71">
        <v>32.200000000000003</v>
      </c>
      <c r="F113" s="22">
        <v>50.98</v>
      </c>
      <c r="G113" s="22">
        <v>66.64</v>
      </c>
      <c r="H113" s="22">
        <v>38.49</v>
      </c>
      <c r="I113" s="22">
        <v>53.84</v>
      </c>
      <c r="J113" s="22">
        <v>43.19</v>
      </c>
      <c r="K113" s="22">
        <v>81.63</v>
      </c>
      <c r="L113" s="22">
        <v>45.96</v>
      </c>
      <c r="M113" s="22">
        <v>47.76</v>
      </c>
      <c r="N113" s="72">
        <v>28.28</v>
      </c>
      <c r="O113" s="22">
        <v>561.53</v>
      </c>
    </row>
    <row r="114" spans="1:15" x14ac:dyDescent="0.2">
      <c r="B114" s="2" t="s">
        <v>114</v>
      </c>
      <c r="C114" s="7">
        <v>0.01</v>
      </c>
      <c r="D114" s="71">
        <v>0.01</v>
      </c>
      <c r="E114" s="71">
        <v>0.01</v>
      </c>
      <c r="F114" s="75">
        <v>0</v>
      </c>
      <c r="G114" s="22">
        <v>0.01</v>
      </c>
      <c r="H114" s="22">
        <v>0.01</v>
      </c>
      <c r="I114" s="22">
        <v>0</v>
      </c>
      <c r="J114" s="22">
        <v>0.01</v>
      </c>
      <c r="K114" s="22">
        <v>0</v>
      </c>
      <c r="L114" s="22">
        <v>0.01</v>
      </c>
      <c r="M114" s="22">
        <v>0.03</v>
      </c>
      <c r="N114" s="72">
        <v>0.02</v>
      </c>
      <c r="O114" s="22">
        <v>0.12000000000000001</v>
      </c>
    </row>
    <row r="115" spans="1:15" x14ac:dyDescent="0.2">
      <c r="B115" s="2" t="s">
        <v>115</v>
      </c>
      <c r="C115" s="7">
        <v>0.13</v>
      </c>
      <c r="D115" s="71">
        <v>0.08</v>
      </c>
      <c r="E115" s="71">
        <v>2.8</v>
      </c>
      <c r="F115" s="22">
        <v>0.13</v>
      </c>
      <c r="G115" s="22">
        <v>0.18</v>
      </c>
      <c r="H115" s="22">
        <v>0.09</v>
      </c>
      <c r="I115" s="22">
        <v>0.73</v>
      </c>
      <c r="J115" s="22">
        <v>0.08</v>
      </c>
      <c r="K115" s="22">
        <v>0.09</v>
      </c>
      <c r="L115" s="22">
        <v>0.15</v>
      </c>
      <c r="M115" s="22">
        <v>0.11</v>
      </c>
      <c r="N115" s="72">
        <v>0.17</v>
      </c>
      <c r="O115" s="22">
        <v>4.74</v>
      </c>
    </row>
    <row r="116" spans="1:15" x14ac:dyDescent="0.2">
      <c r="B116" s="2" t="s">
        <v>116</v>
      </c>
      <c r="C116" s="7">
        <v>0</v>
      </c>
      <c r="D116" s="7">
        <v>0</v>
      </c>
      <c r="E116" s="71">
        <v>0</v>
      </c>
      <c r="F116" s="22">
        <v>0</v>
      </c>
      <c r="G116" s="75">
        <v>0</v>
      </c>
      <c r="H116" s="75">
        <v>0</v>
      </c>
      <c r="I116" s="22">
        <v>0.01</v>
      </c>
      <c r="J116" s="22">
        <v>0.01</v>
      </c>
      <c r="K116" s="22">
        <v>0.01</v>
      </c>
      <c r="L116" s="86">
        <v>0.01</v>
      </c>
      <c r="M116" s="75">
        <v>0.01</v>
      </c>
      <c r="N116" s="72">
        <v>0.04</v>
      </c>
      <c r="O116" s="22">
        <v>0.09</v>
      </c>
    </row>
    <row r="117" spans="1:15" ht="12.75" customHeight="1" x14ac:dyDescent="0.2">
      <c r="B117" s="2" t="s">
        <v>117</v>
      </c>
      <c r="C117" s="7">
        <v>0</v>
      </c>
      <c r="D117" s="7">
        <v>0</v>
      </c>
      <c r="E117" s="80">
        <v>0.04</v>
      </c>
      <c r="F117" s="75">
        <v>0.19</v>
      </c>
      <c r="G117" s="22">
        <v>0</v>
      </c>
      <c r="H117" s="75">
        <v>0</v>
      </c>
      <c r="I117" s="22">
        <v>0.04</v>
      </c>
      <c r="J117" s="22">
        <v>0</v>
      </c>
      <c r="K117" s="22">
        <v>0.12</v>
      </c>
      <c r="L117" s="86">
        <v>0.04</v>
      </c>
      <c r="M117" s="75">
        <v>0.1</v>
      </c>
      <c r="N117" s="72">
        <v>0</v>
      </c>
      <c r="O117" s="22">
        <v>0.53</v>
      </c>
    </row>
    <row r="118" spans="1:15" x14ac:dyDescent="0.2">
      <c r="B118" s="2" t="s">
        <v>118</v>
      </c>
      <c r="C118" s="7">
        <v>33.57</v>
      </c>
      <c r="D118" s="71">
        <v>25.2</v>
      </c>
      <c r="E118" s="71">
        <v>26.68</v>
      </c>
      <c r="F118" s="22">
        <v>31.72</v>
      </c>
      <c r="G118" s="22">
        <v>35.22</v>
      </c>
      <c r="H118" s="22">
        <v>19.28</v>
      </c>
      <c r="I118" s="22">
        <v>32.31</v>
      </c>
      <c r="J118" s="22">
        <v>19.96</v>
      </c>
      <c r="K118" s="22">
        <v>45.14</v>
      </c>
      <c r="L118" s="22">
        <v>26.09</v>
      </c>
      <c r="M118" s="22">
        <v>24.82</v>
      </c>
      <c r="N118" s="72">
        <v>20.04</v>
      </c>
      <c r="O118" s="22">
        <v>340.03</v>
      </c>
    </row>
    <row r="119" spans="1:15" ht="12.75" customHeight="1" x14ac:dyDescent="0.2">
      <c r="B119" s="2" t="s">
        <v>119</v>
      </c>
      <c r="C119" s="7">
        <v>4.8899999999999997</v>
      </c>
      <c r="D119" s="71">
        <v>3.69</v>
      </c>
      <c r="E119" s="71">
        <v>0.95</v>
      </c>
      <c r="F119" s="22">
        <v>3.46</v>
      </c>
      <c r="G119" s="22">
        <v>6.15</v>
      </c>
      <c r="H119" s="22">
        <v>10.37</v>
      </c>
      <c r="I119" s="22">
        <v>14.56</v>
      </c>
      <c r="J119" s="22">
        <v>4.76</v>
      </c>
      <c r="K119" s="22">
        <v>1.93</v>
      </c>
      <c r="L119" s="22">
        <v>0.59</v>
      </c>
      <c r="M119" s="22">
        <v>18.649999999999999</v>
      </c>
      <c r="N119" s="72">
        <v>0.75</v>
      </c>
      <c r="O119" s="22">
        <v>70.75</v>
      </c>
    </row>
    <row r="120" spans="1:15" ht="12.75" customHeight="1" x14ac:dyDescent="0.2">
      <c r="B120" s="2" t="s">
        <v>120</v>
      </c>
      <c r="C120" s="7">
        <v>0.78</v>
      </c>
      <c r="D120" s="71">
        <v>0.15</v>
      </c>
      <c r="E120" s="71">
        <v>0.15</v>
      </c>
      <c r="F120" s="22">
        <v>2.14</v>
      </c>
      <c r="G120" s="22">
        <v>7.0000000000000007E-2</v>
      </c>
      <c r="H120" s="22">
        <v>0.12</v>
      </c>
      <c r="I120" s="22">
        <v>0.03</v>
      </c>
      <c r="J120" s="22">
        <v>0.24</v>
      </c>
      <c r="K120" s="22">
        <v>4.8600000000000003</v>
      </c>
      <c r="L120" s="22">
        <v>7.0000000000000007E-2</v>
      </c>
      <c r="M120" s="22">
        <v>0.13</v>
      </c>
      <c r="N120" s="72">
        <v>0.13</v>
      </c>
      <c r="O120" s="22">
        <v>8.870000000000001</v>
      </c>
    </row>
    <row r="121" spans="1:15" ht="12.75" customHeight="1" x14ac:dyDescent="0.2">
      <c r="C121" s="7"/>
      <c r="D121" s="71"/>
      <c r="E121" s="71"/>
    </row>
    <row r="122" spans="1:15" s="4" customFormat="1" ht="12.75" customHeight="1" x14ac:dyDescent="0.25">
      <c r="A122" s="3" t="s">
        <v>121</v>
      </c>
      <c r="C122" s="5">
        <v>3.11</v>
      </c>
      <c r="D122" s="5">
        <v>2.21</v>
      </c>
      <c r="E122" s="5">
        <v>1.9</v>
      </c>
      <c r="F122" s="21">
        <v>1.95</v>
      </c>
      <c r="G122" s="21">
        <v>1.92</v>
      </c>
      <c r="H122" s="21">
        <v>2.2599999999999998</v>
      </c>
      <c r="I122" s="21">
        <v>5.4</v>
      </c>
      <c r="J122" s="21">
        <v>1.46</v>
      </c>
      <c r="K122" s="21">
        <v>8.4499999999999993</v>
      </c>
      <c r="L122" s="21">
        <v>2.89</v>
      </c>
      <c r="M122" s="21">
        <v>1.98</v>
      </c>
      <c r="N122" s="70">
        <v>4.47</v>
      </c>
      <c r="O122" s="21">
        <v>38</v>
      </c>
    </row>
    <row r="123" spans="1:15" ht="12.75" customHeight="1" x14ac:dyDescent="0.2">
      <c r="B123" s="2" t="s">
        <v>108</v>
      </c>
      <c r="C123" s="7">
        <v>3.11</v>
      </c>
      <c r="D123" s="71">
        <v>2.21</v>
      </c>
      <c r="E123" s="71">
        <v>1.9</v>
      </c>
      <c r="F123" s="22">
        <v>1.95</v>
      </c>
      <c r="G123" s="22">
        <v>1.92</v>
      </c>
      <c r="H123" s="22">
        <v>2.2599999999999998</v>
      </c>
      <c r="I123" s="22">
        <v>5.4</v>
      </c>
      <c r="J123" s="75">
        <v>1.46</v>
      </c>
      <c r="K123" s="22">
        <v>8.4499999999999993</v>
      </c>
      <c r="L123" s="22">
        <v>2.89</v>
      </c>
      <c r="M123" s="22">
        <v>1.98</v>
      </c>
      <c r="N123" s="72">
        <v>4.47</v>
      </c>
      <c r="O123" s="22">
        <v>38</v>
      </c>
    </row>
    <row r="124" spans="1:15" ht="12.75" customHeight="1" x14ac:dyDescent="0.2">
      <c r="C124" s="7"/>
      <c r="D124" s="71"/>
      <c r="E124" s="71"/>
    </row>
    <row r="125" spans="1:15" ht="12.75" customHeight="1" x14ac:dyDescent="0.2">
      <c r="C125" s="7"/>
      <c r="D125" s="71"/>
      <c r="E125" s="71"/>
    </row>
    <row r="126" spans="1:15" s="4" customFormat="1" ht="15" x14ac:dyDescent="0.25">
      <c r="A126" s="3" t="s">
        <v>122</v>
      </c>
      <c r="C126" s="5">
        <v>63.160000000000004</v>
      </c>
      <c r="D126" s="5">
        <v>49.51</v>
      </c>
      <c r="E126" s="5">
        <v>55.18</v>
      </c>
      <c r="F126" s="21">
        <v>138</v>
      </c>
      <c r="G126" s="21">
        <v>80.41</v>
      </c>
      <c r="H126" s="21">
        <v>36.769999999999996</v>
      </c>
      <c r="I126" s="21">
        <v>142.72</v>
      </c>
      <c r="J126" s="21">
        <v>77.39</v>
      </c>
      <c r="K126" s="21">
        <v>99.39</v>
      </c>
      <c r="L126" s="21">
        <v>63.93</v>
      </c>
      <c r="M126" s="21">
        <v>75.58</v>
      </c>
      <c r="N126" s="21">
        <v>64.48</v>
      </c>
      <c r="O126" s="21">
        <v>946.51999999999975</v>
      </c>
    </row>
    <row r="127" spans="1:15" x14ac:dyDescent="0.2">
      <c r="B127" s="2" t="s">
        <v>123</v>
      </c>
      <c r="C127" s="7">
        <v>0</v>
      </c>
      <c r="D127" s="71">
        <v>0</v>
      </c>
      <c r="E127" s="71">
        <v>0</v>
      </c>
      <c r="F127" s="75">
        <v>0</v>
      </c>
      <c r="G127" s="22">
        <v>0</v>
      </c>
      <c r="H127" s="22">
        <v>0</v>
      </c>
      <c r="I127" s="22">
        <v>0</v>
      </c>
      <c r="J127" s="75">
        <v>0</v>
      </c>
      <c r="K127" s="22">
        <v>0</v>
      </c>
      <c r="L127" s="22">
        <v>0</v>
      </c>
      <c r="M127" s="75">
        <v>0</v>
      </c>
      <c r="N127" s="72">
        <v>0</v>
      </c>
      <c r="O127" s="22">
        <v>0</v>
      </c>
    </row>
    <row r="128" spans="1:15" x14ac:dyDescent="0.2">
      <c r="B128" s="2" t="s">
        <v>124</v>
      </c>
      <c r="C128" s="7">
        <v>63.02</v>
      </c>
      <c r="D128" s="71">
        <v>48.02</v>
      </c>
      <c r="E128" s="71">
        <v>54.71</v>
      </c>
      <c r="F128" s="22">
        <v>137.94</v>
      </c>
      <c r="G128" s="22">
        <v>80.38</v>
      </c>
      <c r="H128" s="22">
        <v>36.76</v>
      </c>
      <c r="I128" s="22">
        <v>142.59</v>
      </c>
      <c r="J128" s="22">
        <v>77.37</v>
      </c>
      <c r="K128" s="22">
        <v>99.15</v>
      </c>
      <c r="L128" s="22">
        <v>63.87</v>
      </c>
      <c r="M128" s="22">
        <v>75.41</v>
      </c>
      <c r="N128" s="72">
        <v>64.400000000000006</v>
      </c>
      <c r="O128" s="22">
        <v>943.61999999999989</v>
      </c>
    </row>
    <row r="129" spans="1:15" x14ac:dyDescent="0.2">
      <c r="B129" s="82" t="s">
        <v>125</v>
      </c>
      <c r="C129" s="7">
        <v>0</v>
      </c>
      <c r="D129" s="71">
        <v>0</v>
      </c>
      <c r="E129" s="71">
        <v>0</v>
      </c>
      <c r="F129" s="88">
        <v>0.02</v>
      </c>
      <c r="G129" s="22">
        <v>0</v>
      </c>
      <c r="H129" s="22">
        <v>0</v>
      </c>
      <c r="I129" s="22">
        <v>0.01</v>
      </c>
      <c r="J129" s="22">
        <v>0</v>
      </c>
      <c r="K129" s="22">
        <v>0</v>
      </c>
      <c r="L129" s="22">
        <v>0.03</v>
      </c>
      <c r="M129" s="22">
        <v>0</v>
      </c>
      <c r="N129" s="87">
        <v>0</v>
      </c>
      <c r="O129" s="22">
        <v>0.06</v>
      </c>
    </row>
    <row r="130" spans="1:15" x14ac:dyDescent="0.2">
      <c r="B130" s="2" t="s">
        <v>126</v>
      </c>
      <c r="C130" s="7">
        <v>0.14000000000000001</v>
      </c>
      <c r="D130" s="71">
        <v>0.01</v>
      </c>
      <c r="E130" s="71">
        <v>0.47</v>
      </c>
      <c r="F130" s="22">
        <v>0.04</v>
      </c>
      <c r="G130" s="22">
        <v>0.03</v>
      </c>
      <c r="H130" s="22">
        <v>0.01</v>
      </c>
      <c r="I130" s="22">
        <v>0.12</v>
      </c>
      <c r="J130" s="22">
        <v>0.02</v>
      </c>
      <c r="K130" s="22">
        <v>0.24</v>
      </c>
      <c r="L130" s="22">
        <v>0.03</v>
      </c>
      <c r="M130" s="22">
        <v>0.11</v>
      </c>
      <c r="N130" s="72">
        <v>0.08</v>
      </c>
      <c r="O130" s="22">
        <v>1.3000000000000003</v>
      </c>
    </row>
    <row r="131" spans="1:15" x14ac:dyDescent="0.2">
      <c r="B131" s="2" t="s">
        <v>127</v>
      </c>
      <c r="C131" s="7">
        <v>0</v>
      </c>
      <c r="D131" s="71">
        <v>1.48</v>
      </c>
      <c r="E131" s="71">
        <v>0</v>
      </c>
      <c r="F131" s="75">
        <v>0</v>
      </c>
      <c r="G131" s="22">
        <v>0</v>
      </c>
      <c r="H131" s="75">
        <v>0</v>
      </c>
      <c r="I131" s="22">
        <v>0</v>
      </c>
      <c r="J131" s="75">
        <v>0</v>
      </c>
      <c r="K131" s="22">
        <v>0</v>
      </c>
      <c r="L131" s="22">
        <v>0</v>
      </c>
      <c r="M131" s="75">
        <v>0.06</v>
      </c>
      <c r="N131" s="72">
        <v>0</v>
      </c>
      <c r="O131" s="22">
        <v>1.54</v>
      </c>
    </row>
    <row r="132" spans="1:15" x14ac:dyDescent="0.2">
      <c r="C132" s="7"/>
      <c r="D132" s="71"/>
      <c r="E132" s="71"/>
    </row>
    <row r="133" spans="1:15" s="4" customFormat="1" ht="15" x14ac:dyDescent="0.25">
      <c r="A133" s="3" t="s">
        <v>128</v>
      </c>
      <c r="C133" s="5">
        <v>81.84</v>
      </c>
      <c r="D133" s="5">
        <v>111.95</v>
      </c>
      <c r="E133" s="5">
        <v>91.47999999999999</v>
      </c>
      <c r="F133" s="21">
        <v>128.11999999999998</v>
      </c>
      <c r="G133" s="21">
        <v>89.43</v>
      </c>
      <c r="H133" s="21">
        <v>59.53</v>
      </c>
      <c r="I133" s="21">
        <v>76.73</v>
      </c>
      <c r="J133" s="21">
        <v>48.3</v>
      </c>
      <c r="K133" s="21">
        <v>106.38</v>
      </c>
      <c r="L133" s="21">
        <v>76.25</v>
      </c>
      <c r="M133" s="21">
        <v>67.029999999999987</v>
      </c>
      <c r="N133" s="70">
        <v>112.25000000000001</v>
      </c>
      <c r="O133" s="21">
        <v>1049.2900000000002</v>
      </c>
    </row>
    <row r="134" spans="1:15" x14ac:dyDescent="0.2">
      <c r="B134" s="2" t="s">
        <v>129</v>
      </c>
      <c r="C134" s="7">
        <v>0</v>
      </c>
      <c r="D134" s="7">
        <v>0</v>
      </c>
      <c r="E134" s="7">
        <v>0</v>
      </c>
      <c r="F134" s="75">
        <v>0</v>
      </c>
      <c r="G134" s="75">
        <v>0</v>
      </c>
      <c r="H134" s="75">
        <v>0</v>
      </c>
      <c r="I134" s="22">
        <v>0</v>
      </c>
      <c r="J134" s="75">
        <v>0</v>
      </c>
      <c r="K134" s="22">
        <v>0</v>
      </c>
      <c r="L134" s="22">
        <v>0</v>
      </c>
      <c r="M134" s="22">
        <v>0</v>
      </c>
      <c r="N134" s="72">
        <v>0</v>
      </c>
      <c r="O134" s="22">
        <v>0</v>
      </c>
    </row>
    <row r="135" spans="1:15" x14ac:dyDescent="0.2">
      <c r="B135" s="2" t="s">
        <v>130</v>
      </c>
      <c r="C135" s="7">
        <v>72.59</v>
      </c>
      <c r="D135" s="71">
        <v>105.67</v>
      </c>
      <c r="E135" s="71">
        <v>79.709999999999994</v>
      </c>
      <c r="F135" s="22">
        <v>117.73</v>
      </c>
      <c r="G135" s="22">
        <v>79.94</v>
      </c>
      <c r="H135" s="22">
        <v>54.96</v>
      </c>
      <c r="I135" s="22">
        <v>64.2</v>
      </c>
      <c r="J135" s="22">
        <v>41.85</v>
      </c>
      <c r="K135" s="22">
        <v>80.36</v>
      </c>
      <c r="L135" s="22">
        <v>53.57</v>
      </c>
      <c r="M135" s="22">
        <v>55.36</v>
      </c>
      <c r="N135" s="72">
        <v>107.84</v>
      </c>
      <c r="O135" s="22">
        <v>913.78000000000009</v>
      </c>
    </row>
    <row r="136" spans="1:15" x14ac:dyDescent="0.2">
      <c r="B136" s="2" t="s">
        <v>131</v>
      </c>
      <c r="C136" s="7">
        <v>8.84</v>
      </c>
      <c r="D136" s="71">
        <v>6.25</v>
      </c>
      <c r="E136" s="71">
        <v>11.72</v>
      </c>
      <c r="F136" s="22">
        <v>10.37</v>
      </c>
      <c r="G136" s="22">
        <v>9.4600000000000009</v>
      </c>
      <c r="H136" s="22">
        <v>4.5599999999999996</v>
      </c>
      <c r="I136" s="22">
        <v>12.53</v>
      </c>
      <c r="J136" s="22">
        <v>6.36</v>
      </c>
      <c r="K136" s="22">
        <v>25.96</v>
      </c>
      <c r="L136" s="22">
        <v>22.62</v>
      </c>
      <c r="M136" s="22">
        <v>10.89</v>
      </c>
      <c r="N136" s="72">
        <v>4.37</v>
      </c>
      <c r="O136" s="22">
        <v>133.93</v>
      </c>
    </row>
    <row r="137" spans="1:15" x14ac:dyDescent="0.2">
      <c r="B137" s="2" t="s">
        <v>132</v>
      </c>
      <c r="C137" s="7">
        <v>0</v>
      </c>
      <c r="D137" s="7">
        <v>0</v>
      </c>
      <c r="E137" s="7">
        <v>0</v>
      </c>
      <c r="F137" s="75">
        <v>0</v>
      </c>
      <c r="G137" s="75">
        <v>0</v>
      </c>
      <c r="H137" s="75">
        <v>0</v>
      </c>
      <c r="I137" s="22">
        <v>0</v>
      </c>
      <c r="J137" s="22">
        <v>0</v>
      </c>
      <c r="K137" s="22">
        <v>0</v>
      </c>
      <c r="L137" s="22">
        <v>0</v>
      </c>
      <c r="M137" s="22">
        <v>0</v>
      </c>
      <c r="N137" s="72">
        <v>0</v>
      </c>
      <c r="O137" s="22">
        <v>0</v>
      </c>
    </row>
    <row r="138" spans="1:15" x14ac:dyDescent="0.2">
      <c r="B138" s="2" t="s">
        <v>133</v>
      </c>
      <c r="C138" s="7">
        <v>0</v>
      </c>
      <c r="D138" s="7">
        <v>0</v>
      </c>
      <c r="E138" s="7">
        <v>0</v>
      </c>
      <c r="F138" s="75">
        <v>0</v>
      </c>
      <c r="G138" s="75">
        <v>0</v>
      </c>
      <c r="H138" s="75">
        <v>0</v>
      </c>
      <c r="I138" s="22">
        <v>0</v>
      </c>
      <c r="J138" s="22">
        <v>0</v>
      </c>
      <c r="K138" s="22">
        <v>0</v>
      </c>
      <c r="L138" s="22">
        <v>0</v>
      </c>
      <c r="M138" s="22">
        <v>0</v>
      </c>
      <c r="N138" s="72">
        <v>0</v>
      </c>
      <c r="O138" s="22">
        <v>0</v>
      </c>
    </row>
    <row r="139" spans="1:15" x14ac:dyDescent="0.2">
      <c r="B139" s="2" t="s">
        <v>134</v>
      </c>
      <c r="C139" s="7">
        <v>0</v>
      </c>
      <c r="D139" s="7">
        <v>0</v>
      </c>
      <c r="E139" s="7">
        <v>0</v>
      </c>
      <c r="F139" s="75">
        <v>0</v>
      </c>
      <c r="G139" s="75">
        <v>0</v>
      </c>
      <c r="H139" s="75">
        <v>0</v>
      </c>
      <c r="I139" s="22">
        <v>0</v>
      </c>
      <c r="J139" s="22">
        <v>0</v>
      </c>
      <c r="K139" s="22">
        <v>0</v>
      </c>
      <c r="L139" s="22">
        <v>0</v>
      </c>
      <c r="M139" s="22">
        <v>0</v>
      </c>
      <c r="N139" s="72">
        <v>0</v>
      </c>
      <c r="O139" s="22">
        <v>0</v>
      </c>
    </row>
    <row r="140" spans="1:15" x14ac:dyDescent="0.2">
      <c r="B140" s="2" t="s">
        <v>135</v>
      </c>
      <c r="C140" s="7">
        <v>0.04</v>
      </c>
      <c r="D140" s="7">
        <v>0</v>
      </c>
      <c r="E140" s="71">
        <v>0.02</v>
      </c>
      <c r="F140" s="22">
        <v>0</v>
      </c>
      <c r="G140" s="22">
        <v>0.02</v>
      </c>
      <c r="H140" s="75">
        <v>0</v>
      </c>
      <c r="I140" s="22">
        <v>0</v>
      </c>
      <c r="J140" s="22">
        <v>0.04</v>
      </c>
      <c r="K140" s="22">
        <v>0</v>
      </c>
      <c r="L140" s="75">
        <v>0.02</v>
      </c>
      <c r="M140" s="22">
        <v>0.74</v>
      </c>
      <c r="N140" s="72">
        <v>0</v>
      </c>
      <c r="O140" s="22">
        <v>0.88</v>
      </c>
    </row>
    <row r="141" spans="1:15" x14ac:dyDescent="0.2">
      <c r="B141" s="2" t="s">
        <v>136</v>
      </c>
      <c r="C141" s="7">
        <v>0</v>
      </c>
      <c r="D141" s="7">
        <v>0</v>
      </c>
      <c r="E141" s="7">
        <v>0</v>
      </c>
      <c r="F141" s="75">
        <v>0</v>
      </c>
      <c r="G141" s="75">
        <v>0</v>
      </c>
      <c r="H141" s="75">
        <v>0</v>
      </c>
      <c r="I141" s="22">
        <v>0</v>
      </c>
      <c r="J141" s="22">
        <v>0</v>
      </c>
      <c r="K141" s="22">
        <v>0</v>
      </c>
      <c r="L141" s="22">
        <v>0</v>
      </c>
      <c r="M141" s="22">
        <v>0</v>
      </c>
      <c r="N141" s="72">
        <v>0</v>
      </c>
      <c r="O141" s="22">
        <v>0</v>
      </c>
    </row>
    <row r="142" spans="1:15" x14ac:dyDescent="0.2">
      <c r="B142" s="2" t="s">
        <v>137</v>
      </c>
      <c r="C142" s="7">
        <v>7.0000000000000007E-2</v>
      </c>
      <c r="D142" s="7">
        <v>0</v>
      </c>
      <c r="E142" s="71">
        <v>0.01</v>
      </c>
      <c r="F142" s="22">
        <v>0.01</v>
      </c>
      <c r="G142" s="22">
        <v>0</v>
      </c>
      <c r="H142" s="22">
        <v>0.01</v>
      </c>
      <c r="I142" s="22">
        <v>0</v>
      </c>
      <c r="J142" s="22">
        <v>0.05</v>
      </c>
      <c r="K142" s="22">
        <v>0.05</v>
      </c>
      <c r="L142" s="22">
        <v>0.03</v>
      </c>
      <c r="M142" s="22">
        <v>0</v>
      </c>
      <c r="N142" s="72">
        <v>0</v>
      </c>
      <c r="O142" s="22">
        <v>0.23</v>
      </c>
    </row>
    <row r="143" spans="1:15" x14ac:dyDescent="0.2">
      <c r="B143" s="2" t="s">
        <v>138</v>
      </c>
      <c r="C143" s="7">
        <v>0.3</v>
      </c>
      <c r="D143" s="7">
        <v>0.03</v>
      </c>
      <c r="E143" s="71">
        <v>0.02</v>
      </c>
      <c r="F143" s="75">
        <v>0.01</v>
      </c>
      <c r="G143" s="22">
        <v>0.01</v>
      </c>
      <c r="H143" s="22">
        <v>0</v>
      </c>
      <c r="I143" s="22">
        <v>0</v>
      </c>
      <c r="J143" s="22">
        <v>0</v>
      </c>
      <c r="K143" s="22">
        <v>0.01</v>
      </c>
      <c r="L143" s="22">
        <v>0</v>
      </c>
      <c r="M143" s="22">
        <v>0.02</v>
      </c>
      <c r="N143" s="72">
        <v>0</v>
      </c>
      <c r="O143" s="22">
        <v>0.4</v>
      </c>
    </row>
    <row r="144" spans="1:15" x14ac:dyDescent="0.2">
      <c r="B144" s="2" t="s">
        <v>139</v>
      </c>
      <c r="C144" s="7">
        <v>0</v>
      </c>
      <c r="D144" s="7">
        <v>0</v>
      </c>
      <c r="E144" s="7">
        <v>0</v>
      </c>
      <c r="F144" s="22">
        <v>0</v>
      </c>
      <c r="G144" s="75">
        <v>0</v>
      </c>
      <c r="H144" s="75">
        <v>0</v>
      </c>
      <c r="I144" s="22">
        <v>0</v>
      </c>
      <c r="J144" s="22">
        <v>0</v>
      </c>
      <c r="K144" s="22">
        <v>0</v>
      </c>
      <c r="L144" s="22">
        <v>0.01</v>
      </c>
      <c r="M144" s="22">
        <v>0.02</v>
      </c>
      <c r="N144" s="72">
        <v>0.04</v>
      </c>
      <c r="O144" s="22">
        <v>7.0000000000000007E-2</v>
      </c>
    </row>
    <row r="145" spans="1:15" ht="12.75" customHeight="1" x14ac:dyDescent="0.25">
      <c r="A145" s="24"/>
      <c r="B145" s="24"/>
      <c r="C145" s="24"/>
      <c r="D145" s="71"/>
      <c r="E145" s="71"/>
    </row>
    <row r="146" spans="1:15" s="4" customFormat="1" ht="15" x14ac:dyDescent="0.25">
      <c r="A146" s="3" t="s">
        <v>140</v>
      </c>
      <c r="C146" s="5">
        <v>25.100000000000005</v>
      </c>
      <c r="D146" s="5">
        <v>29.93</v>
      </c>
      <c r="E146" s="5">
        <v>20.120000000000008</v>
      </c>
      <c r="F146" s="21">
        <v>30.440000000000005</v>
      </c>
      <c r="G146" s="21">
        <v>37.339999999999996</v>
      </c>
      <c r="H146" s="21">
        <v>17.770000000000007</v>
      </c>
      <c r="I146" s="21">
        <v>35.839999999999996</v>
      </c>
      <c r="J146" s="21">
        <v>21.76</v>
      </c>
      <c r="K146" s="21">
        <v>30.53</v>
      </c>
      <c r="L146" s="21">
        <v>27.860000000000003</v>
      </c>
      <c r="M146" s="21">
        <v>34.080000000000005</v>
      </c>
      <c r="N146" s="70">
        <v>23.86</v>
      </c>
      <c r="O146" s="21">
        <v>334.62999999999994</v>
      </c>
    </row>
    <row r="147" spans="1:15" x14ac:dyDescent="0.2">
      <c r="B147" s="2" t="s">
        <v>141</v>
      </c>
      <c r="C147" s="7">
        <v>15.19</v>
      </c>
      <c r="D147" s="71">
        <v>19.559999999999999</v>
      </c>
      <c r="E147" s="71">
        <v>12.16</v>
      </c>
      <c r="F147" s="22">
        <v>15.76</v>
      </c>
      <c r="G147" s="22">
        <v>24.15</v>
      </c>
      <c r="H147" s="22">
        <v>12.22</v>
      </c>
      <c r="I147" s="22">
        <v>24</v>
      </c>
      <c r="J147" s="22">
        <v>12.02</v>
      </c>
      <c r="K147" s="22">
        <v>18.239999999999998</v>
      </c>
      <c r="L147" s="22">
        <v>17.62</v>
      </c>
      <c r="M147" s="22">
        <v>20.78</v>
      </c>
      <c r="N147" s="72">
        <v>11.24</v>
      </c>
      <c r="O147" s="22">
        <v>202.94000000000003</v>
      </c>
    </row>
    <row r="148" spans="1:15" x14ac:dyDescent="0.2">
      <c r="B148" s="2" t="s">
        <v>142</v>
      </c>
      <c r="C148" s="7">
        <v>0.44</v>
      </c>
      <c r="D148" s="71">
        <v>1.69</v>
      </c>
      <c r="E148" s="80">
        <v>0.42</v>
      </c>
      <c r="F148" s="22">
        <v>2.1800000000000002</v>
      </c>
      <c r="G148" s="22">
        <v>0.03</v>
      </c>
      <c r="H148" s="22">
        <v>0.05</v>
      </c>
      <c r="I148" s="22">
        <v>2.79</v>
      </c>
      <c r="J148" s="22">
        <v>1.45</v>
      </c>
      <c r="K148" s="22">
        <v>1.47</v>
      </c>
      <c r="L148" s="22">
        <v>0.01</v>
      </c>
      <c r="M148" s="22">
        <v>1.94</v>
      </c>
      <c r="N148" s="72">
        <v>0.48</v>
      </c>
      <c r="O148" s="22">
        <v>12.950000000000001</v>
      </c>
    </row>
    <row r="149" spans="1:15" x14ac:dyDescent="0.2">
      <c r="B149" s="2" t="s">
        <v>143</v>
      </c>
      <c r="C149" s="7">
        <v>0.32</v>
      </c>
      <c r="D149" s="71">
        <v>0.13</v>
      </c>
      <c r="E149" s="71">
        <v>0.17</v>
      </c>
      <c r="F149" s="22">
        <v>0.21</v>
      </c>
      <c r="G149" s="22">
        <v>0.3</v>
      </c>
      <c r="H149" s="22">
        <v>0.11</v>
      </c>
      <c r="I149" s="22">
        <v>0.16</v>
      </c>
      <c r="J149" s="22">
        <v>0.16</v>
      </c>
      <c r="K149" s="22">
        <v>0.45</v>
      </c>
      <c r="L149" s="22">
        <v>0.28000000000000003</v>
      </c>
      <c r="M149" s="22">
        <v>0.16</v>
      </c>
      <c r="N149" s="72">
        <v>0.44</v>
      </c>
      <c r="O149" s="22">
        <v>2.89</v>
      </c>
    </row>
    <row r="150" spans="1:15" x14ac:dyDescent="0.2">
      <c r="B150" s="2" t="s">
        <v>144</v>
      </c>
      <c r="C150" s="7">
        <v>0.3</v>
      </c>
      <c r="D150" s="71">
        <v>0.35</v>
      </c>
      <c r="E150" s="71">
        <v>0.09</v>
      </c>
      <c r="F150" s="22">
        <v>0.06</v>
      </c>
      <c r="G150" s="22">
        <v>1.39</v>
      </c>
      <c r="H150" s="22">
        <v>0.57999999999999996</v>
      </c>
      <c r="I150" s="22">
        <v>0.22</v>
      </c>
      <c r="J150" s="22">
        <v>0.56999999999999995</v>
      </c>
      <c r="K150" s="22">
        <v>0.67</v>
      </c>
      <c r="L150" s="22">
        <v>0.42</v>
      </c>
      <c r="M150" s="22">
        <v>0.8</v>
      </c>
      <c r="N150" s="72">
        <v>0.35</v>
      </c>
      <c r="O150" s="22">
        <v>5.7999999999999989</v>
      </c>
    </row>
    <row r="151" spans="1:15" x14ac:dyDescent="0.2">
      <c r="B151" s="2" t="s">
        <v>145</v>
      </c>
      <c r="C151" s="7">
        <v>1.85</v>
      </c>
      <c r="D151" s="71">
        <v>1.73</v>
      </c>
      <c r="E151" s="71">
        <v>1.76</v>
      </c>
      <c r="F151" s="22">
        <v>2.89</v>
      </c>
      <c r="G151" s="22">
        <v>1.98</v>
      </c>
      <c r="H151" s="22">
        <v>1.88</v>
      </c>
      <c r="I151" s="22">
        <v>2.7</v>
      </c>
      <c r="J151" s="22">
        <v>1.47</v>
      </c>
      <c r="K151" s="22">
        <v>3.44</v>
      </c>
      <c r="L151" s="22">
        <v>2.29</v>
      </c>
      <c r="M151" s="22">
        <v>2.4700000000000002</v>
      </c>
      <c r="N151" s="72">
        <v>2.52</v>
      </c>
      <c r="O151" s="22">
        <v>26.979999999999997</v>
      </c>
    </row>
    <row r="152" spans="1:15" x14ac:dyDescent="0.2">
      <c r="B152" s="2" t="s">
        <v>146</v>
      </c>
      <c r="C152" s="7">
        <v>1.91</v>
      </c>
      <c r="D152" s="71">
        <v>1.27</v>
      </c>
      <c r="E152" s="71">
        <v>1.78</v>
      </c>
      <c r="F152" s="22">
        <v>2.57</v>
      </c>
      <c r="G152" s="22">
        <v>2.95</v>
      </c>
      <c r="H152" s="22">
        <v>0.98</v>
      </c>
      <c r="I152" s="22">
        <v>2.5299999999999998</v>
      </c>
      <c r="J152" s="22">
        <v>1.54</v>
      </c>
      <c r="K152" s="22">
        <v>2.54</v>
      </c>
      <c r="L152" s="22">
        <v>3.27</v>
      </c>
      <c r="M152" s="22">
        <v>2.84</v>
      </c>
      <c r="N152" s="72">
        <v>1.87</v>
      </c>
      <c r="O152" s="22">
        <v>26.05</v>
      </c>
    </row>
    <row r="153" spans="1:15" x14ac:dyDescent="0.2">
      <c r="B153" s="2" t="s">
        <v>147</v>
      </c>
      <c r="C153" s="7">
        <v>0.01</v>
      </c>
      <c r="D153" s="71">
        <v>0</v>
      </c>
      <c r="E153" s="71">
        <v>0.03</v>
      </c>
      <c r="F153" s="22">
        <v>0</v>
      </c>
      <c r="G153" s="22">
        <v>0</v>
      </c>
      <c r="H153" s="75">
        <v>0</v>
      </c>
      <c r="I153" s="22">
        <v>0</v>
      </c>
      <c r="J153" s="22">
        <v>0</v>
      </c>
      <c r="K153" s="22">
        <v>0.01</v>
      </c>
      <c r="L153" s="22">
        <v>0.05</v>
      </c>
      <c r="M153" s="22">
        <v>0.06</v>
      </c>
      <c r="N153" s="72">
        <v>0.04</v>
      </c>
      <c r="O153" s="22">
        <v>0.2</v>
      </c>
    </row>
    <row r="154" spans="1:15" x14ac:dyDescent="0.2">
      <c r="B154" s="2" t="s">
        <v>148</v>
      </c>
      <c r="C154" s="7">
        <v>0.5</v>
      </c>
      <c r="D154" s="71">
        <v>1.27</v>
      </c>
      <c r="E154" s="71">
        <v>0.51</v>
      </c>
      <c r="F154" s="22">
        <v>0.94</v>
      </c>
      <c r="G154" s="22">
        <v>3.42</v>
      </c>
      <c r="H154" s="22">
        <v>0.44</v>
      </c>
      <c r="I154" s="22">
        <v>0.68</v>
      </c>
      <c r="J154" s="22">
        <v>0.25</v>
      </c>
      <c r="K154" s="22">
        <v>1.1100000000000001</v>
      </c>
      <c r="L154" s="22">
        <v>0.74</v>
      </c>
      <c r="M154" s="22">
        <v>0.85</v>
      </c>
      <c r="N154" s="72">
        <v>0.63</v>
      </c>
      <c r="O154" s="22">
        <v>11.340000000000002</v>
      </c>
    </row>
    <row r="155" spans="1:15" x14ac:dyDescent="0.2">
      <c r="B155" s="2" t="s">
        <v>149</v>
      </c>
      <c r="C155" s="7">
        <v>0</v>
      </c>
      <c r="D155" s="7">
        <v>0</v>
      </c>
      <c r="E155" s="7">
        <v>0</v>
      </c>
      <c r="F155" s="75">
        <v>0</v>
      </c>
      <c r="G155" s="75">
        <v>0</v>
      </c>
      <c r="H155" s="75">
        <v>0</v>
      </c>
      <c r="I155" s="22">
        <v>0</v>
      </c>
      <c r="J155" s="22">
        <v>0</v>
      </c>
      <c r="K155" s="22">
        <v>0</v>
      </c>
      <c r="L155" s="22">
        <v>0</v>
      </c>
      <c r="M155" s="22">
        <v>0</v>
      </c>
      <c r="N155" s="72">
        <v>0</v>
      </c>
      <c r="O155" s="22">
        <v>0</v>
      </c>
    </row>
    <row r="156" spans="1:15" x14ac:dyDescent="0.2">
      <c r="B156" s="2" t="s">
        <v>150</v>
      </c>
      <c r="C156" s="7">
        <v>4.34</v>
      </c>
      <c r="D156" s="71">
        <v>3.66</v>
      </c>
      <c r="E156" s="71">
        <v>2.74</v>
      </c>
      <c r="F156" s="22">
        <v>5.23</v>
      </c>
      <c r="G156" s="22">
        <v>2.67</v>
      </c>
      <c r="H156" s="22">
        <v>1.3</v>
      </c>
      <c r="I156" s="22">
        <v>2.25</v>
      </c>
      <c r="J156" s="22">
        <v>4.1399999999999997</v>
      </c>
      <c r="K156" s="22">
        <v>2.2000000000000002</v>
      </c>
      <c r="L156" s="22">
        <v>2.85</v>
      </c>
      <c r="M156" s="22">
        <v>3.83</v>
      </c>
      <c r="N156" s="72">
        <v>5.81</v>
      </c>
      <c r="O156" s="22">
        <v>41.02</v>
      </c>
    </row>
    <row r="157" spans="1:15" x14ac:dyDescent="0.2">
      <c r="B157" s="2" t="s">
        <v>151</v>
      </c>
      <c r="C157" s="7">
        <v>0.23</v>
      </c>
      <c r="D157" s="71">
        <v>0.22</v>
      </c>
      <c r="E157" s="71">
        <v>0.26</v>
      </c>
      <c r="F157" s="22">
        <v>0.45</v>
      </c>
      <c r="G157" s="22">
        <v>0.44</v>
      </c>
      <c r="H157" s="22">
        <v>0.17</v>
      </c>
      <c r="I157" s="22">
        <v>0.44</v>
      </c>
      <c r="J157" s="22">
        <v>0.16</v>
      </c>
      <c r="K157" s="22">
        <v>0.34</v>
      </c>
      <c r="L157" s="22">
        <v>0.28999999999999998</v>
      </c>
      <c r="M157" s="22">
        <v>0.24</v>
      </c>
      <c r="N157" s="72">
        <v>0.42</v>
      </c>
      <c r="O157" s="22">
        <v>3.66</v>
      </c>
    </row>
    <row r="158" spans="1:15" x14ac:dyDescent="0.2">
      <c r="B158" s="2" t="s">
        <v>152</v>
      </c>
      <c r="C158" s="7">
        <v>0</v>
      </c>
      <c r="D158" s="7">
        <v>0</v>
      </c>
      <c r="E158" s="71">
        <v>0.01</v>
      </c>
      <c r="F158" s="22">
        <v>0</v>
      </c>
      <c r="G158" s="22">
        <v>0</v>
      </c>
      <c r="H158" s="22">
        <v>0</v>
      </c>
      <c r="I158" s="22">
        <v>0</v>
      </c>
      <c r="J158" s="22">
        <v>0</v>
      </c>
      <c r="K158" s="22">
        <v>0</v>
      </c>
      <c r="L158" s="22">
        <v>0.02</v>
      </c>
      <c r="M158" s="22">
        <v>0</v>
      </c>
      <c r="N158" s="72">
        <v>0</v>
      </c>
      <c r="O158" s="22">
        <v>0.03</v>
      </c>
    </row>
    <row r="159" spans="1:15" x14ac:dyDescent="0.2">
      <c r="B159" s="2" t="s">
        <v>153</v>
      </c>
      <c r="C159" s="7">
        <v>0</v>
      </c>
      <c r="D159" s="7">
        <v>0</v>
      </c>
      <c r="E159" s="7">
        <v>0</v>
      </c>
      <c r="F159" s="75">
        <v>0</v>
      </c>
      <c r="G159" s="75">
        <v>0</v>
      </c>
      <c r="H159" s="75">
        <v>0</v>
      </c>
      <c r="I159" s="22">
        <v>0.02</v>
      </c>
      <c r="J159" s="22">
        <v>0</v>
      </c>
      <c r="K159" s="22">
        <v>0</v>
      </c>
      <c r="L159" s="22">
        <v>0</v>
      </c>
      <c r="M159" s="22">
        <v>0</v>
      </c>
      <c r="N159" s="72">
        <v>0</v>
      </c>
      <c r="O159" s="22">
        <v>0.02</v>
      </c>
    </row>
    <row r="160" spans="1:15" x14ac:dyDescent="0.2">
      <c r="B160" s="2" t="s">
        <v>154</v>
      </c>
      <c r="C160" s="7">
        <v>0</v>
      </c>
      <c r="D160" s="7">
        <v>0</v>
      </c>
      <c r="E160" s="7">
        <v>0</v>
      </c>
      <c r="F160" s="75">
        <v>0</v>
      </c>
      <c r="G160" s="75">
        <v>0</v>
      </c>
      <c r="H160" s="75">
        <v>0</v>
      </c>
      <c r="I160" s="22">
        <v>0</v>
      </c>
      <c r="J160" s="22">
        <v>0</v>
      </c>
      <c r="K160" s="22">
        <v>0</v>
      </c>
      <c r="L160" s="22">
        <v>0</v>
      </c>
      <c r="M160" s="22">
        <v>0</v>
      </c>
      <c r="N160" s="72">
        <v>0</v>
      </c>
      <c r="O160" s="22">
        <v>0</v>
      </c>
    </row>
    <row r="161" spans="1:15" x14ac:dyDescent="0.2">
      <c r="B161" s="2" t="s">
        <v>155</v>
      </c>
      <c r="C161" s="7">
        <v>0.01</v>
      </c>
      <c r="D161" s="71">
        <v>0.05</v>
      </c>
      <c r="E161" s="71">
        <v>0.19</v>
      </c>
      <c r="F161" s="22">
        <v>0.01</v>
      </c>
      <c r="G161" s="22">
        <v>0.01</v>
      </c>
      <c r="H161" s="22">
        <v>0.03</v>
      </c>
      <c r="I161" s="22">
        <v>0.05</v>
      </c>
      <c r="J161" s="22">
        <v>0</v>
      </c>
      <c r="K161" s="22">
        <v>0.03</v>
      </c>
      <c r="L161" s="22">
        <v>0.02</v>
      </c>
      <c r="M161" s="22">
        <v>0.11</v>
      </c>
      <c r="N161" s="72">
        <v>0.05</v>
      </c>
      <c r="O161" s="22">
        <v>0.56000000000000005</v>
      </c>
    </row>
    <row r="162" spans="1:15" x14ac:dyDescent="0.2">
      <c r="B162" s="2" t="s">
        <v>156</v>
      </c>
      <c r="C162" s="7">
        <v>0</v>
      </c>
      <c r="D162" s="7">
        <v>0</v>
      </c>
      <c r="E162" s="7">
        <v>0</v>
      </c>
      <c r="F162" s="75">
        <v>0</v>
      </c>
      <c r="G162" s="75">
        <v>0</v>
      </c>
      <c r="H162" s="75">
        <v>0</v>
      </c>
      <c r="I162" s="22">
        <v>0</v>
      </c>
      <c r="J162" s="22">
        <v>0</v>
      </c>
      <c r="K162" s="22">
        <v>0</v>
      </c>
      <c r="L162" s="22">
        <v>0</v>
      </c>
      <c r="M162" s="22">
        <v>0</v>
      </c>
      <c r="N162" s="72">
        <v>0</v>
      </c>
      <c r="O162" s="22">
        <v>0</v>
      </c>
    </row>
    <row r="163" spans="1:15" x14ac:dyDescent="0.2">
      <c r="B163" s="2" t="s">
        <v>157</v>
      </c>
      <c r="C163" s="7">
        <v>0</v>
      </c>
      <c r="D163" s="7">
        <v>0</v>
      </c>
      <c r="E163" s="7">
        <v>0</v>
      </c>
      <c r="F163" s="75">
        <v>0</v>
      </c>
      <c r="G163" s="75">
        <v>0</v>
      </c>
      <c r="H163" s="75">
        <v>0</v>
      </c>
      <c r="I163" s="22">
        <v>0</v>
      </c>
      <c r="J163" s="22">
        <v>0</v>
      </c>
      <c r="K163" s="22">
        <v>0</v>
      </c>
      <c r="L163" s="22">
        <v>0</v>
      </c>
      <c r="M163" s="22">
        <v>0</v>
      </c>
      <c r="N163" s="72">
        <v>0</v>
      </c>
      <c r="O163" s="22">
        <v>0</v>
      </c>
    </row>
    <row r="164" spans="1:15" x14ac:dyDescent="0.2">
      <c r="B164" s="2" t="s">
        <v>158</v>
      </c>
      <c r="C164" s="7">
        <v>0</v>
      </c>
      <c r="D164" s="71">
        <v>0</v>
      </c>
      <c r="E164" s="7">
        <v>0</v>
      </c>
      <c r="F164" s="22">
        <v>0.14000000000000001</v>
      </c>
      <c r="G164" s="22">
        <v>0</v>
      </c>
      <c r="H164" s="22">
        <v>0.01</v>
      </c>
      <c r="I164" s="22">
        <v>0</v>
      </c>
      <c r="J164" s="22">
        <v>0</v>
      </c>
      <c r="K164" s="22">
        <v>0.03</v>
      </c>
      <c r="L164" s="22">
        <v>0</v>
      </c>
      <c r="M164" s="22">
        <v>0</v>
      </c>
      <c r="N164" s="72">
        <v>0.01</v>
      </c>
      <c r="O164" s="22">
        <v>0.19000000000000003</v>
      </c>
    </row>
    <row r="165" spans="1:15" ht="12.75" customHeight="1" x14ac:dyDescent="0.2">
      <c r="C165" s="7"/>
      <c r="D165" s="71"/>
      <c r="E165" s="71"/>
    </row>
    <row r="166" spans="1:15" s="4" customFormat="1" ht="15" x14ac:dyDescent="0.25">
      <c r="A166" s="3" t="s">
        <v>159</v>
      </c>
      <c r="C166" s="5">
        <v>5.35</v>
      </c>
      <c r="D166" s="5">
        <v>2.04</v>
      </c>
      <c r="E166" s="5">
        <v>2.52</v>
      </c>
      <c r="F166" s="5">
        <v>18.27</v>
      </c>
      <c r="G166" s="5">
        <v>7.85</v>
      </c>
      <c r="H166" s="5">
        <v>14.21</v>
      </c>
      <c r="I166" s="5">
        <v>73.34</v>
      </c>
      <c r="J166" s="5">
        <v>6.99</v>
      </c>
      <c r="K166" s="5">
        <v>17.95</v>
      </c>
      <c r="L166" s="5">
        <v>5.95</v>
      </c>
      <c r="M166" s="5">
        <v>4.0999999999999996</v>
      </c>
      <c r="N166" s="5">
        <v>6.36</v>
      </c>
      <c r="O166" s="21">
        <v>164.93000000000004</v>
      </c>
    </row>
    <row r="167" spans="1:15" x14ac:dyDescent="0.2">
      <c r="B167" s="2" t="s">
        <v>93</v>
      </c>
      <c r="C167" s="7">
        <v>5.35</v>
      </c>
      <c r="D167" s="71">
        <v>2.04</v>
      </c>
      <c r="E167" s="71">
        <v>2.52</v>
      </c>
      <c r="F167" s="22">
        <v>18.27</v>
      </c>
      <c r="G167" s="22">
        <v>7.85</v>
      </c>
      <c r="H167" s="22">
        <v>14.21</v>
      </c>
      <c r="I167" s="22">
        <v>73.34</v>
      </c>
      <c r="J167" s="22">
        <v>6.99</v>
      </c>
      <c r="K167" s="22">
        <v>17.95</v>
      </c>
      <c r="L167" s="22">
        <v>5.86</v>
      </c>
      <c r="M167" s="22">
        <v>4.0999999999999996</v>
      </c>
      <c r="N167" s="72">
        <v>6.33</v>
      </c>
      <c r="O167" s="22">
        <v>164.81000000000003</v>
      </c>
    </row>
    <row r="168" spans="1:15" x14ac:dyDescent="0.2">
      <c r="B168" s="2" t="s">
        <v>160</v>
      </c>
      <c r="C168" s="7">
        <v>0</v>
      </c>
      <c r="D168" s="7">
        <v>0</v>
      </c>
      <c r="E168" s="7">
        <v>0</v>
      </c>
      <c r="F168" s="7">
        <v>0</v>
      </c>
      <c r="G168" s="7">
        <v>0</v>
      </c>
      <c r="H168" s="7">
        <v>0</v>
      </c>
      <c r="I168" s="7">
        <v>0</v>
      </c>
      <c r="J168" s="7">
        <v>0</v>
      </c>
      <c r="K168" s="7">
        <v>0</v>
      </c>
      <c r="L168" s="22">
        <v>0.09</v>
      </c>
      <c r="M168" s="22">
        <v>0</v>
      </c>
      <c r="N168" s="72">
        <v>0.03</v>
      </c>
      <c r="O168" s="22">
        <v>0.12</v>
      </c>
    </row>
    <row r="169" spans="1:15" ht="12.75" customHeight="1" x14ac:dyDescent="0.2">
      <c r="C169" s="7"/>
      <c r="D169" s="71"/>
      <c r="E169" s="71"/>
    </row>
    <row r="170" spans="1:15" s="4" customFormat="1" ht="15" x14ac:dyDescent="0.25">
      <c r="A170" s="3" t="s">
        <v>161</v>
      </c>
      <c r="C170" s="5">
        <v>12.870000000000001</v>
      </c>
      <c r="D170" s="5">
        <v>3.5999999999999996</v>
      </c>
      <c r="E170" s="5">
        <v>9.1</v>
      </c>
      <c r="F170" s="21">
        <v>7.35</v>
      </c>
      <c r="G170" s="21">
        <v>6.95</v>
      </c>
      <c r="H170" s="21">
        <v>4.3199999999999994</v>
      </c>
      <c r="I170" s="21">
        <v>10.85</v>
      </c>
      <c r="J170" s="21">
        <v>4.53</v>
      </c>
      <c r="K170" s="21">
        <v>5.5500000000000007</v>
      </c>
      <c r="L170" s="21">
        <v>5.5600000000000005</v>
      </c>
      <c r="M170" s="21">
        <v>10.02</v>
      </c>
      <c r="N170" s="70">
        <v>4.97</v>
      </c>
      <c r="O170" s="21">
        <v>85.65</v>
      </c>
    </row>
    <row r="171" spans="1:15" x14ac:dyDescent="0.2">
      <c r="B171" s="2" t="s">
        <v>162</v>
      </c>
      <c r="C171" s="7">
        <v>0.32</v>
      </c>
      <c r="D171" s="71">
        <v>7.0000000000000007E-2</v>
      </c>
      <c r="E171" s="71">
        <v>0.04</v>
      </c>
      <c r="F171" s="22">
        <v>0.01</v>
      </c>
      <c r="G171" s="22">
        <v>0.09</v>
      </c>
      <c r="H171" s="22">
        <v>0.13</v>
      </c>
      <c r="I171" s="22">
        <v>0.67</v>
      </c>
      <c r="J171" s="22">
        <v>0.02</v>
      </c>
      <c r="K171" s="22">
        <v>0.16</v>
      </c>
      <c r="L171" s="22">
        <v>1.08</v>
      </c>
      <c r="M171" s="22">
        <v>0.14000000000000001</v>
      </c>
      <c r="N171" s="72">
        <v>0.18</v>
      </c>
      <c r="O171" s="22">
        <f>SUM(C171:N171)</f>
        <v>2.91</v>
      </c>
    </row>
    <row r="172" spans="1:15" x14ac:dyDescent="0.2">
      <c r="B172" s="2" t="s">
        <v>163</v>
      </c>
      <c r="C172" s="7">
        <v>0</v>
      </c>
      <c r="D172" s="71">
        <v>0</v>
      </c>
      <c r="E172" s="71">
        <v>0.02</v>
      </c>
      <c r="F172" s="75">
        <v>0.13</v>
      </c>
      <c r="G172" s="22">
        <v>0.06</v>
      </c>
      <c r="H172" s="22">
        <v>0.05</v>
      </c>
      <c r="I172" s="22">
        <v>0</v>
      </c>
      <c r="J172" s="75">
        <v>0</v>
      </c>
      <c r="K172" s="22">
        <v>0.03</v>
      </c>
      <c r="L172" s="22">
        <v>0</v>
      </c>
      <c r="M172" s="22">
        <v>0.03</v>
      </c>
      <c r="N172" s="72">
        <v>0</v>
      </c>
      <c r="O172" s="22">
        <f t="shared" ref="O172:O174" si="1">SUM(C172:N172)</f>
        <v>0.32000000000000006</v>
      </c>
    </row>
    <row r="173" spans="1:15" x14ac:dyDescent="0.2">
      <c r="B173" s="2" t="s">
        <v>164</v>
      </c>
      <c r="C173" s="7">
        <v>0</v>
      </c>
      <c r="D173" s="7">
        <v>0</v>
      </c>
      <c r="E173" s="7">
        <v>0</v>
      </c>
      <c r="F173" s="7">
        <v>0</v>
      </c>
      <c r="G173" s="7">
        <v>0</v>
      </c>
      <c r="H173" s="7">
        <v>0</v>
      </c>
      <c r="I173" s="7">
        <v>0</v>
      </c>
      <c r="J173" s="75">
        <v>0.01</v>
      </c>
      <c r="K173" s="22">
        <v>0</v>
      </c>
      <c r="L173" s="22">
        <v>0</v>
      </c>
      <c r="M173" s="22">
        <v>0.01</v>
      </c>
      <c r="N173" s="72">
        <v>0</v>
      </c>
      <c r="O173" s="22">
        <f t="shared" si="1"/>
        <v>0.02</v>
      </c>
    </row>
    <row r="174" spans="1:15" x14ac:dyDescent="0.2">
      <c r="B174" s="2" t="s">
        <v>165</v>
      </c>
      <c r="C174" s="7">
        <v>12.55</v>
      </c>
      <c r="D174" s="71">
        <v>3.53</v>
      </c>
      <c r="E174" s="71">
        <v>9.0399999999999991</v>
      </c>
      <c r="F174" s="22">
        <v>7.21</v>
      </c>
      <c r="G174" s="22">
        <v>6.8</v>
      </c>
      <c r="H174" s="22">
        <v>4.1399999999999997</v>
      </c>
      <c r="I174" s="22">
        <v>10.18</v>
      </c>
      <c r="J174" s="22">
        <v>4.5</v>
      </c>
      <c r="K174" s="22">
        <v>5.36</v>
      </c>
      <c r="L174" s="22">
        <v>4.4800000000000004</v>
      </c>
      <c r="M174" s="22">
        <v>9.84</v>
      </c>
      <c r="N174" s="72">
        <v>4.79</v>
      </c>
      <c r="O174" s="22">
        <f t="shared" si="1"/>
        <v>82.42</v>
      </c>
    </row>
    <row r="175" spans="1:15" x14ac:dyDescent="0.2">
      <c r="C175" s="7"/>
      <c r="D175" s="71"/>
      <c r="E175" s="71"/>
    </row>
    <row r="176" spans="1:15" s="4" customFormat="1" ht="15" x14ac:dyDescent="0.25">
      <c r="A176" s="3" t="s">
        <v>166</v>
      </c>
      <c r="C176" s="5">
        <v>37.1</v>
      </c>
      <c r="D176" s="5">
        <v>37.949999999999989</v>
      </c>
      <c r="E176" s="5">
        <v>32.57</v>
      </c>
      <c r="F176" s="21">
        <v>37.039999999999992</v>
      </c>
      <c r="G176" s="21">
        <v>42.15</v>
      </c>
      <c r="H176" s="21">
        <v>71.05</v>
      </c>
      <c r="I176" s="21">
        <v>41.66</v>
      </c>
      <c r="J176" s="21">
        <v>25.360000000000003</v>
      </c>
      <c r="K176" s="21">
        <v>41.260000000000005</v>
      </c>
      <c r="L176" s="21">
        <v>35.25</v>
      </c>
      <c r="M176" s="21">
        <v>36.260000000000005</v>
      </c>
      <c r="N176" s="70">
        <v>18.459999999999997</v>
      </c>
      <c r="O176" s="21">
        <v>456.1099999999999</v>
      </c>
    </row>
    <row r="177" spans="1:15" x14ac:dyDescent="0.2">
      <c r="B177" s="2" t="s">
        <v>167</v>
      </c>
      <c r="C177" s="7">
        <v>31.28</v>
      </c>
      <c r="D177" s="71">
        <v>32.479999999999997</v>
      </c>
      <c r="E177" s="71">
        <v>24.41</v>
      </c>
      <c r="F177" s="22">
        <v>24.33</v>
      </c>
      <c r="G177" s="22">
        <v>34.25</v>
      </c>
      <c r="H177" s="22">
        <v>67.27</v>
      </c>
      <c r="I177" s="22">
        <v>33.32</v>
      </c>
      <c r="J177" s="22">
        <v>22.14</v>
      </c>
      <c r="K177" s="22">
        <v>35.76</v>
      </c>
      <c r="L177" s="22">
        <v>30.31</v>
      </c>
      <c r="M177" s="22">
        <v>29.67</v>
      </c>
      <c r="N177" s="72">
        <v>13.52</v>
      </c>
      <c r="O177" s="22">
        <v>378.73999999999995</v>
      </c>
    </row>
    <row r="178" spans="1:15" x14ac:dyDescent="0.2">
      <c r="B178" s="2" t="s">
        <v>168</v>
      </c>
      <c r="C178" s="7">
        <v>3.6</v>
      </c>
      <c r="D178" s="71">
        <v>4.1100000000000003</v>
      </c>
      <c r="E178" s="71">
        <v>4.6500000000000004</v>
      </c>
      <c r="F178" s="22">
        <v>9.0500000000000007</v>
      </c>
      <c r="G178" s="22">
        <v>7.27</v>
      </c>
      <c r="H178" s="22">
        <v>3.04</v>
      </c>
      <c r="I178" s="22">
        <v>5.87</v>
      </c>
      <c r="J178" s="22">
        <v>2.57</v>
      </c>
      <c r="K178" s="22">
        <v>4.28</v>
      </c>
      <c r="L178" s="22">
        <v>3.38</v>
      </c>
      <c r="M178" s="22">
        <v>4.03</v>
      </c>
      <c r="N178" s="72">
        <v>3.04</v>
      </c>
      <c r="O178" s="22">
        <v>54.890000000000008</v>
      </c>
    </row>
    <row r="179" spans="1:15" x14ac:dyDescent="0.2">
      <c r="B179" s="2" t="s">
        <v>169</v>
      </c>
      <c r="C179" s="7">
        <v>0.14000000000000001</v>
      </c>
      <c r="D179" s="71">
        <v>0.41</v>
      </c>
      <c r="E179" s="71">
        <v>0.17</v>
      </c>
      <c r="F179" s="22">
        <v>7.0000000000000007E-2</v>
      </c>
      <c r="G179" s="22">
        <v>0.08</v>
      </c>
      <c r="H179" s="22">
        <v>0.14000000000000001</v>
      </c>
      <c r="I179" s="22">
        <v>0.08</v>
      </c>
      <c r="J179" s="22">
        <v>0.1</v>
      </c>
      <c r="K179" s="22">
        <v>0.2</v>
      </c>
      <c r="L179" s="22">
        <v>0.08</v>
      </c>
      <c r="M179" s="22">
        <v>0.22</v>
      </c>
      <c r="N179" s="72">
        <v>0.1</v>
      </c>
      <c r="O179" s="22">
        <v>1.7900000000000003</v>
      </c>
    </row>
    <row r="180" spans="1:15" x14ac:dyDescent="0.2">
      <c r="B180" s="2" t="s">
        <v>170</v>
      </c>
      <c r="C180" s="7">
        <v>0</v>
      </c>
      <c r="D180" s="7">
        <v>0</v>
      </c>
      <c r="E180" s="71">
        <v>0</v>
      </c>
      <c r="F180" s="22">
        <v>0</v>
      </c>
      <c r="G180" s="75">
        <v>0</v>
      </c>
      <c r="H180" s="75">
        <v>0</v>
      </c>
      <c r="I180" s="22">
        <v>0</v>
      </c>
      <c r="J180" s="75">
        <v>0</v>
      </c>
      <c r="K180" s="22">
        <v>0</v>
      </c>
      <c r="L180" s="22">
        <v>0</v>
      </c>
      <c r="M180" s="22">
        <v>0</v>
      </c>
      <c r="N180" s="22">
        <v>0</v>
      </c>
      <c r="O180" s="22">
        <v>0</v>
      </c>
    </row>
    <row r="181" spans="1:15" x14ac:dyDescent="0.2">
      <c r="B181" s="82" t="s">
        <v>171</v>
      </c>
      <c r="C181" s="7">
        <v>0.08</v>
      </c>
      <c r="D181" s="7">
        <v>0</v>
      </c>
      <c r="E181" s="71">
        <v>0</v>
      </c>
      <c r="F181" s="22">
        <v>0</v>
      </c>
      <c r="G181" s="75">
        <v>0</v>
      </c>
      <c r="H181" s="75">
        <v>0</v>
      </c>
      <c r="I181" s="22">
        <v>0</v>
      </c>
      <c r="J181" s="75">
        <v>0</v>
      </c>
      <c r="K181" s="22">
        <v>0</v>
      </c>
      <c r="L181" s="22">
        <v>0</v>
      </c>
      <c r="M181" s="22">
        <v>0</v>
      </c>
      <c r="N181" s="72">
        <v>0</v>
      </c>
      <c r="O181" s="22">
        <v>0.08</v>
      </c>
    </row>
    <row r="182" spans="1:15" x14ac:dyDescent="0.2">
      <c r="B182" s="2" t="s">
        <v>172</v>
      </c>
      <c r="C182" s="7">
        <v>0</v>
      </c>
      <c r="D182" s="71">
        <v>0.04</v>
      </c>
      <c r="E182" s="71">
        <v>0.27</v>
      </c>
      <c r="F182" s="22">
        <v>0</v>
      </c>
      <c r="G182" s="22">
        <v>0.02</v>
      </c>
      <c r="H182" s="22">
        <v>0</v>
      </c>
      <c r="I182" s="22">
        <v>0</v>
      </c>
      <c r="J182" s="22">
        <v>0.01</v>
      </c>
      <c r="K182" s="22">
        <v>0</v>
      </c>
      <c r="L182" s="22">
        <v>0.06</v>
      </c>
      <c r="M182" s="22">
        <v>0</v>
      </c>
      <c r="N182" s="72">
        <v>0.06</v>
      </c>
      <c r="O182" s="22">
        <v>0.46</v>
      </c>
    </row>
    <row r="183" spans="1:15" x14ac:dyDescent="0.2">
      <c r="B183" s="2" t="s">
        <v>173</v>
      </c>
      <c r="C183" s="7">
        <v>2</v>
      </c>
      <c r="D183" s="71">
        <v>0.91</v>
      </c>
      <c r="E183" s="71">
        <v>3.07</v>
      </c>
      <c r="F183" s="22">
        <v>3.59</v>
      </c>
      <c r="G183" s="22">
        <v>0.53</v>
      </c>
      <c r="H183" s="22">
        <v>0.6</v>
      </c>
      <c r="I183" s="22">
        <v>2.39</v>
      </c>
      <c r="J183" s="22">
        <v>0.54</v>
      </c>
      <c r="K183" s="22">
        <v>1.02</v>
      </c>
      <c r="L183" s="22">
        <v>1.42</v>
      </c>
      <c r="M183" s="22">
        <v>2.34</v>
      </c>
      <c r="N183" s="72">
        <v>1.74</v>
      </c>
      <c r="O183" s="22">
        <v>20.149999999999999</v>
      </c>
    </row>
    <row r="184" spans="1:15" x14ac:dyDescent="0.2">
      <c r="C184" s="7"/>
      <c r="D184" s="71"/>
      <c r="E184" s="71"/>
    </row>
    <row r="185" spans="1:15" s="4" customFormat="1" ht="15" x14ac:dyDescent="0.25">
      <c r="A185" s="3" t="s">
        <v>174</v>
      </c>
      <c r="C185" s="5">
        <v>768.79</v>
      </c>
      <c r="D185" s="5">
        <v>649.25</v>
      </c>
      <c r="E185" s="5">
        <v>698.13999999999987</v>
      </c>
      <c r="F185" s="21">
        <v>810.9799999999999</v>
      </c>
      <c r="G185" s="21">
        <v>888.26</v>
      </c>
      <c r="H185" s="21">
        <v>696.61</v>
      </c>
      <c r="I185" s="21">
        <v>893.64</v>
      </c>
      <c r="J185" s="21">
        <v>649.19999999999993</v>
      </c>
      <c r="K185" s="21">
        <v>1006.17</v>
      </c>
      <c r="L185" s="21">
        <v>814.24</v>
      </c>
      <c r="M185" s="21">
        <v>919.32999999999993</v>
      </c>
      <c r="N185" s="70">
        <v>560.86999999999989</v>
      </c>
      <c r="O185" s="21">
        <v>9355.4799999999977</v>
      </c>
    </row>
    <row r="186" spans="1:15" x14ac:dyDescent="0.2">
      <c r="B186" s="2" t="s">
        <v>175</v>
      </c>
      <c r="C186" s="7">
        <v>20.2</v>
      </c>
      <c r="D186" s="71">
        <v>16.39</v>
      </c>
      <c r="E186" s="71">
        <v>17.27</v>
      </c>
      <c r="F186" s="22">
        <v>15.53</v>
      </c>
      <c r="G186" s="22">
        <v>16.93</v>
      </c>
      <c r="H186" s="22">
        <v>23.52</v>
      </c>
      <c r="I186" s="22">
        <v>31.77</v>
      </c>
      <c r="J186" s="22">
        <v>19.920000000000002</v>
      </c>
      <c r="K186" s="22">
        <v>29.66</v>
      </c>
      <c r="L186" s="22">
        <v>27.46</v>
      </c>
      <c r="M186" s="22">
        <v>33.46</v>
      </c>
      <c r="N186" s="72">
        <v>15.26</v>
      </c>
      <c r="O186" s="22">
        <v>267.37</v>
      </c>
    </row>
    <row r="187" spans="1:15" x14ac:dyDescent="0.2">
      <c r="B187" s="2" t="s">
        <v>176</v>
      </c>
      <c r="C187" s="7">
        <v>6.88</v>
      </c>
      <c r="D187" s="71">
        <v>4.43</v>
      </c>
      <c r="E187" s="71">
        <v>4.8</v>
      </c>
      <c r="F187" s="22">
        <v>12.53</v>
      </c>
      <c r="G187" s="22">
        <v>5.54</v>
      </c>
      <c r="H187" s="22">
        <v>2.31</v>
      </c>
      <c r="I187" s="22">
        <v>11.48</v>
      </c>
      <c r="J187" s="22">
        <v>4.1500000000000004</v>
      </c>
      <c r="K187" s="22">
        <v>7.33</v>
      </c>
      <c r="L187" s="22">
        <v>3.78</v>
      </c>
      <c r="M187" s="22">
        <v>11.84</v>
      </c>
      <c r="N187" s="72">
        <v>3.36</v>
      </c>
      <c r="O187" s="22">
        <v>78.429999999999993</v>
      </c>
    </row>
    <row r="188" spans="1:15" x14ac:dyDescent="0.2">
      <c r="B188" s="2" t="s">
        <v>177</v>
      </c>
      <c r="C188" s="7">
        <v>47.12</v>
      </c>
      <c r="D188" s="71">
        <v>46.86</v>
      </c>
      <c r="E188" s="71">
        <v>53.41</v>
      </c>
      <c r="F188" s="22">
        <v>60.71</v>
      </c>
      <c r="G188" s="22">
        <v>64.42</v>
      </c>
      <c r="H188" s="22">
        <v>49.39</v>
      </c>
      <c r="I188" s="22">
        <v>60.07</v>
      </c>
      <c r="J188" s="22">
        <v>49.15</v>
      </c>
      <c r="K188" s="22">
        <v>84.44</v>
      </c>
      <c r="L188" s="22">
        <v>92.6</v>
      </c>
      <c r="M188" s="22">
        <v>56.46</v>
      </c>
      <c r="N188" s="72">
        <v>24.09</v>
      </c>
      <c r="O188" s="22">
        <v>688.72</v>
      </c>
    </row>
    <row r="189" spans="1:15" x14ac:dyDescent="0.2">
      <c r="B189" s="2" t="s">
        <v>178</v>
      </c>
      <c r="C189" s="7">
        <v>602.07000000000005</v>
      </c>
      <c r="D189" s="71">
        <v>515.79</v>
      </c>
      <c r="E189" s="71">
        <v>538.41</v>
      </c>
      <c r="F189" s="22">
        <v>606.49</v>
      </c>
      <c r="G189" s="22">
        <v>700.62</v>
      </c>
      <c r="H189" s="22">
        <v>553.83000000000004</v>
      </c>
      <c r="I189" s="22">
        <v>672.97</v>
      </c>
      <c r="J189" s="22">
        <v>507.26</v>
      </c>
      <c r="K189" s="22">
        <v>761.07</v>
      </c>
      <c r="L189" s="22">
        <v>605.30999999999995</v>
      </c>
      <c r="M189" s="22">
        <v>717.9</v>
      </c>
      <c r="N189" s="72">
        <v>453.03</v>
      </c>
      <c r="O189" s="22">
        <v>7234.7499999999991</v>
      </c>
    </row>
    <row r="190" spans="1:15" x14ac:dyDescent="0.2">
      <c r="B190" s="2" t="s">
        <v>179</v>
      </c>
      <c r="C190" s="7">
        <v>0.08</v>
      </c>
      <c r="D190" s="71">
        <v>0.09</v>
      </c>
      <c r="E190" s="71">
        <v>0.05</v>
      </c>
      <c r="F190" s="22">
        <v>0.05</v>
      </c>
      <c r="G190" s="22">
        <v>0.04</v>
      </c>
      <c r="H190" s="22">
        <v>0.05</v>
      </c>
      <c r="I190" s="22">
        <v>0.08</v>
      </c>
      <c r="J190" s="22">
        <v>0.04</v>
      </c>
      <c r="K190" s="22">
        <v>0.01</v>
      </c>
      <c r="L190" s="22">
        <v>0</v>
      </c>
      <c r="M190" s="22">
        <v>0.02</v>
      </c>
      <c r="N190" s="72">
        <v>7.0000000000000007E-2</v>
      </c>
      <c r="O190" s="22">
        <v>0.57999999999999985</v>
      </c>
    </row>
    <row r="191" spans="1:15" x14ac:dyDescent="0.2">
      <c r="B191" s="2" t="s">
        <v>180</v>
      </c>
      <c r="C191" s="7">
        <v>92.43</v>
      </c>
      <c r="D191" s="71">
        <v>65.69</v>
      </c>
      <c r="E191" s="71">
        <v>84.18</v>
      </c>
      <c r="F191" s="22">
        <v>115.67</v>
      </c>
      <c r="G191" s="22">
        <v>100.71</v>
      </c>
      <c r="H191" s="22">
        <v>67.510000000000005</v>
      </c>
      <c r="I191" s="22">
        <v>117.27</v>
      </c>
      <c r="J191" s="22">
        <v>68.66</v>
      </c>
      <c r="K191" s="22">
        <v>123.6</v>
      </c>
      <c r="L191" s="22">
        <v>85.07</v>
      </c>
      <c r="M191" s="22">
        <v>99.64</v>
      </c>
      <c r="N191" s="72">
        <v>65.040000000000006</v>
      </c>
      <c r="O191" s="22">
        <v>1085.47</v>
      </c>
    </row>
    <row r="192" spans="1:15" x14ac:dyDescent="0.2">
      <c r="B192" s="2" t="s">
        <v>181</v>
      </c>
      <c r="C192" s="7">
        <v>0.01</v>
      </c>
      <c r="D192" s="71">
        <v>0</v>
      </c>
      <c r="E192" s="71">
        <v>0.02</v>
      </c>
      <c r="F192" s="22">
        <v>0</v>
      </c>
      <c r="G192" s="22">
        <v>0</v>
      </c>
      <c r="H192" s="22">
        <v>0</v>
      </c>
      <c r="I192" s="22">
        <v>0</v>
      </c>
      <c r="J192" s="22">
        <v>0.02</v>
      </c>
      <c r="K192" s="22">
        <v>0.06</v>
      </c>
      <c r="L192" s="22">
        <v>0.02</v>
      </c>
      <c r="M192" s="22">
        <v>0.01</v>
      </c>
      <c r="N192" s="72">
        <v>0.02</v>
      </c>
      <c r="O192" s="22">
        <v>0.16</v>
      </c>
    </row>
    <row r="193" spans="1:15" x14ac:dyDescent="0.2">
      <c r="C193" s="7"/>
      <c r="D193" s="71"/>
      <c r="E193" s="71"/>
    </row>
    <row r="194" spans="1:15" s="4" customFormat="1" ht="15" x14ac:dyDescent="0.25">
      <c r="A194" s="3" t="s">
        <v>182</v>
      </c>
      <c r="C194" s="5">
        <v>23.249999999999993</v>
      </c>
      <c r="D194" s="5">
        <v>25.45</v>
      </c>
      <c r="E194" s="5">
        <v>20.150000000000002</v>
      </c>
      <c r="F194" s="21">
        <v>43.790000000000006</v>
      </c>
      <c r="G194" s="21">
        <v>49.079999999999984</v>
      </c>
      <c r="H194" s="21">
        <v>31.729999999999997</v>
      </c>
      <c r="I194" s="21">
        <v>51.68</v>
      </c>
      <c r="J194" s="21">
        <v>45.56</v>
      </c>
      <c r="K194" s="21">
        <v>38.420000000000009</v>
      </c>
      <c r="L194" s="21">
        <v>26.080000000000002</v>
      </c>
      <c r="M194" s="21">
        <v>132.84000000000003</v>
      </c>
      <c r="N194" s="70">
        <v>34.720000000000006</v>
      </c>
      <c r="O194" s="21">
        <v>522.75</v>
      </c>
    </row>
    <row r="195" spans="1:15" x14ac:dyDescent="0.2">
      <c r="B195" s="2" t="s">
        <v>183</v>
      </c>
      <c r="C195" s="7">
        <v>0.01</v>
      </c>
      <c r="D195" s="71">
        <v>0.01</v>
      </c>
      <c r="E195" s="80">
        <v>0</v>
      </c>
      <c r="F195" s="22">
        <v>0</v>
      </c>
      <c r="G195" s="75">
        <v>0.01</v>
      </c>
      <c r="H195" s="75">
        <v>0</v>
      </c>
      <c r="I195" s="22">
        <v>0.82</v>
      </c>
      <c r="J195" s="22">
        <v>0</v>
      </c>
      <c r="K195" s="22">
        <v>0.92</v>
      </c>
      <c r="L195" s="75">
        <v>3.46</v>
      </c>
      <c r="M195" s="22">
        <v>0.02</v>
      </c>
      <c r="N195" s="72">
        <v>0.03</v>
      </c>
      <c r="O195" s="22">
        <v>5.28</v>
      </c>
    </row>
    <row r="196" spans="1:15" x14ac:dyDescent="0.2">
      <c r="B196" s="2" t="s">
        <v>184</v>
      </c>
      <c r="C196" s="80">
        <v>0.01</v>
      </c>
      <c r="D196" s="80">
        <v>0</v>
      </c>
      <c r="E196" s="71">
        <v>0.04</v>
      </c>
      <c r="F196" s="75">
        <v>0</v>
      </c>
      <c r="G196" s="22">
        <v>0</v>
      </c>
      <c r="H196" s="75">
        <v>0</v>
      </c>
      <c r="I196" s="22">
        <v>0</v>
      </c>
      <c r="J196" s="22">
        <v>0</v>
      </c>
      <c r="K196" s="22">
        <v>0.01</v>
      </c>
      <c r="L196" s="22">
        <v>0.01</v>
      </c>
      <c r="M196" s="75">
        <v>0.01</v>
      </c>
      <c r="N196" s="72">
        <v>0</v>
      </c>
      <c r="O196" s="22">
        <v>0.08</v>
      </c>
    </row>
    <row r="197" spans="1:15" x14ac:dyDescent="0.2">
      <c r="B197" s="2" t="s">
        <v>185</v>
      </c>
      <c r="C197" s="7">
        <v>0.02</v>
      </c>
      <c r="D197" s="71">
        <v>0.01</v>
      </c>
      <c r="E197" s="71">
        <v>0</v>
      </c>
      <c r="F197" s="22">
        <v>0</v>
      </c>
      <c r="G197" s="22">
        <v>0.01</v>
      </c>
      <c r="H197" s="75">
        <v>0</v>
      </c>
      <c r="I197" s="22">
        <v>0</v>
      </c>
      <c r="J197" s="75">
        <v>0</v>
      </c>
      <c r="K197" s="22">
        <v>0</v>
      </c>
      <c r="L197" s="22">
        <v>0.02</v>
      </c>
      <c r="M197" s="22">
        <v>0</v>
      </c>
      <c r="N197" s="72">
        <v>0</v>
      </c>
      <c r="O197" s="22">
        <v>0.06</v>
      </c>
    </row>
    <row r="198" spans="1:15" x14ac:dyDescent="0.2">
      <c r="B198" s="2" t="s">
        <v>186</v>
      </c>
      <c r="C198" s="7">
        <v>0</v>
      </c>
      <c r="D198" s="7">
        <v>0</v>
      </c>
      <c r="E198" s="71">
        <v>0</v>
      </c>
      <c r="F198" s="22">
        <v>0</v>
      </c>
      <c r="G198" s="75">
        <v>0.01</v>
      </c>
      <c r="H198" s="75">
        <v>0</v>
      </c>
      <c r="I198" s="22">
        <v>0</v>
      </c>
      <c r="J198" s="75">
        <v>0</v>
      </c>
      <c r="K198" s="22">
        <v>0</v>
      </c>
      <c r="L198" s="22">
        <v>0.01</v>
      </c>
      <c r="M198" s="22">
        <v>0</v>
      </c>
      <c r="N198" s="72">
        <v>0</v>
      </c>
      <c r="O198" s="22">
        <v>0.02</v>
      </c>
    </row>
    <row r="199" spans="1:15" x14ac:dyDescent="0.2">
      <c r="B199" s="2" t="s">
        <v>187</v>
      </c>
      <c r="C199" s="7">
        <v>4.4800000000000004</v>
      </c>
      <c r="D199" s="71">
        <v>8.01</v>
      </c>
      <c r="E199" s="71">
        <v>0</v>
      </c>
      <c r="F199" s="22">
        <v>21.4</v>
      </c>
      <c r="G199" s="22">
        <v>15.06</v>
      </c>
      <c r="H199" s="75">
        <v>5.61</v>
      </c>
      <c r="I199" s="22">
        <v>3.05</v>
      </c>
      <c r="J199" s="75">
        <v>24.23</v>
      </c>
      <c r="K199" s="22">
        <v>15.99</v>
      </c>
      <c r="L199" s="22">
        <v>1.96</v>
      </c>
      <c r="M199" s="75">
        <v>113.15</v>
      </c>
      <c r="N199" s="72">
        <v>20.18</v>
      </c>
      <c r="O199" s="22">
        <v>233.12</v>
      </c>
    </row>
    <row r="200" spans="1:15" x14ac:dyDescent="0.2">
      <c r="B200" s="2" t="s">
        <v>188</v>
      </c>
      <c r="C200" s="7">
        <v>0.02</v>
      </c>
      <c r="D200" s="71">
        <v>0.01</v>
      </c>
      <c r="E200" s="71">
        <v>0.02</v>
      </c>
      <c r="F200" s="75">
        <v>0.03</v>
      </c>
      <c r="G200" s="22">
        <v>0</v>
      </c>
      <c r="H200" s="22">
        <v>0.02</v>
      </c>
      <c r="I200" s="22">
        <v>0.02</v>
      </c>
      <c r="J200" s="75">
        <v>0.01</v>
      </c>
      <c r="K200" s="22">
        <v>0.02</v>
      </c>
      <c r="L200" s="22">
        <v>0.01</v>
      </c>
      <c r="M200" s="22">
        <v>0.01</v>
      </c>
      <c r="N200" s="72">
        <v>0.01</v>
      </c>
      <c r="O200" s="22">
        <v>0.18000000000000002</v>
      </c>
    </row>
    <row r="201" spans="1:15" x14ac:dyDescent="0.2">
      <c r="B201" s="2" t="s">
        <v>189</v>
      </c>
      <c r="C201" s="80">
        <v>0</v>
      </c>
      <c r="D201" s="80">
        <v>0.02</v>
      </c>
      <c r="E201" s="71">
        <v>0</v>
      </c>
      <c r="F201" s="75">
        <v>0</v>
      </c>
      <c r="G201" s="75">
        <v>0.02</v>
      </c>
      <c r="H201" s="75">
        <v>0.01</v>
      </c>
      <c r="I201" s="22">
        <v>0.13</v>
      </c>
      <c r="J201" s="75">
        <v>0</v>
      </c>
      <c r="K201" s="22">
        <v>0.02</v>
      </c>
      <c r="L201" s="22">
        <v>7.0000000000000007E-2</v>
      </c>
      <c r="M201" s="75">
        <v>0.03</v>
      </c>
      <c r="N201" s="72">
        <v>7.0000000000000007E-2</v>
      </c>
      <c r="O201" s="22">
        <v>0.37000000000000005</v>
      </c>
    </row>
    <row r="202" spans="1:15" x14ac:dyDescent="0.2">
      <c r="B202" s="2" t="s">
        <v>190</v>
      </c>
      <c r="C202" s="7">
        <v>7.49</v>
      </c>
      <c r="D202" s="71">
        <v>3.88</v>
      </c>
      <c r="E202" s="71">
        <v>7.69</v>
      </c>
      <c r="F202" s="22">
        <v>9.85</v>
      </c>
      <c r="G202" s="22">
        <v>7.95</v>
      </c>
      <c r="H202" s="22">
        <v>8.27</v>
      </c>
      <c r="I202" s="22">
        <v>22.81</v>
      </c>
      <c r="J202" s="22">
        <v>6.66</v>
      </c>
      <c r="K202" s="22">
        <v>9.1300000000000008</v>
      </c>
      <c r="L202" s="22">
        <v>7.5</v>
      </c>
      <c r="M202" s="22">
        <v>7.44</v>
      </c>
      <c r="N202" s="72">
        <v>8.18</v>
      </c>
      <c r="O202" s="22">
        <v>106.85</v>
      </c>
    </row>
    <row r="203" spans="1:15" x14ac:dyDescent="0.2">
      <c r="B203" s="2" t="s">
        <v>191</v>
      </c>
      <c r="C203" s="7">
        <v>0.01</v>
      </c>
      <c r="D203" s="7">
        <v>0</v>
      </c>
      <c r="E203" s="80">
        <v>0</v>
      </c>
      <c r="F203" s="75">
        <v>0</v>
      </c>
      <c r="G203" s="75">
        <v>0</v>
      </c>
      <c r="H203" s="22">
        <v>0</v>
      </c>
      <c r="I203" s="22">
        <v>0</v>
      </c>
      <c r="J203" s="22">
        <v>0</v>
      </c>
      <c r="K203" s="22">
        <v>0</v>
      </c>
      <c r="L203" s="22">
        <v>0</v>
      </c>
      <c r="M203" s="22">
        <v>0</v>
      </c>
      <c r="N203" s="72">
        <v>0</v>
      </c>
      <c r="O203" s="22">
        <v>0.01</v>
      </c>
    </row>
    <row r="204" spans="1:15" x14ac:dyDescent="0.2">
      <c r="B204" s="2" t="s">
        <v>192</v>
      </c>
      <c r="C204" s="7">
        <v>0</v>
      </c>
      <c r="D204" s="7">
        <v>0</v>
      </c>
      <c r="E204" s="71">
        <v>0</v>
      </c>
      <c r="F204" s="75">
        <v>0</v>
      </c>
      <c r="G204" s="75">
        <v>0</v>
      </c>
      <c r="H204" s="22">
        <v>0</v>
      </c>
      <c r="I204" s="22">
        <v>0</v>
      </c>
      <c r="J204" s="75">
        <v>0</v>
      </c>
      <c r="K204" s="22">
        <v>0</v>
      </c>
      <c r="L204" s="22">
        <v>0</v>
      </c>
      <c r="M204" s="22">
        <v>0</v>
      </c>
      <c r="N204" s="72">
        <v>0</v>
      </c>
      <c r="O204" s="22">
        <v>0</v>
      </c>
    </row>
    <row r="205" spans="1:15" x14ac:dyDescent="0.2">
      <c r="B205" s="2" t="s">
        <v>193</v>
      </c>
      <c r="C205" s="7">
        <v>0</v>
      </c>
      <c r="D205" s="7">
        <v>0</v>
      </c>
      <c r="E205" s="71">
        <v>0</v>
      </c>
      <c r="F205" s="75">
        <v>0</v>
      </c>
      <c r="G205" s="75">
        <v>0</v>
      </c>
      <c r="H205" s="75">
        <v>0</v>
      </c>
      <c r="I205" s="22">
        <v>0</v>
      </c>
      <c r="J205" s="75">
        <v>0</v>
      </c>
      <c r="K205" s="22">
        <v>0</v>
      </c>
      <c r="L205" s="22">
        <v>0</v>
      </c>
      <c r="M205" s="22">
        <v>0</v>
      </c>
      <c r="N205" s="72">
        <v>0</v>
      </c>
      <c r="O205" s="22">
        <v>0</v>
      </c>
    </row>
    <row r="206" spans="1:15" x14ac:dyDescent="0.2">
      <c r="B206" s="2" t="s">
        <v>712</v>
      </c>
      <c r="C206" s="7">
        <v>0.02</v>
      </c>
      <c r="D206" s="71">
        <v>0</v>
      </c>
      <c r="E206" s="71">
        <v>0.02</v>
      </c>
      <c r="F206" s="75">
        <v>0.02</v>
      </c>
      <c r="G206" s="22">
        <v>0.01</v>
      </c>
      <c r="H206" s="22">
        <v>0</v>
      </c>
      <c r="I206" s="22">
        <v>0.04</v>
      </c>
      <c r="J206" s="22">
        <v>0</v>
      </c>
      <c r="K206" s="22">
        <v>0</v>
      </c>
      <c r="L206" s="22">
        <v>0</v>
      </c>
      <c r="M206" s="22">
        <v>0</v>
      </c>
      <c r="N206" s="72">
        <v>0</v>
      </c>
      <c r="O206" s="22">
        <v>0.10999999999999999</v>
      </c>
    </row>
    <row r="207" spans="1:15" x14ac:dyDescent="0.2">
      <c r="B207" s="2" t="s">
        <v>195</v>
      </c>
      <c r="C207" s="7">
        <v>0.26</v>
      </c>
      <c r="D207" s="71">
        <v>0.14000000000000001</v>
      </c>
      <c r="E207" s="71">
        <v>0.04</v>
      </c>
      <c r="F207" s="22">
        <v>0.56000000000000005</v>
      </c>
      <c r="G207" s="22">
        <v>20.12</v>
      </c>
      <c r="H207" s="22">
        <v>0.13</v>
      </c>
      <c r="I207" s="22">
        <v>0.16</v>
      </c>
      <c r="J207" s="22">
        <v>0.62</v>
      </c>
      <c r="K207" s="22">
        <v>0.28999999999999998</v>
      </c>
      <c r="L207" s="22">
        <v>0.09</v>
      </c>
      <c r="M207" s="22">
        <v>0.95</v>
      </c>
      <c r="N207" s="72">
        <v>0.36</v>
      </c>
      <c r="O207" s="22">
        <v>23.72</v>
      </c>
    </row>
    <row r="208" spans="1:15" x14ac:dyDescent="0.2">
      <c r="B208" s="2" t="s">
        <v>196</v>
      </c>
      <c r="C208" s="7">
        <v>0</v>
      </c>
      <c r="D208" s="7">
        <v>0</v>
      </c>
      <c r="E208" s="71">
        <v>0</v>
      </c>
      <c r="F208" s="22">
        <v>0</v>
      </c>
      <c r="G208" s="75">
        <v>0</v>
      </c>
      <c r="H208" s="75">
        <v>0</v>
      </c>
      <c r="I208" s="22">
        <v>0</v>
      </c>
      <c r="J208" s="75">
        <v>0</v>
      </c>
      <c r="K208" s="22">
        <v>0</v>
      </c>
      <c r="L208" s="22">
        <v>0</v>
      </c>
      <c r="M208" s="22">
        <v>0</v>
      </c>
      <c r="N208" s="72">
        <v>0</v>
      </c>
      <c r="O208" s="22">
        <v>0</v>
      </c>
    </row>
    <row r="209" spans="2:15" x14ac:dyDescent="0.2">
      <c r="B209" s="2" t="s">
        <v>197</v>
      </c>
      <c r="C209" s="7">
        <v>0.02</v>
      </c>
      <c r="D209" s="7">
        <v>0</v>
      </c>
      <c r="E209" s="71">
        <v>0</v>
      </c>
      <c r="F209" s="75">
        <v>0.03</v>
      </c>
      <c r="G209" s="75">
        <v>0.01</v>
      </c>
      <c r="H209" s="75">
        <v>0</v>
      </c>
      <c r="I209" s="22">
        <v>0.01</v>
      </c>
      <c r="J209" s="75">
        <v>0</v>
      </c>
      <c r="K209" s="22">
        <v>0</v>
      </c>
      <c r="L209" s="22">
        <v>0</v>
      </c>
      <c r="M209" s="22">
        <v>0</v>
      </c>
      <c r="N209" s="72">
        <v>0</v>
      </c>
      <c r="O209" s="22">
        <v>7.0000000000000007E-2</v>
      </c>
    </row>
    <row r="210" spans="2:15" x14ac:dyDescent="0.2">
      <c r="B210" s="2" t="s">
        <v>198</v>
      </c>
      <c r="C210" s="7">
        <v>0</v>
      </c>
      <c r="D210" s="7">
        <v>0</v>
      </c>
      <c r="E210" s="71">
        <v>0</v>
      </c>
      <c r="F210" s="75">
        <v>0</v>
      </c>
      <c r="G210" s="22">
        <v>0</v>
      </c>
      <c r="H210" s="75">
        <v>0</v>
      </c>
      <c r="I210" s="22">
        <v>0.01</v>
      </c>
      <c r="J210" s="75">
        <v>0</v>
      </c>
      <c r="K210" s="22">
        <v>0.03</v>
      </c>
      <c r="L210" s="22">
        <v>0</v>
      </c>
      <c r="M210" s="22">
        <v>0</v>
      </c>
      <c r="N210" s="72">
        <v>0</v>
      </c>
      <c r="O210" s="22">
        <v>0.04</v>
      </c>
    </row>
    <row r="211" spans="2:15" x14ac:dyDescent="0.2">
      <c r="B211" s="2" t="s">
        <v>199</v>
      </c>
      <c r="C211" s="7">
        <v>0.09</v>
      </c>
      <c r="D211" s="7">
        <v>0.56000000000000005</v>
      </c>
      <c r="E211" s="71">
        <v>0.18</v>
      </c>
      <c r="F211" s="22">
        <v>0.04</v>
      </c>
      <c r="G211" s="22">
        <v>0.05</v>
      </c>
      <c r="H211" s="22">
        <v>0.11</v>
      </c>
      <c r="I211" s="22">
        <v>0.69</v>
      </c>
      <c r="J211" s="22">
        <v>0.05</v>
      </c>
      <c r="K211" s="22">
        <v>0.16</v>
      </c>
      <c r="L211" s="22">
        <v>0.22</v>
      </c>
      <c r="M211" s="22">
        <v>0.11</v>
      </c>
      <c r="N211" s="72">
        <v>0</v>
      </c>
      <c r="O211" s="22">
        <v>2.2600000000000002</v>
      </c>
    </row>
    <row r="212" spans="2:15" x14ac:dyDescent="0.2">
      <c r="B212" s="2" t="s">
        <v>200</v>
      </c>
      <c r="C212" s="7">
        <v>0.02</v>
      </c>
      <c r="D212" s="71">
        <v>0</v>
      </c>
      <c r="E212" s="71">
        <v>0</v>
      </c>
      <c r="F212" s="22">
        <v>0.02</v>
      </c>
      <c r="G212" s="22">
        <v>0</v>
      </c>
      <c r="H212" s="22">
        <v>0.02</v>
      </c>
      <c r="I212" s="22">
        <v>0.77</v>
      </c>
      <c r="J212" s="22">
        <v>0</v>
      </c>
      <c r="K212" s="22">
        <v>0.03</v>
      </c>
      <c r="L212" s="22">
        <v>0.01</v>
      </c>
      <c r="M212" s="22">
        <v>0.01</v>
      </c>
      <c r="N212" s="72">
        <v>0.01</v>
      </c>
      <c r="O212" s="22">
        <v>0.89000000000000012</v>
      </c>
    </row>
    <row r="213" spans="2:15" x14ac:dyDescent="0.2">
      <c r="B213" s="2" t="s">
        <v>201</v>
      </c>
      <c r="C213" s="7">
        <v>0</v>
      </c>
      <c r="D213" s="7">
        <v>0</v>
      </c>
      <c r="E213" s="71">
        <v>0</v>
      </c>
      <c r="F213" s="75">
        <v>0</v>
      </c>
      <c r="G213" s="75">
        <v>0</v>
      </c>
      <c r="H213" s="75">
        <v>0</v>
      </c>
      <c r="I213" s="22">
        <v>0</v>
      </c>
      <c r="J213" s="75">
        <v>0</v>
      </c>
      <c r="K213" s="22">
        <v>0</v>
      </c>
      <c r="L213" s="22">
        <v>0</v>
      </c>
      <c r="M213" s="22">
        <v>0</v>
      </c>
      <c r="N213" s="72">
        <v>0</v>
      </c>
      <c r="O213" s="22">
        <v>0</v>
      </c>
    </row>
    <row r="214" spans="2:15" x14ac:dyDescent="0.2">
      <c r="B214" s="2" t="s">
        <v>202</v>
      </c>
      <c r="C214" s="7">
        <v>0</v>
      </c>
      <c r="D214" s="7">
        <v>0</v>
      </c>
      <c r="E214" s="71">
        <v>0</v>
      </c>
      <c r="F214" s="75">
        <v>0</v>
      </c>
      <c r="G214" s="75">
        <v>0</v>
      </c>
      <c r="H214" s="75">
        <v>0</v>
      </c>
      <c r="I214" s="22">
        <v>0</v>
      </c>
      <c r="J214" s="75">
        <v>0</v>
      </c>
      <c r="K214" s="22">
        <v>0</v>
      </c>
      <c r="L214" s="22">
        <v>0</v>
      </c>
      <c r="M214" s="22">
        <v>0</v>
      </c>
      <c r="N214" s="72">
        <v>0</v>
      </c>
      <c r="O214" s="22">
        <v>0</v>
      </c>
    </row>
    <row r="215" spans="2:15" x14ac:dyDescent="0.2">
      <c r="B215" s="2" t="s">
        <v>203</v>
      </c>
      <c r="C215" s="7">
        <v>0</v>
      </c>
      <c r="D215" s="7">
        <v>0</v>
      </c>
      <c r="E215" s="71">
        <v>0</v>
      </c>
      <c r="F215" s="75">
        <v>0</v>
      </c>
      <c r="G215" s="22">
        <v>0</v>
      </c>
      <c r="H215" s="22">
        <v>0</v>
      </c>
      <c r="I215" s="22">
        <v>0.02</v>
      </c>
      <c r="J215" s="22">
        <v>0</v>
      </c>
      <c r="K215" s="22">
        <v>0</v>
      </c>
      <c r="L215" s="22">
        <v>0</v>
      </c>
      <c r="M215" s="75">
        <v>0.01</v>
      </c>
      <c r="N215" s="72">
        <v>0</v>
      </c>
      <c r="O215" s="22">
        <v>0.03</v>
      </c>
    </row>
    <row r="216" spans="2:15" x14ac:dyDescent="0.2">
      <c r="B216" s="2" t="s">
        <v>204</v>
      </c>
      <c r="C216" s="7">
        <v>0</v>
      </c>
      <c r="D216" s="7">
        <v>0</v>
      </c>
      <c r="E216" s="71">
        <v>0</v>
      </c>
      <c r="F216" s="22">
        <v>0</v>
      </c>
      <c r="G216" s="75">
        <v>0</v>
      </c>
      <c r="H216" s="75">
        <v>0</v>
      </c>
      <c r="I216" s="22">
        <v>0</v>
      </c>
      <c r="J216" s="22">
        <v>0</v>
      </c>
      <c r="K216" s="22">
        <v>0</v>
      </c>
      <c r="L216" s="22">
        <v>0</v>
      </c>
      <c r="M216" s="22">
        <v>0</v>
      </c>
      <c r="N216" s="72">
        <v>0</v>
      </c>
      <c r="O216" s="22">
        <v>0</v>
      </c>
    </row>
    <row r="217" spans="2:15" x14ac:dyDescent="0.2">
      <c r="B217" s="2" t="s">
        <v>205</v>
      </c>
      <c r="C217" s="7">
        <v>0.01</v>
      </c>
      <c r="D217" s="7">
        <v>0</v>
      </c>
      <c r="E217" s="71">
        <v>0</v>
      </c>
      <c r="F217" s="75">
        <v>0.01</v>
      </c>
      <c r="G217" s="22">
        <v>0.01</v>
      </c>
      <c r="H217" s="75">
        <v>0</v>
      </c>
      <c r="I217" s="22">
        <v>0</v>
      </c>
      <c r="J217" s="75">
        <v>0.1</v>
      </c>
      <c r="K217" s="22">
        <v>0</v>
      </c>
      <c r="L217" s="22">
        <v>0</v>
      </c>
      <c r="M217" s="75">
        <v>0</v>
      </c>
      <c r="N217" s="72">
        <v>0</v>
      </c>
      <c r="O217" s="22">
        <v>0.13</v>
      </c>
    </row>
    <row r="218" spans="2:15" x14ac:dyDescent="0.2">
      <c r="B218" s="2" t="s">
        <v>228</v>
      </c>
      <c r="C218" s="7">
        <v>0.12</v>
      </c>
      <c r="D218" s="71">
        <v>0.18</v>
      </c>
      <c r="E218" s="71">
        <v>0.17</v>
      </c>
      <c r="F218" s="22">
        <v>0.15</v>
      </c>
      <c r="G218" s="22">
        <v>0.11</v>
      </c>
      <c r="H218" s="22">
        <v>0.1</v>
      </c>
      <c r="I218" s="22">
        <v>0.21</v>
      </c>
      <c r="J218" s="22">
        <v>0.11</v>
      </c>
      <c r="K218" s="22">
        <v>0.17</v>
      </c>
      <c r="L218" s="22">
        <v>0.14000000000000001</v>
      </c>
      <c r="M218" s="22">
        <v>0.17</v>
      </c>
      <c r="N218" s="72">
        <v>0.12</v>
      </c>
      <c r="O218" s="22">
        <v>1.75</v>
      </c>
    </row>
    <row r="219" spans="2:15" x14ac:dyDescent="0.2">
      <c r="B219" s="2" t="s">
        <v>207</v>
      </c>
      <c r="C219" s="7">
        <v>0</v>
      </c>
      <c r="D219" s="7">
        <v>0</v>
      </c>
      <c r="E219" s="71">
        <v>0</v>
      </c>
      <c r="F219" s="75">
        <v>0</v>
      </c>
      <c r="G219" s="22">
        <v>0</v>
      </c>
      <c r="H219" s="75">
        <v>0</v>
      </c>
      <c r="I219" s="22">
        <v>0</v>
      </c>
      <c r="J219" s="75">
        <v>0</v>
      </c>
      <c r="K219" s="22">
        <v>0</v>
      </c>
      <c r="L219" s="22">
        <v>0.01</v>
      </c>
      <c r="M219" s="75">
        <v>0</v>
      </c>
      <c r="N219" s="72">
        <v>0</v>
      </c>
      <c r="O219" s="22">
        <v>0.01</v>
      </c>
    </row>
    <row r="220" spans="2:15" ht="30" x14ac:dyDescent="0.25">
      <c r="B220" s="117" t="s">
        <v>711</v>
      </c>
      <c r="C220" s="7">
        <v>0</v>
      </c>
      <c r="D220" s="7">
        <v>0</v>
      </c>
      <c r="E220" s="71">
        <v>0</v>
      </c>
      <c r="F220" s="75">
        <v>0</v>
      </c>
      <c r="G220" s="75">
        <v>0</v>
      </c>
      <c r="H220" s="75">
        <v>0</v>
      </c>
      <c r="I220" s="22">
        <v>0</v>
      </c>
      <c r="J220" s="22">
        <v>0</v>
      </c>
      <c r="K220" s="22">
        <v>0</v>
      </c>
      <c r="L220" s="22">
        <v>0</v>
      </c>
      <c r="M220" s="75">
        <v>0</v>
      </c>
      <c r="N220" s="72">
        <v>0</v>
      </c>
      <c r="O220" s="22">
        <v>0</v>
      </c>
    </row>
    <row r="221" spans="2:15" x14ac:dyDescent="0.2">
      <c r="B221" s="2" t="s">
        <v>209</v>
      </c>
      <c r="C221" s="7">
        <v>0</v>
      </c>
      <c r="D221" s="80">
        <v>5</v>
      </c>
      <c r="E221" s="71">
        <v>0</v>
      </c>
      <c r="F221" s="75">
        <v>0</v>
      </c>
      <c r="G221" s="75">
        <v>0</v>
      </c>
      <c r="H221" s="75">
        <v>0</v>
      </c>
      <c r="I221" s="22">
        <v>0</v>
      </c>
      <c r="J221" s="22">
        <v>0</v>
      </c>
      <c r="K221" s="22">
        <v>0</v>
      </c>
      <c r="L221" s="22">
        <v>0</v>
      </c>
      <c r="M221" s="75">
        <v>0</v>
      </c>
      <c r="N221" s="72">
        <v>0</v>
      </c>
      <c r="O221" s="22">
        <v>5</v>
      </c>
    </row>
    <row r="222" spans="2:15" x14ac:dyDescent="0.2">
      <c r="B222" s="2" t="s">
        <v>210</v>
      </c>
      <c r="C222" s="7">
        <v>0</v>
      </c>
      <c r="D222" s="7">
        <v>2.31</v>
      </c>
      <c r="E222" s="71">
        <v>0</v>
      </c>
      <c r="F222" s="75">
        <v>0</v>
      </c>
      <c r="G222" s="75">
        <v>0</v>
      </c>
      <c r="H222" s="75">
        <v>0</v>
      </c>
      <c r="I222" s="22">
        <v>0</v>
      </c>
      <c r="J222" s="75">
        <v>0</v>
      </c>
      <c r="K222" s="22">
        <v>0</v>
      </c>
      <c r="L222" s="22">
        <v>0</v>
      </c>
      <c r="M222" s="75">
        <v>0</v>
      </c>
      <c r="N222" s="72">
        <v>0</v>
      </c>
      <c r="O222" s="22">
        <v>2.31</v>
      </c>
    </row>
    <row r="223" spans="2:15" x14ac:dyDescent="0.2">
      <c r="B223" s="2" t="s">
        <v>211</v>
      </c>
      <c r="C223" s="7">
        <v>0</v>
      </c>
      <c r="D223" s="7">
        <v>0</v>
      </c>
      <c r="E223" s="71">
        <v>0</v>
      </c>
      <c r="F223" s="22">
        <v>0</v>
      </c>
      <c r="G223" s="75">
        <v>0</v>
      </c>
      <c r="H223" s="75">
        <v>0</v>
      </c>
      <c r="I223" s="22">
        <v>0</v>
      </c>
      <c r="J223" s="75">
        <v>0</v>
      </c>
      <c r="K223" s="22">
        <v>0</v>
      </c>
      <c r="L223" s="22">
        <v>0</v>
      </c>
      <c r="M223" s="75">
        <v>0</v>
      </c>
      <c r="N223" s="72">
        <v>0</v>
      </c>
      <c r="O223" s="22">
        <v>0</v>
      </c>
    </row>
    <row r="224" spans="2:15" x14ac:dyDescent="0.2">
      <c r="B224" s="2" t="s">
        <v>212</v>
      </c>
      <c r="C224" s="80">
        <v>0</v>
      </c>
      <c r="D224" s="80">
        <v>0</v>
      </c>
      <c r="E224" s="80">
        <v>0</v>
      </c>
      <c r="F224" s="75">
        <v>0</v>
      </c>
      <c r="G224" s="22">
        <v>0.01</v>
      </c>
      <c r="H224" s="75">
        <v>0</v>
      </c>
      <c r="I224" s="22">
        <v>0.02</v>
      </c>
      <c r="J224" s="22">
        <v>0</v>
      </c>
      <c r="K224" s="22">
        <v>0</v>
      </c>
      <c r="L224" s="22">
        <v>0.01</v>
      </c>
      <c r="M224" s="22">
        <v>0.01</v>
      </c>
      <c r="N224" s="72">
        <v>0.02</v>
      </c>
      <c r="O224" s="22">
        <v>7.0000000000000007E-2</v>
      </c>
    </row>
    <row r="225" spans="1:15" ht="30" x14ac:dyDescent="0.25">
      <c r="B225" s="117" t="s">
        <v>710</v>
      </c>
      <c r="C225" s="7">
        <v>0.04</v>
      </c>
      <c r="D225" s="80">
        <v>0</v>
      </c>
      <c r="E225" s="71">
        <v>0</v>
      </c>
      <c r="F225" s="75">
        <v>0</v>
      </c>
      <c r="G225" s="22">
        <v>0</v>
      </c>
      <c r="H225" s="75">
        <v>0</v>
      </c>
      <c r="I225" s="22">
        <v>0.2</v>
      </c>
      <c r="J225" s="75">
        <v>0</v>
      </c>
      <c r="K225" s="22">
        <v>0</v>
      </c>
      <c r="L225" s="22">
        <v>0</v>
      </c>
      <c r="M225" s="22">
        <v>0</v>
      </c>
      <c r="N225" s="72">
        <v>0</v>
      </c>
      <c r="O225" s="22">
        <v>0.24000000000000002</v>
      </c>
    </row>
    <row r="226" spans="1:15" x14ac:dyDescent="0.2">
      <c r="B226" s="82" t="s">
        <v>214</v>
      </c>
      <c r="C226" s="7">
        <v>0.03</v>
      </c>
      <c r="D226" s="7">
        <v>0</v>
      </c>
      <c r="E226" s="71">
        <v>0</v>
      </c>
      <c r="F226" s="75">
        <v>0</v>
      </c>
      <c r="G226" s="22">
        <v>0</v>
      </c>
      <c r="H226" s="75">
        <v>0</v>
      </c>
      <c r="I226" s="22">
        <v>0</v>
      </c>
      <c r="J226" s="75">
        <v>0</v>
      </c>
      <c r="K226" s="22">
        <v>0</v>
      </c>
      <c r="L226" s="22">
        <v>0</v>
      </c>
      <c r="M226" s="22">
        <v>0</v>
      </c>
      <c r="N226" s="72">
        <v>0</v>
      </c>
      <c r="O226" s="22">
        <v>0.03</v>
      </c>
    </row>
    <row r="227" spans="1:15" x14ac:dyDescent="0.2">
      <c r="B227" s="2" t="s">
        <v>215</v>
      </c>
      <c r="C227" s="7">
        <v>0.04</v>
      </c>
      <c r="D227" s="71">
        <v>0.01</v>
      </c>
      <c r="E227" s="71">
        <v>0.01</v>
      </c>
      <c r="F227" s="22">
        <v>0.02</v>
      </c>
      <c r="G227" s="22">
        <v>0.04</v>
      </c>
      <c r="H227" s="75">
        <v>0</v>
      </c>
      <c r="I227" s="22">
        <v>0.02</v>
      </c>
      <c r="J227" s="75">
        <v>0</v>
      </c>
      <c r="K227" s="22">
        <v>0</v>
      </c>
      <c r="L227" s="22">
        <v>0.01</v>
      </c>
      <c r="M227" s="22">
        <v>0.02</v>
      </c>
      <c r="N227" s="72">
        <v>0</v>
      </c>
      <c r="O227" s="22">
        <v>0.16999999999999998</v>
      </c>
    </row>
    <row r="228" spans="1:15" x14ac:dyDescent="0.2">
      <c r="B228" s="82" t="s">
        <v>216</v>
      </c>
      <c r="C228" s="80">
        <v>1.08</v>
      </c>
      <c r="D228" s="7">
        <v>0</v>
      </c>
      <c r="E228" s="71">
        <v>0</v>
      </c>
      <c r="F228" s="22">
        <v>0</v>
      </c>
      <c r="G228" s="75">
        <v>0</v>
      </c>
      <c r="H228" s="75">
        <v>0</v>
      </c>
      <c r="I228" s="22">
        <v>0</v>
      </c>
      <c r="J228" s="22">
        <v>0</v>
      </c>
      <c r="K228" s="22">
        <v>0</v>
      </c>
      <c r="L228" s="22">
        <v>0</v>
      </c>
      <c r="M228" s="22">
        <v>0</v>
      </c>
      <c r="N228" s="72">
        <v>0</v>
      </c>
      <c r="O228" s="22">
        <v>1.08</v>
      </c>
    </row>
    <row r="229" spans="1:15" x14ac:dyDescent="0.2">
      <c r="B229" s="2" t="s">
        <v>217</v>
      </c>
      <c r="C229" s="7">
        <v>5.91</v>
      </c>
      <c r="D229" s="71">
        <v>4.1100000000000003</v>
      </c>
      <c r="E229" s="71">
        <v>7.56</v>
      </c>
      <c r="F229" s="22">
        <v>7.19</v>
      </c>
      <c r="G229" s="22">
        <v>3.31</v>
      </c>
      <c r="H229" s="22">
        <v>2.67</v>
      </c>
      <c r="I229" s="22">
        <v>7.98</v>
      </c>
      <c r="J229" s="22">
        <v>7.19</v>
      </c>
      <c r="K229" s="22">
        <v>8.8000000000000007</v>
      </c>
      <c r="L229" s="22">
        <v>5.32</v>
      </c>
      <c r="M229" s="22">
        <v>4.82</v>
      </c>
      <c r="N229" s="72">
        <v>2.59</v>
      </c>
      <c r="O229" s="22">
        <v>67.45</v>
      </c>
    </row>
    <row r="230" spans="1:15" x14ac:dyDescent="0.2">
      <c r="B230" s="2" t="s">
        <v>218</v>
      </c>
      <c r="C230" s="7">
        <v>0.08</v>
      </c>
      <c r="D230" s="71">
        <v>0.16</v>
      </c>
      <c r="E230" s="71">
        <v>0.39</v>
      </c>
      <c r="F230" s="22">
        <v>0.06</v>
      </c>
      <c r="G230" s="22">
        <v>0.21</v>
      </c>
      <c r="H230" s="22">
        <v>0.02</v>
      </c>
      <c r="I230" s="22">
        <v>0.2</v>
      </c>
      <c r="J230" s="22">
        <v>0.01</v>
      </c>
      <c r="K230" s="22">
        <v>0.11</v>
      </c>
      <c r="L230" s="22">
        <v>0.02</v>
      </c>
      <c r="M230" s="22">
        <v>0.37</v>
      </c>
      <c r="N230" s="72">
        <v>0.19</v>
      </c>
      <c r="O230" s="22">
        <v>1.8199999999999998</v>
      </c>
    </row>
    <row r="231" spans="1:15" x14ac:dyDescent="0.2">
      <c r="B231" s="2" t="s">
        <v>220</v>
      </c>
      <c r="C231" s="7">
        <v>1.65</v>
      </c>
      <c r="D231" s="71">
        <v>0.71</v>
      </c>
      <c r="E231" s="71">
        <v>2.27</v>
      </c>
      <c r="F231" s="22">
        <v>2.96</v>
      </c>
      <c r="G231" s="22">
        <v>1.41</v>
      </c>
      <c r="H231" s="22">
        <v>13.32</v>
      </c>
      <c r="I231" s="22">
        <v>12.69</v>
      </c>
      <c r="J231" s="22">
        <v>4.6399999999999997</v>
      </c>
      <c r="K231" s="22">
        <v>0.97</v>
      </c>
      <c r="L231" s="22">
        <v>4.83</v>
      </c>
      <c r="M231" s="22">
        <v>2.4300000000000002</v>
      </c>
      <c r="N231" s="72">
        <v>1.27</v>
      </c>
      <c r="O231" s="22">
        <v>49.15</v>
      </c>
    </row>
    <row r="232" spans="1:15" x14ac:dyDescent="0.2">
      <c r="B232" s="2" t="s">
        <v>221</v>
      </c>
      <c r="C232" s="7">
        <v>1.84</v>
      </c>
      <c r="D232" s="71">
        <v>0.33</v>
      </c>
      <c r="E232" s="71">
        <v>1.76</v>
      </c>
      <c r="F232" s="22">
        <v>1.45</v>
      </c>
      <c r="G232" s="22">
        <v>0.73</v>
      </c>
      <c r="H232" s="22">
        <v>1.45</v>
      </c>
      <c r="I232" s="22">
        <v>1.83</v>
      </c>
      <c r="J232" s="22">
        <v>1.94</v>
      </c>
      <c r="K232" s="22">
        <v>1.77</v>
      </c>
      <c r="L232" s="22">
        <v>2.38</v>
      </c>
      <c r="M232" s="22">
        <v>3.28</v>
      </c>
      <c r="N232" s="72">
        <v>1.69</v>
      </c>
      <c r="O232" s="22">
        <v>20.450000000000003</v>
      </c>
    </row>
    <row r="233" spans="1:15" x14ac:dyDescent="0.2">
      <c r="C233" s="7"/>
      <c r="D233" s="71"/>
      <c r="E233" s="71"/>
      <c r="N233" s="72"/>
    </row>
    <row r="234" spans="1:15" ht="15" x14ac:dyDescent="0.25">
      <c r="B234" s="1" t="s">
        <v>222</v>
      </c>
      <c r="C234" s="23">
        <v>3362.31</v>
      </c>
      <c r="D234" s="23">
        <v>2952.7439999999992</v>
      </c>
      <c r="E234" s="23">
        <v>2635.5899999999997</v>
      </c>
      <c r="F234" s="23">
        <v>3674.6099999999992</v>
      </c>
      <c r="G234" s="23">
        <v>3136.4300000000003</v>
      </c>
      <c r="H234" s="23">
        <v>2583.06</v>
      </c>
      <c r="I234" s="23">
        <v>3816.3999999999992</v>
      </c>
      <c r="J234" s="23">
        <v>2536.0899999999997</v>
      </c>
      <c r="K234" s="23">
        <v>3853.5800000000004</v>
      </c>
      <c r="L234" s="23">
        <v>4373.66</v>
      </c>
      <c r="M234" s="23">
        <v>4394.17</v>
      </c>
      <c r="N234" s="23">
        <v>2500.4299999999998</v>
      </c>
      <c r="O234" s="23">
        <v>39818.913999999997</v>
      </c>
    </row>
    <row r="235" spans="1:15" ht="12.75" customHeight="1" x14ac:dyDescent="0.2">
      <c r="A235" s="11" t="s">
        <v>223</v>
      </c>
    </row>
    <row r="236" spans="1:15" ht="12.75" customHeight="1" x14ac:dyDescent="0.2">
      <c r="A236" s="2" t="s">
        <v>224</v>
      </c>
    </row>
    <row r="237" spans="1:15" ht="12.75" customHeight="1" x14ac:dyDescent="0.2"/>
    <row r="238" spans="1:15" ht="12" customHeight="1" x14ac:dyDescent="0.2">
      <c r="B238" s="20" t="s">
        <v>225</v>
      </c>
    </row>
    <row r="239" spans="1:15" ht="12" customHeight="1" x14ac:dyDescent="0.2">
      <c r="C239" s="22"/>
    </row>
    <row r="240" spans="1:15" ht="12" customHeight="1" x14ac:dyDescent="0.2">
      <c r="A240" s="20" t="s">
        <v>226</v>
      </c>
      <c r="D240" s="2" t="s">
        <v>6</v>
      </c>
      <c r="F240" s="22" t="s">
        <v>6</v>
      </c>
      <c r="G240" s="22" t="s">
        <v>6</v>
      </c>
      <c r="H240" s="22" t="s">
        <v>6</v>
      </c>
      <c r="I240" s="22" t="s">
        <v>6</v>
      </c>
      <c r="J240" s="22" t="s">
        <v>6</v>
      </c>
    </row>
    <row r="241" spans="4:5" ht="12" customHeight="1" x14ac:dyDescent="0.2">
      <c r="D241" s="2" t="s">
        <v>6</v>
      </c>
    </row>
    <row r="242" spans="4:5" x14ac:dyDescent="0.2">
      <c r="D242" s="2" t="s">
        <v>6</v>
      </c>
    </row>
    <row r="243" spans="4:5" x14ac:dyDescent="0.2">
      <c r="D243" s="2" t="s">
        <v>6</v>
      </c>
      <c r="E243" s="7"/>
    </row>
    <row r="244" spans="4:5" x14ac:dyDescent="0.2">
      <c r="D244" s="2" t="s">
        <v>6</v>
      </c>
      <c r="E244" s="14"/>
    </row>
    <row r="245" spans="4:5" x14ac:dyDescent="0.2">
      <c r="D245" s="2" t="s">
        <v>6</v>
      </c>
    </row>
    <row r="247" spans="4:5" x14ac:dyDescent="0.2">
      <c r="D247" s="2" t="s">
        <v>6</v>
      </c>
    </row>
  </sheetData>
  <mergeCells count="2">
    <mergeCell ref="A3:C3"/>
    <mergeCell ref="A6:B7"/>
  </mergeCells>
  <printOptions horizontalCentered="1"/>
  <pageMargins left="0" right="0" top="0.74803149606299213" bottom="0.74803149606299213" header="0.31496062992125984" footer="0.31496062992125984"/>
  <pageSetup paperSize="9" scale="49" fitToHeight="0" orientation="portrait" r:id="rId1"/>
  <headerFooter alignWithMargins="0">
    <oddHeader>&amp;CPage &amp;P&amp;RNGAs fees2016</oddHeader>
  </headerFooter>
  <rowBreaks count="2" manualBreakCount="2">
    <brk id="103" max="14" man="1"/>
    <brk id="192" max="1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9"/>
  <sheetViews>
    <sheetView zoomScaleNormal="100" workbookViewId="0">
      <pane xSplit="2" ySplit="7" topLeftCell="C9" activePane="bottomRight" state="frozen"/>
      <selection pane="topRight" activeCell="C1" sqref="C1"/>
      <selection pane="bottomLeft" activeCell="A8" sqref="A8"/>
      <selection pane="bottomRight" activeCell="F20" sqref="F20"/>
    </sheetView>
  </sheetViews>
  <sheetFormatPr defaultColWidth="8.85546875" defaultRowHeight="14.25" x14ac:dyDescent="0.2"/>
  <cols>
    <col min="1" max="1" width="2.140625" style="34" customWidth="1"/>
    <col min="2" max="2" width="62.28515625" style="34" customWidth="1"/>
    <col min="3" max="7" width="10.7109375" style="34" customWidth="1"/>
    <col min="8" max="13" width="10.7109375" style="35" customWidth="1"/>
    <col min="14" max="14" width="10.7109375" style="36" customWidth="1"/>
    <col min="15" max="15" width="10.7109375" style="35" customWidth="1"/>
    <col min="16" max="169" width="9.140625" style="34"/>
    <col min="170" max="170" width="2.140625" style="34" customWidth="1"/>
    <col min="171" max="171" width="45" style="34" customWidth="1"/>
    <col min="172" max="174" width="8.140625" style="34" bestFit="1" customWidth="1"/>
    <col min="175" max="175" width="8.140625" style="34" customWidth="1"/>
    <col min="176" max="181" width="8.140625" style="34" bestFit="1" customWidth="1"/>
    <col min="182" max="182" width="8.42578125" style="34" customWidth="1"/>
    <col min="183" max="183" width="8.7109375" style="34" customWidth="1"/>
    <col min="184" max="184" width="9.42578125" style="34" customWidth="1"/>
    <col min="185" max="185" width="27.140625" style="34" customWidth="1"/>
    <col min="186" max="186" width="9.42578125" style="34" bestFit="1" customWidth="1"/>
    <col min="187" max="187" width="9.140625" style="34"/>
    <col min="188" max="188" width="9.7109375" style="34" bestFit="1" customWidth="1"/>
    <col min="189" max="189" width="9.28515625" style="34" bestFit="1" customWidth="1"/>
    <col min="190" max="190" width="9.140625" style="34"/>
    <col min="191" max="191" width="9.28515625" style="34" bestFit="1" customWidth="1"/>
    <col min="192" max="425" width="9.140625" style="34"/>
    <col min="426" max="426" width="2.140625" style="34" customWidth="1"/>
    <col min="427" max="427" width="45" style="34" customWidth="1"/>
    <col min="428" max="430" width="8.140625" style="34" bestFit="1" customWidth="1"/>
    <col min="431" max="431" width="8.140625" style="34" customWidth="1"/>
    <col min="432" max="437" width="8.140625" style="34" bestFit="1" customWidth="1"/>
    <col min="438" max="438" width="8.42578125" style="34" customWidth="1"/>
    <col min="439" max="439" width="8.7109375" style="34" customWidth="1"/>
    <col min="440" max="440" width="9.42578125" style="34" customWidth="1"/>
    <col min="441" max="441" width="27.140625" style="34" customWidth="1"/>
    <col min="442" max="442" width="9.42578125" style="34" bestFit="1" customWidth="1"/>
    <col min="443" max="443" width="9.140625" style="34"/>
    <col min="444" max="444" width="9.7109375" style="34" bestFit="1" customWidth="1"/>
    <col min="445" max="445" width="9.28515625" style="34" bestFit="1" customWidth="1"/>
    <col min="446" max="446" width="9.140625" style="34"/>
    <col min="447" max="447" width="9.28515625" style="34" bestFit="1" customWidth="1"/>
    <col min="448" max="681" width="9.140625" style="34"/>
    <col min="682" max="682" width="2.140625" style="34" customWidth="1"/>
    <col min="683" max="683" width="45" style="34" customWidth="1"/>
    <col min="684" max="686" width="8.140625" style="34" bestFit="1" customWidth="1"/>
    <col min="687" max="687" width="8.140625" style="34" customWidth="1"/>
    <col min="688" max="693" width="8.140625" style="34" bestFit="1" customWidth="1"/>
    <col min="694" max="694" width="8.42578125" style="34" customWidth="1"/>
    <col min="695" max="695" width="8.7109375" style="34" customWidth="1"/>
    <col min="696" max="696" width="9.42578125" style="34" customWidth="1"/>
    <col min="697" max="697" width="27.140625" style="34" customWidth="1"/>
    <col min="698" max="698" width="9.42578125" style="34" bestFit="1" customWidth="1"/>
    <col min="699" max="699" width="9.140625" style="34"/>
    <col min="700" max="700" width="9.7109375" style="34" bestFit="1" customWidth="1"/>
    <col min="701" max="701" width="9.28515625" style="34" bestFit="1" customWidth="1"/>
    <col min="702" max="702" width="9.140625" style="34"/>
    <col min="703" max="703" width="9.28515625" style="34" bestFit="1" customWidth="1"/>
    <col min="704" max="937" width="9.140625" style="34"/>
    <col min="938" max="938" width="2.140625" style="34" customWidth="1"/>
    <col min="939" max="939" width="45" style="34" customWidth="1"/>
    <col min="940" max="942" width="8.140625" style="34" bestFit="1" customWidth="1"/>
    <col min="943" max="943" width="8.140625" style="34" customWidth="1"/>
    <col min="944" max="949" width="8.140625" style="34" bestFit="1" customWidth="1"/>
    <col min="950" max="950" width="8.42578125" style="34" customWidth="1"/>
    <col min="951" max="951" width="8.7109375" style="34" customWidth="1"/>
    <col min="952" max="952" width="9.42578125" style="34" customWidth="1"/>
    <col min="953" max="953" width="27.140625" style="34" customWidth="1"/>
    <col min="954" max="954" width="9.42578125" style="34" bestFit="1" customWidth="1"/>
    <col min="955" max="955" width="9.140625" style="34"/>
    <col min="956" max="956" width="9.7109375" style="34" bestFit="1" customWidth="1"/>
    <col min="957" max="957" width="9.28515625" style="34" bestFit="1" customWidth="1"/>
    <col min="958" max="958" width="9.140625" style="34"/>
    <col min="959" max="959" width="9.28515625" style="34" bestFit="1" customWidth="1"/>
    <col min="960" max="1193" width="9.140625" style="34"/>
    <col min="1194" max="1194" width="2.140625" style="34" customWidth="1"/>
    <col min="1195" max="1195" width="45" style="34" customWidth="1"/>
    <col min="1196" max="1198" width="8.140625" style="34" bestFit="1" customWidth="1"/>
    <col min="1199" max="1199" width="8.140625" style="34" customWidth="1"/>
    <col min="1200" max="1205" width="8.140625" style="34" bestFit="1" customWidth="1"/>
    <col min="1206" max="1206" width="8.42578125" style="34" customWidth="1"/>
    <col min="1207" max="1207" width="8.7109375" style="34" customWidth="1"/>
    <col min="1208" max="1208" width="9.42578125" style="34" customWidth="1"/>
    <col min="1209" max="1209" width="27.140625" style="34" customWidth="1"/>
    <col min="1210" max="1210" width="9.42578125" style="34" bestFit="1" customWidth="1"/>
    <col min="1211" max="1211" width="9.140625" style="34"/>
    <col min="1212" max="1212" width="9.7109375" style="34" bestFit="1" customWidth="1"/>
    <col min="1213" max="1213" width="9.28515625" style="34" bestFit="1" customWidth="1"/>
    <col min="1214" max="1214" width="9.140625" style="34"/>
    <col min="1215" max="1215" width="9.28515625" style="34" bestFit="1" customWidth="1"/>
    <col min="1216" max="1449" width="9.140625" style="34"/>
    <col min="1450" max="1450" width="2.140625" style="34" customWidth="1"/>
    <col min="1451" max="1451" width="45" style="34" customWidth="1"/>
    <col min="1452" max="1454" width="8.140625" style="34" bestFit="1" customWidth="1"/>
    <col min="1455" max="1455" width="8.140625" style="34" customWidth="1"/>
    <col min="1456" max="1461" width="8.140625" style="34" bestFit="1" customWidth="1"/>
    <col min="1462" max="1462" width="8.42578125" style="34" customWidth="1"/>
    <col min="1463" max="1463" width="8.7109375" style="34" customWidth="1"/>
    <col min="1464" max="1464" width="9.42578125" style="34" customWidth="1"/>
    <col min="1465" max="1465" width="27.140625" style="34" customWidth="1"/>
    <col min="1466" max="1466" width="9.42578125" style="34" bestFit="1" customWidth="1"/>
    <col min="1467" max="1467" width="9.140625" style="34"/>
    <col min="1468" max="1468" width="9.7109375" style="34" bestFit="1" customWidth="1"/>
    <col min="1469" max="1469" width="9.28515625" style="34" bestFit="1" customWidth="1"/>
    <col min="1470" max="1470" width="9.140625" style="34"/>
    <col min="1471" max="1471" width="9.28515625" style="34" bestFit="1" customWidth="1"/>
    <col min="1472" max="1705" width="9.140625" style="34"/>
    <col min="1706" max="1706" width="2.140625" style="34" customWidth="1"/>
    <col min="1707" max="1707" width="45" style="34" customWidth="1"/>
    <col min="1708" max="1710" width="8.140625" style="34" bestFit="1" customWidth="1"/>
    <col min="1711" max="1711" width="8.140625" style="34" customWidth="1"/>
    <col min="1712" max="1717" width="8.140625" style="34" bestFit="1" customWidth="1"/>
    <col min="1718" max="1718" width="8.42578125" style="34" customWidth="1"/>
    <col min="1719" max="1719" width="8.7109375" style="34" customWidth="1"/>
    <col min="1720" max="1720" width="9.42578125" style="34" customWidth="1"/>
    <col min="1721" max="1721" width="27.140625" style="34" customWidth="1"/>
    <col min="1722" max="1722" width="9.42578125" style="34" bestFit="1" customWidth="1"/>
    <col min="1723" max="1723" width="9.140625" style="34"/>
    <col min="1724" max="1724" width="9.7109375" style="34" bestFit="1" customWidth="1"/>
    <col min="1725" max="1725" width="9.28515625" style="34" bestFit="1" customWidth="1"/>
    <col min="1726" max="1726" width="9.140625" style="34"/>
    <col min="1727" max="1727" width="9.28515625" style="34" bestFit="1" customWidth="1"/>
    <col min="1728" max="1961" width="9.140625" style="34"/>
    <col min="1962" max="1962" width="2.140625" style="34" customWidth="1"/>
    <col min="1963" max="1963" width="45" style="34" customWidth="1"/>
    <col min="1964" max="1966" width="8.140625" style="34" bestFit="1" customWidth="1"/>
    <col min="1967" max="1967" width="8.140625" style="34" customWidth="1"/>
    <col min="1968" max="1973" width="8.140625" style="34" bestFit="1" customWidth="1"/>
    <col min="1974" max="1974" width="8.42578125" style="34" customWidth="1"/>
    <col min="1975" max="1975" width="8.7109375" style="34" customWidth="1"/>
    <col min="1976" max="1976" width="9.42578125" style="34" customWidth="1"/>
    <col min="1977" max="1977" width="27.140625" style="34" customWidth="1"/>
    <col min="1978" max="1978" width="9.42578125" style="34" bestFit="1" customWidth="1"/>
    <col min="1979" max="1979" width="9.140625" style="34"/>
    <col min="1980" max="1980" width="9.7109375" style="34" bestFit="1" customWidth="1"/>
    <col min="1981" max="1981" width="9.28515625" style="34" bestFit="1" customWidth="1"/>
    <col min="1982" max="1982" width="9.140625" style="34"/>
    <col min="1983" max="1983" width="9.28515625" style="34" bestFit="1" customWidth="1"/>
    <col min="1984" max="2217" width="9.140625" style="34"/>
    <col min="2218" max="2218" width="2.140625" style="34" customWidth="1"/>
    <col min="2219" max="2219" width="45" style="34" customWidth="1"/>
    <col min="2220" max="2222" width="8.140625" style="34" bestFit="1" customWidth="1"/>
    <col min="2223" max="2223" width="8.140625" style="34" customWidth="1"/>
    <col min="2224" max="2229" width="8.140625" style="34" bestFit="1" customWidth="1"/>
    <col min="2230" max="2230" width="8.42578125" style="34" customWidth="1"/>
    <col min="2231" max="2231" width="8.7109375" style="34" customWidth="1"/>
    <col min="2232" max="2232" width="9.42578125" style="34" customWidth="1"/>
    <col min="2233" max="2233" width="27.140625" style="34" customWidth="1"/>
    <col min="2234" max="2234" width="9.42578125" style="34" bestFit="1" customWidth="1"/>
    <col min="2235" max="2235" width="9.140625" style="34"/>
    <col min="2236" max="2236" width="9.7109375" style="34" bestFit="1" customWidth="1"/>
    <col min="2237" max="2237" width="9.28515625" style="34" bestFit="1" customWidth="1"/>
    <col min="2238" max="2238" width="9.140625" style="34"/>
    <col min="2239" max="2239" width="9.28515625" style="34" bestFit="1" customWidth="1"/>
    <col min="2240" max="2473" width="9.140625" style="34"/>
    <col min="2474" max="2474" width="2.140625" style="34" customWidth="1"/>
    <col min="2475" max="2475" width="45" style="34" customWidth="1"/>
    <col min="2476" max="2478" width="8.140625" style="34" bestFit="1" customWidth="1"/>
    <col min="2479" max="2479" width="8.140625" style="34" customWidth="1"/>
    <col min="2480" max="2485" width="8.140625" style="34" bestFit="1" customWidth="1"/>
    <col min="2486" max="2486" width="8.42578125" style="34" customWidth="1"/>
    <col min="2487" max="2487" width="8.7109375" style="34" customWidth="1"/>
    <col min="2488" max="2488" width="9.42578125" style="34" customWidth="1"/>
    <col min="2489" max="2489" width="27.140625" style="34" customWidth="1"/>
    <col min="2490" max="2490" width="9.42578125" style="34" bestFit="1" customWidth="1"/>
    <col min="2491" max="2491" width="9.140625" style="34"/>
    <col min="2492" max="2492" width="9.7109375" style="34" bestFit="1" customWidth="1"/>
    <col min="2493" max="2493" width="9.28515625" style="34" bestFit="1" customWidth="1"/>
    <col min="2494" max="2494" width="9.140625" style="34"/>
    <col min="2495" max="2495" width="9.28515625" style="34" bestFit="1" customWidth="1"/>
    <col min="2496" max="2729" width="9.140625" style="34"/>
    <col min="2730" max="2730" width="2.140625" style="34" customWidth="1"/>
    <col min="2731" max="2731" width="45" style="34" customWidth="1"/>
    <col min="2732" max="2734" width="8.140625" style="34" bestFit="1" customWidth="1"/>
    <col min="2735" max="2735" width="8.140625" style="34" customWidth="1"/>
    <col min="2736" max="2741" width="8.140625" style="34" bestFit="1" customWidth="1"/>
    <col min="2742" max="2742" width="8.42578125" style="34" customWidth="1"/>
    <col min="2743" max="2743" width="8.7109375" style="34" customWidth="1"/>
    <col min="2744" max="2744" width="9.42578125" style="34" customWidth="1"/>
    <col min="2745" max="2745" width="27.140625" style="34" customWidth="1"/>
    <col min="2746" max="2746" width="9.42578125" style="34" bestFit="1" customWidth="1"/>
    <col min="2747" max="2747" width="9.140625" style="34"/>
    <col min="2748" max="2748" width="9.7109375" style="34" bestFit="1" customWidth="1"/>
    <col min="2749" max="2749" width="9.28515625" style="34" bestFit="1" customWidth="1"/>
    <col min="2750" max="2750" width="9.140625" style="34"/>
    <col min="2751" max="2751" width="9.28515625" style="34" bestFit="1" customWidth="1"/>
    <col min="2752" max="2985" width="9.140625" style="34"/>
    <col min="2986" max="2986" width="2.140625" style="34" customWidth="1"/>
    <col min="2987" max="2987" width="45" style="34" customWidth="1"/>
    <col min="2988" max="2990" width="8.140625" style="34" bestFit="1" customWidth="1"/>
    <col min="2991" max="2991" width="8.140625" style="34" customWidth="1"/>
    <col min="2992" max="2997" width="8.140625" style="34" bestFit="1" customWidth="1"/>
    <col min="2998" max="2998" width="8.42578125" style="34" customWidth="1"/>
    <col min="2999" max="2999" width="8.7109375" style="34" customWidth="1"/>
    <col min="3000" max="3000" width="9.42578125" style="34" customWidth="1"/>
    <col min="3001" max="3001" width="27.140625" style="34" customWidth="1"/>
    <col min="3002" max="3002" width="9.42578125" style="34" bestFit="1" customWidth="1"/>
    <col min="3003" max="3003" width="9.140625" style="34"/>
    <col min="3004" max="3004" width="9.7109375" style="34" bestFit="1" customWidth="1"/>
    <col min="3005" max="3005" width="9.28515625" style="34" bestFit="1" customWidth="1"/>
    <col min="3006" max="3006" width="9.140625" style="34"/>
    <col min="3007" max="3007" width="9.28515625" style="34" bestFit="1" customWidth="1"/>
    <col min="3008" max="3241" width="9.140625" style="34"/>
    <col min="3242" max="3242" width="2.140625" style="34" customWidth="1"/>
    <col min="3243" max="3243" width="45" style="34" customWidth="1"/>
    <col min="3244" max="3246" width="8.140625" style="34" bestFit="1" customWidth="1"/>
    <col min="3247" max="3247" width="8.140625" style="34" customWidth="1"/>
    <col min="3248" max="3253" width="8.140625" style="34" bestFit="1" customWidth="1"/>
    <col min="3254" max="3254" width="8.42578125" style="34" customWidth="1"/>
    <col min="3255" max="3255" width="8.7109375" style="34" customWidth="1"/>
    <col min="3256" max="3256" width="9.42578125" style="34" customWidth="1"/>
    <col min="3257" max="3257" width="27.140625" style="34" customWidth="1"/>
    <col min="3258" max="3258" width="9.42578125" style="34" bestFit="1" customWidth="1"/>
    <col min="3259" max="3259" width="9.140625" style="34"/>
    <col min="3260" max="3260" width="9.7109375" style="34" bestFit="1" customWidth="1"/>
    <col min="3261" max="3261" width="9.28515625" style="34" bestFit="1" customWidth="1"/>
    <col min="3262" max="3262" width="9.140625" style="34"/>
    <col min="3263" max="3263" width="9.28515625" style="34" bestFit="1" customWidth="1"/>
    <col min="3264" max="3497" width="9.140625" style="34"/>
    <col min="3498" max="3498" width="2.140625" style="34" customWidth="1"/>
    <col min="3499" max="3499" width="45" style="34" customWidth="1"/>
    <col min="3500" max="3502" width="8.140625" style="34" bestFit="1" customWidth="1"/>
    <col min="3503" max="3503" width="8.140625" style="34" customWidth="1"/>
    <col min="3504" max="3509" width="8.140625" style="34" bestFit="1" customWidth="1"/>
    <col min="3510" max="3510" width="8.42578125" style="34" customWidth="1"/>
    <col min="3511" max="3511" width="8.7109375" style="34" customWidth="1"/>
    <col min="3512" max="3512" width="9.42578125" style="34" customWidth="1"/>
    <col min="3513" max="3513" width="27.140625" style="34" customWidth="1"/>
    <col min="3514" max="3514" width="9.42578125" style="34" bestFit="1" customWidth="1"/>
    <col min="3515" max="3515" width="9.140625" style="34"/>
    <col min="3516" max="3516" width="9.7109375" style="34" bestFit="1" customWidth="1"/>
    <col min="3517" max="3517" width="9.28515625" style="34" bestFit="1" customWidth="1"/>
    <col min="3518" max="3518" width="9.140625" style="34"/>
    <col min="3519" max="3519" width="9.28515625" style="34" bestFit="1" customWidth="1"/>
    <col min="3520" max="3753" width="9.140625" style="34"/>
    <col min="3754" max="3754" width="2.140625" style="34" customWidth="1"/>
    <col min="3755" max="3755" width="45" style="34" customWidth="1"/>
    <col min="3756" max="3758" width="8.140625" style="34" bestFit="1" customWidth="1"/>
    <col min="3759" max="3759" width="8.140625" style="34" customWidth="1"/>
    <col min="3760" max="3765" width="8.140625" style="34" bestFit="1" customWidth="1"/>
    <col min="3766" max="3766" width="8.42578125" style="34" customWidth="1"/>
    <col min="3767" max="3767" width="8.7109375" style="34" customWidth="1"/>
    <col min="3768" max="3768" width="9.42578125" style="34" customWidth="1"/>
    <col min="3769" max="3769" width="27.140625" style="34" customWidth="1"/>
    <col min="3770" max="3770" width="9.42578125" style="34" bestFit="1" customWidth="1"/>
    <col min="3771" max="3771" width="9.140625" style="34"/>
    <col min="3772" max="3772" width="9.7109375" style="34" bestFit="1" customWidth="1"/>
    <col min="3773" max="3773" width="9.28515625" style="34" bestFit="1" customWidth="1"/>
    <col min="3774" max="3774" width="9.140625" style="34"/>
    <col min="3775" max="3775" width="9.28515625" style="34" bestFit="1" customWidth="1"/>
    <col min="3776" max="4009" width="9.140625" style="34"/>
    <col min="4010" max="4010" width="2.140625" style="34" customWidth="1"/>
    <col min="4011" max="4011" width="45" style="34" customWidth="1"/>
    <col min="4012" max="4014" width="8.140625" style="34" bestFit="1" customWidth="1"/>
    <col min="4015" max="4015" width="8.140625" style="34" customWidth="1"/>
    <col min="4016" max="4021" width="8.140625" style="34" bestFit="1" customWidth="1"/>
    <col min="4022" max="4022" width="8.42578125" style="34" customWidth="1"/>
    <col min="4023" max="4023" width="8.7109375" style="34" customWidth="1"/>
    <col min="4024" max="4024" width="9.42578125" style="34" customWidth="1"/>
    <col min="4025" max="4025" width="27.140625" style="34" customWidth="1"/>
    <col min="4026" max="4026" width="9.42578125" style="34" bestFit="1" customWidth="1"/>
    <col min="4027" max="4027" width="9.140625" style="34"/>
    <col min="4028" max="4028" width="9.7109375" style="34" bestFit="1" customWidth="1"/>
    <col min="4029" max="4029" width="9.28515625" style="34" bestFit="1" customWidth="1"/>
    <col min="4030" max="4030" width="9.140625" style="34"/>
    <col min="4031" max="4031" width="9.28515625" style="34" bestFit="1" customWidth="1"/>
    <col min="4032" max="4265" width="9.140625" style="34"/>
    <col min="4266" max="4266" width="2.140625" style="34" customWidth="1"/>
    <col min="4267" max="4267" width="45" style="34" customWidth="1"/>
    <col min="4268" max="4270" width="8.140625" style="34" bestFit="1" customWidth="1"/>
    <col min="4271" max="4271" width="8.140625" style="34" customWidth="1"/>
    <col min="4272" max="4277" width="8.140625" style="34" bestFit="1" customWidth="1"/>
    <col min="4278" max="4278" width="8.42578125" style="34" customWidth="1"/>
    <col min="4279" max="4279" width="8.7109375" style="34" customWidth="1"/>
    <col min="4280" max="4280" width="9.42578125" style="34" customWidth="1"/>
    <col min="4281" max="4281" width="27.140625" style="34" customWidth="1"/>
    <col min="4282" max="4282" width="9.42578125" style="34" bestFit="1" customWidth="1"/>
    <col min="4283" max="4283" width="9.140625" style="34"/>
    <col min="4284" max="4284" width="9.7109375" style="34" bestFit="1" customWidth="1"/>
    <col min="4285" max="4285" width="9.28515625" style="34" bestFit="1" customWidth="1"/>
    <col min="4286" max="4286" width="9.140625" style="34"/>
    <col min="4287" max="4287" width="9.28515625" style="34" bestFit="1" customWidth="1"/>
    <col min="4288" max="4521" width="9.140625" style="34"/>
    <col min="4522" max="4522" width="2.140625" style="34" customWidth="1"/>
    <col min="4523" max="4523" width="45" style="34" customWidth="1"/>
    <col min="4524" max="4526" width="8.140625" style="34" bestFit="1" customWidth="1"/>
    <col min="4527" max="4527" width="8.140625" style="34" customWidth="1"/>
    <col min="4528" max="4533" width="8.140625" style="34" bestFit="1" customWidth="1"/>
    <col min="4534" max="4534" width="8.42578125" style="34" customWidth="1"/>
    <col min="4535" max="4535" width="8.7109375" style="34" customWidth="1"/>
    <col min="4536" max="4536" width="9.42578125" style="34" customWidth="1"/>
    <col min="4537" max="4537" width="27.140625" style="34" customWidth="1"/>
    <col min="4538" max="4538" width="9.42578125" style="34" bestFit="1" customWidth="1"/>
    <col min="4539" max="4539" width="9.140625" style="34"/>
    <col min="4540" max="4540" width="9.7109375" style="34" bestFit="1" customWidth="1"/>
    <col min="4541" max="4541" width="9.28515625" style="34" bestFit="1" customWidth="1"/>
    <col min="4542" max="4542" width="9.140625" style="34"/>
    <col min="4543" max="4543" width="9.28515625" style="34" bestFit="1" customWidth="1"/>
    <col min="4544" max="4777" width="9.140625" style="34"/>
    <col min="4778" max="4778" width="2.140625" style="34" customWidth="1"/>
    <col min="4779" max="4779" width="45" style="34" customWidth="1"/>
    <col min="4780" max="4782" width="8.140625" style="34" bestFit="1" customWidth="1"/>
    <col min="4783" max="4783" width="8.140625" style="34" customWidth="1"/>
    <col min="4784" max="4789" width="8.140625" style="34" bestFit="1" customWidth="1"/>
    <col min="4790" max="4790" width="8.42578125" style="34" customWidth="1"/>
    <col min="4791" max="4791" width="8.7109375" style="34" customWidth="1"/>
    <col min="4792" max="4792" width="9.42578125" style="34" customWidth="1"/>
    <col min="4793" max="4793" width="27.140625" style="34" customWidth="1"/>
    <col min="4794" max="4794" width="9.42578125" style="34" bestFit="1" customWidth="1"/>
    <col min="4795" max="4795" width="9.140625" style="34"/>
    <col min="4796" max="4796" width="9.7109375" style="34" bestFit="1" customWidth="1"/>
    <col min="4797" max="4797" width="9.28515625" style="34" bestFit="1" customWidth="1"/>
    <col min="4798" max="4798" width="9.140625" style="34"/>
    <col min="4799" max="4799" width="9.28515625" style="34" bestFit="1" customWidth="1"/>
    <col min="4800" max="5033" width="9.140625" style="34"/>
    <col min="5034" max="5034" width="2.140625" style="34" customWidth="1"/>
    <col min="5035" max="5035" width="45" style="34" customWidth="1"/>
    <col min="5036" max="5038" width="8.140625" style="34" bestFit="1" customWidth="1"/>
    <col min="5039" max="5039" width="8.140625" style="34" customWidth="1"/>
    <col min="5040" max="5045" width="8.140625" style="34" bestFit="1" customWidth="1"/>
    <col min="5046" max="5046" width="8.42578125" style="34" customWidth="1"/>
    <col min="5047" max="5047" width="8.7109375" style="34" customWidth="1"/>
    <col min="5048" max="5048" width="9.42578125" style="34" customWidth="1"/>
    <col min="5049" max="5049" width="27.140625" style="34" customWidth="1"/>
    <col min="5050" max="5050" width="9.42578125" style="34" bestFit="1" customWidth="1"/>
    <col min="5051" max="5051" width="9.140625" style="34"/>
    <col min="5052" max="5052" width="9.7109375" style="34" bestFit="1" customWidth="1"/>
    <col min="5053" max="5053" width="9.28515625" style="34" bestFit="1" customWidth="1"/>
    <col min="5054" max="5054" width="9.140625" style="34"/>
    <col min="5055" max="5055" width="9.28515625" style="34" bestFit="1" customWidth="1"/>
    <col min="5056" max="5289" width="9.140625" style="34"/>
    <col min="5290" max="5290" width="2.140625" style="34" customWidth="1"/>
    <col min="5291" max="5291" width="45" style="34" customWidth="1"/>
    <col min="5292" max="5294" width="8.140625" style="34" bestFit="1" customWidth="1"/>
    <col min="5295" max="5295" width="8.140625" style="34" customWidth="1"/>
    <col min="5296" max="5301" width="8.140625" style="34" bestFit="1" customWidth="1"/>
    <col min="5302" max="5302" width="8.42578125" style="34" customWidth="1"/>
    <col min="5303" max="5303" width="8.7109375" style="34" customWidth="1"/>
    <col min="5304" max="5304" width="9.42578125" style="34" customWidth="1"/>
    <col min="5305" max="5305" width="27.140625" style="34" customWidth="1"/>
    <col min="5306" max="5306" width="9.42578125" style="34" bestFit="1" customWidth="1"/>
    <col min="5307" max="5307" width="9.140625" style="34"/>
    <col min="5308" max="5308" width="9.7109375" style="34" bestFit="1" customWidth="1"/>
    <col min="5309" max="5309" width="9.28515625" style="34" bestFit="1" customWidth="1"/>
    <col min="5310" max="5310" width="9.140625" style="34"/>
    <col min="5311" max="5311" width="9.28515625" style="34" bestFit="1" customWidth="1"/>
    <col min="5312" max="5545" width="9.140625" style="34"/>
    <col min="5546" max="5546" width="2.140625" style="34" customWidth="1"/>
    <col min="5547" max="5547" width="45" style="34" customWidth="1"/>
    <col min="5548" max="5550" width="8.140625" style="34" bestFit="1" customWidth="1"/>
    <col min="5551" max="5551" width="8.140625" style="34" customWidth="1"/>
    <col min="5552" max="5557" width="8.140625" style="34" bestFit="1" customWidth="1"/>
    <col min="5558" max="5558" width="8.42578125" style="34" customWidth="1"/>
    <col min="5559" max="5559" width="8.7109375" style="34" customWidth="1"/>
    <col min="5560" max="5560" width="9.42578125" style="34" customWidth="1"/>
    <col min="5561" max="5561" width="27.140625" style="34" customWidth="1"/>
    <col min="5562" max="5562" width="9.42578125" style="34" bestFit="1" customWidth="1"/>
    <col min="5563" max="5563" width="9.140625" style="34"/>
    <col min="5564" max="5564" width="9.7109375" style="34" bestFit="1" customWidth="1"/>
    <col min="5565" max="5565" width="9.28515625" style="34" bestFit="1" customWidth="1"/>
    <col min="5566" max="5566" width="9.140625" style="34"/>
    <col min="5567" max="5567" width="9.28515625" style="34" bestFit="1" customWidth="1"/>
    <col min="5568" max="5801" width="9.140625" style="34"/>
    <col min="5802" max="5802" width="2.140625" style="34" customWidth="1"/>
    <col min="5803" max="5803" width="45" style="34" customWidth="1"/>
    <col min="5804" max="5806" width="8.140625" style="34" bestFit="1" customWidth="1"/>
    <col min="5807" max="5807" width="8.140625" style="34" customWidth="1"/>
    <col min="5808" max="5813" width="8.140625" style="34" bestFit="1" customWidth="1"/>
    <col min="5814" max="5814" width="8.42578125" style="34" customWidth="1"/>
    <col min="5815" max="5815" width="8.7109375" style="34" customWidth="1"/>
    <col min="5816" max="5816" width="9.42578125" style="34" customWidth="1"/>
    <col min="5817" max="5817" width="27.140625" style="34" customWidth="1"/>
    <col min="5818" max="5818" width="9.42578125" style="34" bestFit="1" customWidth="1"/>
    <col min="5819" max="5819" width="9.140625" style="34"/>
    <col min="5820" max="5820" width="9.7109375" style="34" bestFit="1" customWidth="1"/>
    <col min="5821" max="5821" width="9.28515625" style="34" bestFit="1" customWidth="1"/>
    <col min="5822" max="5822" width="9.140625" style="34"/>
    <col min="5823" max="5823" width="9.28515625" style="34" bestFit="1" customWidth="1"/>
    <col min="5824" max="6057" width="9.140625" style="34"/>
    <col min="6058" max="6058" width="2.140625" style="34" customWidth="1"/>
    <col min="6059" max="6059" width="45" style="34" customWidth="1"/>
    <col min="6060" max="6062" width="8.140625" style="34" bestFit="1" customWidth="1"/>
    <col min="6063" max="6063" width="8.140625" style="34" customWidth="1"/>
    <col min="6064" max="6069" width="8.140625" style="34" bestFit="1" customWidth="1"/>
    <col min="6070" max="6070" width="8.42578125" style="34" customWidth="1"/>
    <col min="6071" max="6071" width="8.7109375" style="34" customWidth="1"/>
    <col min="6072" max="6072" width="9.42578125" style="34" customWidth="1"/>
    <col min="6073" max="6073" width="27.140625" style="34" customWidth="1"/>
    <col min="6074" max="6074" width="9.42578125" style="34" bestFit="1" customWidth="1"/>
    <col min="6075" max="6075" width="9.140625" style="34"/>
    <col min="6076" max="6076" width="9.7109375" style="34" bestFit="1" customWidth="1"/>
    <col min="6077" max="6077" width="9.28515625" style="34" bestFit="1" customWidth="1"/>
    <col min="6078" max="6078" width="9.140625" style="34"/>
    <col min="6079" max="6079" width="9.28515625" style="34" bestFit="1" customWidth="1"/>
    <col min="6080" max="6313" width="9.140625" style="34"/>
    <col min="6314" max="6314" width="2.140625" style="34" customWidth="1"/>
    <col min="6315" max="6315" width="45" style="34" customWidth="1"/>
    <col min="6316" max="6318" width="8.140625" style="34" bestFit="1" customWidth="1"/>
    <col min="6319" max="6319" width="8.140625" style="34" customWidth="1"/>
    <col min="6320" max="6325" width="8.140625" style="34" bestFit="1" customWidth="1"/>
    <col min="6326" max="6326" width="8.42578125" style="34" customWidth="1"/>
    <col min="6327" max="6327" width="8.7109375" style="34" customWidth="1"/>
    <col min="6328" max="6328" width="9.42578125" style="34" customWidth="1"/>
    <col min="6329" max="6329" width="27.140625" style="34" customWidth="1"/>
    <col min="6330" max="6330" width="9.42578125" style="34" bestFit="1" customWidth="1"/>
    <col min="6331" max="6331" width="9.140625" style="34"/>
    <col min="6332" max="6332" width="9.7109375" style="34" bestFit="1" customWidth="1"/>
    <col min="6333" max="6333" width="9.28515625" style="34" bestFit="1" customWidth="1"/>
    <col min="6334" max="6334" width="9.140625" style="34"/>
    <col min="6335" max="6335" width="9.28515625" style="34" bestFit="1" customWidth="1"/>
    <col min="6336" max="6569" width="9.140625" style="34"/>
    <col min="6570" max="6570" width="2.140625" style="34" customWidth="1"/>
    <col min="6571" max="6571" width="45" style="34" customWidth="1"/>
    <col min="6572" max="6574" width="8.140625" style="34" bestFit="1" customWidth="1"/>
    <col min="6575" max="6575" width="8.140625" style="34" customWidth="1"/>
    <col min="6576" max="6581" width="8.140625" style="34" bestFit="1" customWidth="1"/>
    <col min="6582" max="6582" width="8.42578125" style="34" customWidth="1"/>
    <col min="6583" max="6583" width="8.7109375" style="34" customWidth="1"/>
    <col min="6584" max="6584" width="9.42578125" style="34" customWidth="1"/>
    <col min="6585" max="6585" width="27.140625" style="34" customWidth="1"/>
    <col min="6586" max="6586" width="9.42578125" style="34" bestFit="1" customWidth="1"/>
    <col min="6587" max="6587" width="9.140625" style="34"/>
    <col min="6588" max="6588" width="9.7109375" style="34" bestFit="1" customWidth="1"/>
    <col min="6589" max="6589" width="9.28515625" style="34" bestFit="1" customWidth="1"/>
    <col min="6590" max="6590" width="9.140625" style="34"/>
    <col min="6591" max="6591" width="9.28515625" style="34" bestFit="1" customWidth="1"/>
    <col min="6592" max="6825" width="9.140625" style="34"/>
    <col min="6826" max="6826" width="2.140625" style="34" customWidth="1"/>
    <col min="6827" max="6827" width="45" style="34" customWidth="1"/>
    <col min="6828" max="6830" width="8.140625" style="34" bestFit="1" customWidth="1"/>
    <col min="6831" max="6831" width="8.140625" style="34" customWidth="1"/>
    <col min="6832" max="6837" width="8.140625" style="34" bestFit="1" customWidth="1"/>
    <col min="6838" max="6838" width="8.42578125" style="34" customWidth="1"/>
    <col min="6839" max="6839" width="8.7109375" style="34" customWidth="1"/>
    <col min="6840" max="6840" width="9.42578125" style="34" customWidth="1"/>
    <col min="6841" max="6841" width="27.140625" style="34" customWidth="1"/>
    <col min="6842" max="6842" width="9.42578125" style="34" bestFit="1" customWidth="1"/>
    <col min="6843" max="6843" width="9.140625" style="34"/>
    <col min="6844" max="6844" width="9.7109375" style="34" bestFit="1" customWidth="1"/>
    <col min="6845" max="6845" width="9.28515625" style="34" bestFit="1" customWidth="1"/>
    <col min="6846" max="6846" width="9.140625" style="34"/>
    <col min="6847" max="6847" width="9.28515625" style="34" bestFit="1" customWidth="1"/>
    <col min="6848" max="7081" width="9.140625" style="34"/>
    <col min="7082" max="7082" width="2.140625" style="34" customWidth="1"/>
    <col min="7083" max="7083" width="45" style="34" customWidth="1"/>
    <col min="7084" max="7086" width="8.140625" style="34" bestFit="1" customWidth="1"/>
    <col min="7087" max="7087" width="8.140625" style="34" customWidth="1"/>
    <col min="7088" max="7093" width="8.140625" style="34" bestFit="1" customWidth="1"/>
    <col min="7094" max="7094" width="8.42578125" style="34" customWidth="1"/>
    <col min="7095" max="7095" width="8.7109375" style="34" customWidth="1"/>
    <col min="7096" max="7096" width="9.42578125" style="34" customWidth="1"/>
    <col min="7097" max="7097" width="27.140625" style="34" customWidth="1"/>
    <col min="7098" max="7098" width="9.42578125" style="34" bestFit="1" customWidth="1"/>
    <col min="7099" max="7099" width="9.140625" style="34"/>
    <col min="7100" max="7100" width="9.7109375" style="34" bestFit="1" customWidth="1"/>
    <col min="7101" max="7101" width="9.28515625" style="34" bestFit="1" customWidth="1"/>
    <col min="7102" max="7102" width="9.140625" style="34"/>
    <col min="7103" max="7103" width="9.28515625" style="34" bestFit="1" customWidth="1"/>
    <col min="7104" max="7337" width="9.140625" style="34"/>
    <col min="7338" max="7338" width="2.140625" style="34" customWidth="1"/>
    <col min="7339" max="7339" width="45" style="34" customWidth="1"/>
    <col min="7340" max="7342" width="8.140625" style="34" bestFit="1" customWidth="1"/>
    <col min="7343" max="7343" width="8.140625" style="34" customWidth="1"/>
    <col min="7344" max="7349" width="8.140625" style="34" bestFit="1" customWidth="1"/>
    <col min="7350" max="7350" width="8.42578125" style="34" customWidth="1"/>
    <col min="7351" max="7351" width="8.7109375" style="34" customWidth="1"/>
    <col min="7352" max="7352" width="9.42578125" style="34" customWidth="1"/>
    <col min="7353" max="7353" width="27.140625" style="34" customWidth="1"/>
    <col min="7354" max="7354" width="9.42578125" style="34" bestFit="1" customWidth="1"/>
    <col min="7355" max="7355" width="9.140625" style="34"/>
    <col min="7356" max="7356" width="9.7109375" style="34" bestFit="1" customWidth="1"/>
    <col min="7357" max="7357" width="9.28515625" style="34" bestFit="1" customWidth="1"/>
    <col min="7358" max="7358" width="9.140625" style="34"/>
    <col min="7359" max="7359" width="9.28515625" style="34" bestFit="1" customWidth="1"/>
    <col min="7360" max="7593" width="9.140625" style="34"/>
    <col min="7594" max="7594" width="2.140625" style="34" customWidth="1"/>
    <col min="7595" max="7595" width="45" style="34" customWidth="1"/>
    <col min="7596" max="7598" width="8.140625" style="34" bestFit="1" customWidth="1"/>
    <col min="7599" max="7599" width="8.140625" style="34" customWidth="1"/>
    <col min="7600" max="7605" width="8.140625" style="34" bestFit="1" customWidth="1"/>
    <col min="7606" max="7606" width="8.42578125" style="34" customWidth="1"/>
    <col min="7607" max="7607" width="8.7109375" style="34" customWidth="1"/>
    <col min="7608" max="7608" width="9.42578125" style="34" customWidth="1"/>
    <col min="7609" max="7609" width="27.140625" style="34" customWidth="1"/>
    <col min="7610" max="7610" width="9.42578125" style="34" bestFit="1" customWidth="1"/>
    <col min="7611" max="7611" width="9.140625" style="34"/>
    <col min="7612" max="7612" width="9.7109375" style="34" bestFit="1" customWidth="1"/>
    <col min="7613" max="7613" width="9.28515625" style="34" bestFit="1" customWidth="1"/>
    <col min="7614" max="7614" width="9.140625" style="34"/>
    <col min="7615" max="7615" width="9.28515625" style="34" bestFit="1" customWidth="1"/>
    <col min="7616" max="7849" width="9.140625" style="34"/>
    <col min="7850" max="7850" width="2.140625" style="34" customWidth="1"/>
    <col min="7851" max="7851" width="45" style="34" customWidth="1"/>
    <col min="7852" max="7854" width="8.140625" style="34" bestFit="1" customWidth="1"/>
    <col min="7855" max="7855" width="8.140625" style="34" customWidth="1"/>
    <col min="7856" max="7861" width="8.140625" style="34" bestFit="1" customWidth="1"/>
    <col min="7862" max="7862" width="8.42578125" style="34" customWidth="1"/>
    <col min="7863" max="7863" width="8.7109375" style="34" customWidth="1"/>
    <col min="7864" max="7864" width="9.42578125" style="34" customWidth="1"/>
    <col min="7865" max="7865" width="27.140625" style="34" customWidth="1"/>
    <col min="7866" max="7866" width="9.42578125" style="34" bestFit="1" customWidth="1"/>
    <col min="7867" max="7867" width="9.140625" style="34"/>
    <col min="7868" max="7868" width="9.7109375" style="34" bestFit="1" customWidth="1"/>
    <col min="7869" max="7869" width="9.28515625" style="34" bestFit="1" customWidth="1"/>
    <col min="7870" max="7870" width="9.140625" style="34"/>
    <col min="7871" max="7871" width="9.28515625" style="34" bestFit="1" customWidth="1"/>
    <col min="7872" max="8105" width="9.140625" style="34"/>
    <col min="8106" max="8106" width="2.140625" style="34" customWidth="1"/>
    <col min="8107" max="8107" width="45" style="34" customWidth="1"/>
    <col min="8108" max="8110" width="8.140625" style="34" bestFit="1" customWidth="1"/>
    <col min="8111" max="8111" width="8.140625" style="34" customWidth="1"/>
    <col min="8112" max="8117" width="8.140625" style="34" bestFit="1" customWidth="1"/>
    <col min="8118" max="8118" width="8.42578125" style="34" customWidth="1"/>
    <col min="8119" max="8119" width="8.7109375" style="34" customWidth="1"/>
    <col min="8120" max="8120" width="9.42578125" style="34" customWidth="1"/>
    <col min="8121" max="8121" width="27.140625" style="34" customWidth="1"/>
    <col min="8122" max="8122" width="9.42578125" style="34" bestFit="1" customWidth="1"/>
    <col min="8123" max="8123" width="9.140625" style="34"/>
    <col min="8124" max="8124" width="9.7109375" style="34" bestFit="1" customWidth="1"/>
    <col min="8125" max="8125" width="9.28515625" style="34" bestFit="1" customWidth="1"/>
    <col min="8126" max="8126" width="9.140625" style="34"/>
    <col min="8127" max="8127" width="9.28515625" style="34" bestFit="1" customWidth="1"/>
    <col min="8128" max="8361" width="9.140625" style="34"/>
    <col min="8362" max="8362" width="2.140625" style="34" customWidth="1"/>
    <col min="8363" max="8363" width="45" style="34" customWidth="1"/>
    <col min="8364" max="8366" width="8.140625" style="34" bestFit="1" customWidth="1"/>
    <col min="8367" max="8367" width="8.140625" style="34" customWidth="1"/>
    <col min="8368" max="8373" width="8.140625" style="34" bestFit="1" customWidth="1"/>
    <col min="8374" max="8374" width="8.42578125" style="34" customWidth="1"/>
    <col min="8375" max="8375" width="8.7109375" style="34" customWidth="1"/>
    <col min="8376" max="8376" width="9.42578125" style="34" customWidth="1"/>
    <col min="8377" max="8377" width="27.140625" style="34" customWidth="1"/>
    <col min="8378" max="8378" width="9.42578125" style="34" bestFit="1" customWidth="1"/>
    <col min="8379" max="8379" width="9.140625" style="34"/>
    <col min="8380" max="8380" width="9.7109375" style="34" bestFit="1" customWidth="1"/>
    <col min="8381" max="8381" width="9.28515625" style="34" bestFit="1" customWidth="1"/>
    <col min="8382" max="8382" width="9.140625" style="34"/>
    <col min="8383" max="8383" width="9.28515625" style="34" bestFit="1" customWidth="1"/>
    <col min="8384" max="8617" width="9.140625" style="34"/>
    <col min="8618" max="8618" width="2.140625" style="34" customWidth="1"/>
    <col min="8619" max="8619" width="45" style="34" customWidth="1"/>
    <col min="8620" max="8622" width="8.140625" style="34" bestFit="1" customWidth="1"/>
    <col min="8623" max="8623" width="8.140625" style="34" customWidth="1"/>
    <col min="8624" max="8629" width="8.140625" style="34" bestFit="1" customWidth="1"/>
    <col min="8630" max="8630" width="8.42578125" style="34" customWidth="1"/>
    <col min="8631" max="8631" width="8.7109375" style="34" customWidth="1"/>
    <col min="8632" max="8632" width="9.42578125" style="34" customWidth="1"/>
    <col min="8633" max="8633" width="27.140625" style="34" customWidth="1"/>
    <col min="8634" max="8634" width="9.42578125" style="34" bestFit="1" customWidth="1"/>
    <col min="8635" max="8635" width="9.140625" style="34"/>
    <col min="8636" max="8636" width="9.7109375" style="34" bestFit="1" customWidth="1"/>
    <col min="8637" max="8637" width="9.28515625" style="34" bestFit="1" customWidth="1"/>
    <col min="8638" max="8638" width="9.140625" style="34"/>
    <col min="8639" max="8639" width="9.28515625" style="34" bestFit="1" customWidth="1"/>
    <col min="8640" max="8873" width="9.140625" style="34"/>
    <col min="8874" max="8874" width="2.140625" style="34" customWidth="1"/>
    <col min="8875" max="8875" width="45" style="34" customWidth="1"/>
    <col min="8876" max="8878" width="8.140625" style="34" bestFit="1" customWidth="1"/>
    <col min="8879" max="8879" width="8.140625" style="34" customWidth="1"/>
    <col min="8880" max="8885" width="8.140625" style="34" bestFit="1" customWidth="1"/>
    <col min="8886" max="8886" width="8.42578125" style="34" customWidth="1"/>
    <col min="8887" max="8887" width="8.7109375" style="34" customWidth="1"/>
    <col min="8888" max="8888" width="9.42578125" style="34" customWidth="1"/>
    <col min="8889" max="8889" width="27.140625" style="34" customWidth="1"/>
    <col min="8890" max="8890" width="9.42578125" style="34" bestFit="1" customWidth="1"/>
    <col min="8891" max="8891" width="9.140625" style="34"/>
    <col min="8892" max="8892" width="9.7109375" style="34" bestFit="1" customWidth="1"/>
    <col min="8893" max="8893" width="9.28515625" style="34" bestFit="1" customWidth="1"/>
    <col min="8894" max="8894" width="9.140625" style="34"/>
    <col min="8895" max="8895" width="9.28515625" style="34" bestFit="1" customWidth="1"/>
    <col min="8896" max="9129" width="9.140625" style="34"/>
    <col min="9130" max="9130" width="2.140625" style="34" customWidth="1"/>
    <col min="9131" max="9131" width="45" style="34" customWidth="1"/>
    <col min="9132" max="9134" width="8.140625" style="34" bestFit="1" customWidth="1"/>
    <col min="9135" max="9135" width="8.140625" style="34" customWidth="1"/>
    <col min="9136" max="9141" width="8.140625" style="34" bestFit="1" customWidth="1"/>
    <col min="9142" max="9142" width="8.42578125" style="34" customWidth="1"/>
    <col min="9143" max="9143" width="8.7109375" style="34" customWidth="1"/>
    <col min="9144" max="9144" width="9.42578125" style="34" customWidth="1"/>
    <col min="9145" max="9145" width="27.140625" style="34" customWidth="1"/>
    <col min="9146" max="9146" width="9.42578125" style="34" bestFit="1" customWidth="1"/>
    <col min="9147" max="9147" width="9.140625" style="34"/>
    <col min="9148" max="9148" width="9.7109375" style="34" bestFit="1" customWidth="1"/>
    <col min="9149" max="9149" width="9.28515625" style="34" bestFit="1" customWidth="1"/>
    <col min="9150" max="9150" width="9.140625" style="34"/>
    <col min="9151" max="9151" width="9.28515625" style="34" bestFit="1" customWidth="1"/>
    <col min="9152" max="9385" width="9.140625" style="34"/>
    <col min="9386" max="9386" width="2.140625" style="34" customWidth="1"/>
    <col min="9387" max="9387" width="45" style="34" customWidth="1"/>
    <col min="9388" max="9390" width="8.140625" style="34" bestFit="1" customWidth="1"/>
    <col min="9391" max="9391" width="8.140625" style="34" customWidth="1"/>
    <col min="9392" max="9397" width="8.140625" style="34" bestFit="1" customWidth="1"/>
    <col min="9398" max="9398" width="8.42578125" style="34" customWidth="1"/>
    <col min="9399" max="9399" width="8.7109375" style="34" customWidth="1"/>
    <col min="9400" max="9400" width="9.42578125" style="34" customWidth="1"/>
    <col min="9401" max="9401" width="27.140625" style="34" customWidth="1"/>
    <col min="9402" max="9402" width="9.42578125" style="34" bestFit="1" customWidth="1"/>
    <col min="9403" max="9403" width="9.140625" style="34"/>
    <col min="9404" max="9404" width="9.7109375" style="34" bestFit="1" customWidth="1"/>
    <col min="9405" max="9405" width="9.28515625" style="34" bestFit="1" customWidth="1"/>
    <col min="9406" max="9406" width="9.140625" style="34"/>
    <col min="9407" max="9407" width="9.28515625" style="34" bestFit="1" customWidth="1"/>
    <col min="9408" max="9641" width="9.140625" style="34"/>
    <col min="9642" max="9642" width="2.140625" style="34" customWidth="1"/>
    <col min="9643" max="9643" width="45" style="34" customWidth="1"/>
    <col min="9644" max="9646" width="8.140625" style="34" bestFit="1" customWidth="1"/>
    <col min="9647" max="9647" width="8.140625" style="34" customWidth="1"/>
    <col min="9648" max="9653" width="8.140625" style="34" bestFit="1" customWidth="1"/>
    <col min="9654" max="9654" width="8.42578125" style="34" customWidth="1"/>
    <col min="9655" max="9655" width="8.7109375" style="34" customWidth="1"/>
    <col min="9656" max="9656" width="9.42578125" style="34" customWidth="1"/>
    <col min="9657" max="9657" width="27.140625" style="34" customWidth="1"/>
    <col min="9658" max="9658" width="9.42578125" style="34" bestFit="1" customWidth="1"/>
    <col min="9659" max="9659" width="9.140625" style="34"/>
    <col min="9660" max="9660" width="9.7109375" style="34" bestFit="1" customWidth="1"/>
    <col min="9661" max="9661" width="9.28515625" style="34" bestFit="1" customWidth="1"/>
    <col min="9662" max="9662" width="9.140625" style="34"/>
    <col min="9663" max="9663" width="9.28515625" style="34" bestFit="1" customWidth="1"/>
    <col min="9664" max="9897" width="9.140625" style="34"/>
    <col min="9898" max="9898" width="2.140625" style="34" customWidth="1"/>
    <col min="9899" max="9899" width="45" style="34" customWidth="1"/>
    <col min="9900" max="9902" width="8.140625" style="34" bestFit="1" customWidth="1"/>
    <col min="9903" max="9903" width="8.140625" style="34" customWidth="1"/>
    <col min="9904" max="9909" width="8.140625" style="34" bestFit="1" customWidth="1"/>
    <col min="9910" max="9910" width="8.42578125" style="34" customWidth="1"/>
    <col min="9911" max="9911" width="8.7109375" style="34" customWidth="1"/>
    <col min="9912" max="9912" width="9.42578125" style="34" customWidth="1"/>
    <col min="9913" max="9913" width="27.140625" style="34" customWidth="1"/>
    <col min="9914" max="9914" width="9.42578125" style="34" bestFit="1" customWidth="1"/>
    <col min="9915" max="9915" width="9.140625" style="34"/>
    <col min="9916" max="9916" width="9.7109375" style="34" bestFit="1" customWidth="1"/>
    <col min="9917" max="9917" width="9.28515625" style="34" bestFit="1" customWidth="1"/>
    <col min="9918" max="9918" width="9.140625" style="34"/>
    <col min="9919" max="9919" width="9.28515625" style="34" bestFit="1" customWidth="1"/>
    <col min="9920" max="10153" width="9.140625" style="34"/>
    <col min="10154" max="10154" width="2.140625" style="34" customWidth="1"/>
    <col min="10155" max="10155" width="45" style="34" customWidth="1"/>
    <col min="10156" max="10158" width="8.140625" style="34" bestFit="1" customWidth="1"/>
    <col min="10159" max="10159" width="8.140625" style="34" customWidth="1"/>
    <col min="10160" max="10165" width="8.140625" style="34" bestFit="1" customWidth="1"/>
    <col min="10166" max="10166" width="8.42578125" style="34" customWidth="1"/>
    <col min="10167" max="10167" width="8.7109375" style="34" customWidth="1"/>
    <col min="10168" max="10168" width="9.42578125" style="34" customWidth="1"/>
    <col min="10169" max="10169" width="27.140625" style="34" customWidth="1"/>
    <col min="10170" max="10170" width="9.42578125" style="34" bestFit="1" customWidth="1"/>
    <col min="10171" max="10171" width="9.140625" style="34"/>
    <col min="10172" max="10172" width="9.7109375" style="34" bestFit="1" customWidth="1"/>
    <col min="10173" max="10173" width="9.28515625" style="34" bestFit="1" customWidth="1"/>
    <col min="10174" max="10174" width="9.140625" style="34"/>
    <col min="10175" max="10175" width="9.28515625" style="34" bestFit="1" customWidth="1"/>
    <col min="10176" max="10409" width="9.140625" style="34"/>
    <col min="10410" max="10410" width="2.140625" style="34" customWidth="1"/>
    <col min="10411" max="10411" width="45" style="34" customWidth="1"/>
    <col min="10412" max="10414" width="8.140625" style="34" bestFit="1" customWidth="1"/>
    <col min="10415" max="10415" width="8.140625" style="34" customWidth="1"/>
    <col min="10416" max="10421" width="8.140625" style="34" bestFit="1" customWidth="1"/>
    <col min="10422" max="10422" width="8.42578125" style="34" customWidth="1"/>
    <col min="10423" max="10423" width="8.7109375" style="34" customWidth="1"/>
    <col min="10424" max="10424" width="9.42578125" style="34" customWidth="1"/>
    <col min="10425" max="10425" width="27.140625" style="34" customWidth="1"/>
    <col min="10426" max="10426" width="9.42578125" style="34" bestFit="1" customWidth="1"/>
    <col min="10427" max="10427" width="9.140625" style="34"/>
    <col min="10428" max="10428" width="9.7109375" style="34" bestFit="1" customWidth="1"/>
    <col min="10429" max="10429" width="9.28515625" style="34" bestFit="1" customWidth="1"/>
    <col min="10430" max="10430" width="9.140625" style="34"/>
    <col min="10431" max="10431" width="9.28515625" style="34" bestFit="1" customWidth="1"/>
    <col min="10432" max="10665" width="9.140625" style="34"/>
    <col min="10666" max="10666" width="2.140625" style="34" customWidth="1"/>
    <col min="10667" max="10667" width="45" style="34" customWidth="1"/>
    <col min="10668" max="10670" width="8.140625" style="34" bestFit="1" customWidth="1"/>
    <col min="10671" max="10671" width="8.140625" style="34" customWidth="1"/>
    <col min="10672" max="10677" width="8.140625" style="34" bestFit="1" customWidth="1"/>
    <col min="10678" max="10678" width="8.42578125" style="34" customWidth="1"/>
    <col min="10679" max="10679" width="8.7109375" style="34" customWidth="1"/>
    <col min="10680" max="10680" width="9.42578125" style="34" customWidth="1"/>
    <col min="10681" max="10681" width="27.140625" style="34" customWidth="1"/>
    <col min="10682" max="10682" width="9.42578125" style="34" bestFit="1" customWidth="1"/>
    <col min="10683" max="10683" width="9.140625" style="34"/>
    <col min="10684" max="10684" width="9.7109375" style="34" bestFit="1" customWidth="1"/>
    <col min="10685" max="10685" width="9.28515625" style="34" bestFit="1" customWidth="1"/>
    <col min="10686" max="10686" width="9.140625" style="34"/>
    <col min="10687" max="10687" width="9.28515625" style="34" bestFit="1" customWidth="1"/>
    <col min="10688" max="10921" width="9.140625" style="34"/>
    <col min="10922" max="10922" width="2.140625" style="34" customWidth="1"/>
    <col min="10923" max="10923" width="45" style="34" customWidth="1"/>
    <col min="10924" max="10926" width="8.140625" style="34" bestFit="1" customWidth="1"/>
    <col min="10927" max="10927" width="8.140625" style="34" customWidth="1"/>
    <col min="10928" max="10933" width="8.140625" style="34" bestFit="1" customWidth="1"/>
    <col min="10934" max="10934" width="8.42578125" style="34" customWidth="1"/>
    <col min="10935" max="10935" width="8.7109375" style="34" customWidth="1"/>
    <col min="10936" max="10936" width="9.42578125" style="34" customWidth="1"/>
    <col min="10937" max="10937" width="27.140625" style="34" customWidth="1"/>
    <col min="10938" max="10938" width="9.42578125" style="34" bestFit="1" customWidth="1"/>
    <col min="10939" max="10939" width="9.140625" style="34"/>
    <col min="10940" max="10940" width="9.7109375" style="34" bestFit="1" customWidth="1"/>
    <col min="10941" max="10941" width="9.28515625" style="34" bestFit="1" customWidth="1"/>
    <col min="10942" max="10942" width="9.140625" style="34"/>
    <col min="10943" max="10943" width="9.28515625" style="34" bestFit="1" customWidth="1"/>
    <col min="10944" max="11177" width="9.140625" style="34"/>
    <col min="11178" max="11178" width="2.140625" style="34" customWidth="1"/>
    <col min="11179" max="11179" width="45" style="34" customWidth="1"/>
    <col min="11180" max="11182" width="8.140625" style="34" bestFit="1" customWidth="1"/>
    <col min="11183" max="11183" width="8.140625" style="34" customWidth="1"/>
    <col min="11184" max="11189" width="8.140625" style="34" bestFit="1" customWidth="1"/>
    <col min="11190" max="11190" width="8.42578125" style="34" customWidth="1"/>
    <col min="11191" max="11191" width="8.7109375" style="34" customWidth="1"/>
    <col min="11192" max="11192" width="9.42578125" style="34" customWidth="1"/>
    <col min="11193" max="11193" width="27.140625" style="34" customWidth="1"/>
    <col min="11194" max="11194" width="9.42578125" style="34" bestFit="1" customWidth="1"/>
    <col min="11195" max="11195" width="9.140625" style="34"/>
    <col min="11196" max="11196" width="9.7109375" style="34" bestFit="1" customWidth="1"/>
    <col min="11197" max="11197" width="9.28515625" style="34" bestFit="1" customWidth="1"/>
    <col min="11198" max="11198" width="9.140625" style="34"/>
    <col min="11199" max="11199" width="9.28515625" style="34" bestFit="1" customWidth="1"/>
    <col min="11200" max="11433" width="9.140625" style="34"/>
    <col min="11434" max="11434" width="2.140625" style="34" customWidth="1"/>
    <col min="11435" max="11435" width="45" style="34" customWidth="1"/>
    <col min="11436" max="11438" width="8.140625" style="34" bestFit="1" customWidth="1"/>
    <col min="11439" max="11439" width="8.140625" style="34" customWidth="1"/>
    <col min="11440" max="11445" width="8.140625" style="34" bestFit="1" customWidth="1"/>
    <col min="11446" max="11446" width="8.42578125" style="34" customWidth="1"/>
    <col min="11447" max="11447" width="8.7109375" style="34" customWidth="1"/>
    <col min="11448" max="11448" width="9.42578125" style="34" customWidth="1"/>
    <col min="11449" max="11449" width="27.140625" style="34" customWidth="1"/>
    <col min="11450" max="11450" width="9.42578125" style="34" bestFit="1" customWidth="1"/>
    <col min="11451" max="11451" width="9.140625" style="34"/>
    <col min="11452" max="11452" width="9.7109375" style="34" bestFit="1" customWidth="1"/>
    <col min="11453" max="11453" width="9.28515625" style="34" bestFit="1" customWidth="1"/>
    <col min="11454" max="11454" width="9.140625" style="34"/>
    <col min="11455" max="11455" width="9.28515625" style="34" bestFit="1" customWidth="1"/>
    <col min="11456" max="11689" width="9.140625" style="34"/>
    <col min="11690" max="11690" width="2.140625" style="34" customWidth="1"/>
    <col min="11691" max="11691" width="45" style="34" customWidth="1"/>
    <col min="11692" max="11694" width="8.140625" style="34" bestFit="1" customWidth="1"/>
    <col min="11695" max="11695" width="8.140625" style="34" customWidth="1"/>
    <col min="11696" max="11701" width="8.140625" style="34" bestFit="1" customWidth="1"/>
    <col min="11702" max="11702" width="8.42578125" style="34" customWidth="1"/>
    <col min="11703" max="11703" width="8.7109375" style="34" customWidth="1"/>
    <col min="11704" max="11704" width="9.42578125" style="34" customWidth="1"/>
    <col min="11705" max="11705" width="27.140625" style="34" customWidth="1"/>
    <col min="11706" max="11706" width="9.42578125" style="34" bestFit="1" customWidth="1"/>
    <col min="11707" max="11707" width="9.140625" style="34"/>
    <col min="11708" max="11708" width="9.7109375" style="34" bestFit="1" customWidth="1"/>
    <col min="11709" max="11709" width="9.28515625" style="34" bestFit="1" customWidth="1"/>
    <col min="11710" max="11710" width="9.140625" style="34"/>
    <col min="11711" max="11711" width="9.28515625" style="34" bestFit="1" customWidth="1"/>
    <col min="11712" max="11945" width="9.140625" style="34"/>
    <col min="11946" max="11946" width="2.140625" style="34" customWidth="1"/>
    <col min="11947" max="11947" width="45" style="34" customWidth="1"/>
    <col min="11948" max="11950" width="8.140625" style="34" bestFit="1" customWidth="1"/>
    <col min="11951" max="11951" width="8.140625" style="34" customWidth="1"/>
    <col min="11952" max="11957" width="8.140625" style="34" bestFit="1" customWidth="1"/>
    <col min="11958" max="11958" width="8.42578125" style="34" customWidth="1"/>
    <col min="11959" max="11959" width="8.7109375" style="34" customWidth="1"/>
    <col min="11960" max="11960" width="9.42578125" style="34" customWidth="1"/>
    <col min="11961" max="11961" width="27.140625" style="34" customWidth="1"/>
    <col min="11962" max="11962" width="9.42578125" style="34" bestFit="1" customWidth="1"/>
    <col min="11963" max="11963" width="9.140625" style="34"/>
    <col min="11964" max="11964" width="9.7109375" style="34" bestFit="1" customWidth="1"/>
    <col min="11965" max="11965" width="9.28515625" style="34" bestFit="1" customWidth="1"/>
    <col min="11966" max="11966" width="9.140625" style="34"/>
    <col min="11967" max="11967" width="9.28515625" style="34" bestFit="1" customWidth="1"/>
    <col min="11968" max="12201" width="9.140625" style="34"/>
    <col min="12202" max="12202" width="2.140625" style="34" customWidth="1"/>
    <col min="12203" max="12203" width="45" style="34" customWidth="1"/>
    <col min="12204" max="12206" width="8.140625" style="34" bestFit="1" customWidth="1"/>
    <col min="12207" max="12207" width="8.140625" style="34" customWidth="1"/>
    <col min="12208" max="12213" width="8.140625" style="34" bestFit="1" customWidth="1"/>
    <col min="12214" max="12214" width="8.42578125" style="34" customWidth="1"/>
    <col min="12215" max="12215" width="8.7109375" style="34" customWidth="1"/>
    <col min="12216" max="12216" width="9.42578125" style="34" customWidth="1"/>
    <col min="12217" max="12217" width="27.140625" style="34" customWidth="1"/>
    <col min="12218" max="12218" width="9.42578125" style="34" bestFit="1" customWidth="1"/>
    <col min="12219" max="12219" width="9.140625" style="34"/>
    <col min="12220" max="12220" width="9.7109375" style="34" bestFit="1" customWidth="1"/>
    <col min="12221" max="12221" width="9.28515625" style="34" bestFit="1" customWidth="1"/>
    <col min="12222" max="12222" width="9.140625" style="34"/>
    <col min="12223" max="12223" width="9.28515625" style="34" bestFit="1" customWidth="1"/>
    <col min="12224" max="12457" width="9.140625" style="34"/>
    <col min="12458" max="12458" width="2.140625" style="34" customWidth="1"/>
    <col min="12459" max="12459" width="45" style="34" customWidth="1"/>
    <col min="12460" max="12462" width="8.140625" style="34" bestFit="1" customWidth="1"/>
    <col min="12463" max="12463" width="8.140625" style="34" customWidth="1"/>
    <col min="12464" max="12469" width="8.140625" style="34" bestFit="1" customWidth="1"/>
    <col min="12470" max="12470" width="8.42578125" style="34" customWidth="1"/>
    <col min="12471" max="12471" width="8.7109375" style="34" customWidth="1"/>
    <col min="12472" max="12472" width="9.42578125" style="34" customWidth="1"/>
    <col min="12473" max="12473" width="27.140625" style="34" customWidth="1"/>
    <col min="12474" max="12474" width="9.42578125" style="34" bestFit="1" customWidth="1"/>
    <col min="12475" max="12475" width="9.140625" style="34"/>
    <col min="12476" max="12476" width="9.7109375" style="34" bestFit="1" customWidth="1"/>
    <col min="12477" max="12477" width="9.28515625" style="34" bestFit="1" customWidth="1"/>
    <col min="12478" max="12478" width="9.140625" style="34"/>
    <col min="12479" max="12479" width="9.28515625" style="34" bestFit="1" customWidth="1"/>
    <col min="12480" max="12713" width="9.140625" style="34"/>
    <col min="12714" max="12714" width="2.140625" style="34" customWidth="1"/>
    <col min="12715" max="12715" width="45" style="34" customWidth="1"/>
    <col min="12716" max="12718" width="8.140625" style="34" bestFit="1" customWidth="1"/>
    <col min="12719" max="12719" width="8.140625" style="34" customWidth="1"/>
    <col min="12720" max="12725" width="8.140625" style="34" bestFit="1" customWidth="1"/>
    <col min="12726" max="12726" width="8.42578125" style="34" customWidth="1"/>
    <col min="12727" max="12727" width="8.7109375" style="34" customWidth="1"/>
    <col min="12728" max="12728" width="9.42578125" style="34" customWidth="1"/>
    <col min="12729" max="12729" width="27.140625" style="34" customWidth="1"/>
    <col min="12730" max="12730" width="9.42578125" style="34" bestFit="1" customWidth="1"/>
    <col min="12731" max="12731" width="9.140625" style="34"/>
    <col min="12732" max="12732" width="9.7109375" style="34" bestFit="1" customWidth="1"/>
    <col min="12733" max="12733" width="9.28515625" style="34" bestFit="1" customWidth="1"/>
    <col min="12734" max="12734" width="9.140625" style="34"/>
    <col min="12735" max="12735" width="9.28515625" style="34" bestFit="1" customWidth="1"/>
    <col min="12736" max="12969" width="9.140625" style="34"/>
    <col min="12970" max="12970" width="2.140625" style="34" customWidth="1"/>
    <col min="12971" max="12971" width="45" style="34" customWidth="1"/>
    <col min="12972" max="12974" width="8.140625" style="34" bestFit="1" customWidth="1"/>
    <col min="12975" max="12975" width="8.140625" style="34" customWidth="1"/>
    <col min="12976" max="12981" width="8.140625" style="34" bestFit="1" customWidth="1"/>
    <col min="12982" max="12982" width="8.42578125" style="34" customWidth="1"/>
    <col min="12983" max="12983" width="8.7109375" style="34" customWidth="1"/>
    <col min="12984" max="12984" width="9.42578125" style="34" customWidth="1"/>
    <col min="12985" max="12985" width="27.140625" style="34" customWidth="1"/>
    <col min="12986" max="12986" width="9.42578125" style="34" bestFit="1" customWidth="1"/>
    <col min="12987" max="12987" width="9.140625" style="34"/>
    <col min="12988" max="12988" width="9.7109375" style="34" bestFit="1" customWidth="1"/>
    <col min="12989" max="12989" width="9.28515625" style="34" bestFit="1" customWidth="1"/>
    <col min="12990" max="12990" width="9.140625" style="34"/>
    <col min="12991" max="12991" width="9.28515625" style="34" bestFit="1" customWidth="1"/>
    <col min="12992" max="13225" width="9.140625" style="34"/>
    <col min="13226" max="13226" width="2.140625" style="34" customWidth="1"/>
    <col min="13227" max="13227" width="45" style="34" customWidth="1"/>
    <col min="13228" max="13230" width="8.140625" style="34" bestFit="1" customWidth="1"/>
    <col min="13231" max="13231" width="8.140625" style="34" customWidth="1"/>
    <col min="13232" max="13237" width="8.140625" style="34" bestFit="1" customWidth="1"/>
    <col min="13238" max="13238" width="8.42578125" style="34" customWidth="1"/>
    <col min="13239" max="13239" width="8.7109375" style="34" customWidth="1"/>
    <col min="13240" max="13240" width="9.42578125" style="34" customWidth="1"/>
    <col min="13241" max="13241" width="27.140625" style="34" customWidth="1"/>
    <col min="13242" max="13242" width="9.42578125" style="34" bestFit="1" customWidth="1"/>
    <col min="13243" max="13243" width="9.140625" style="34"/>
    <col min="13244" max="13244" width="9.7109375" style="34" bestFit="1" customWidth="1"/>
    <col min="13245" max="13245" width="9.28515625" style="34" bestFit="1" customWidth="1"/>
    <col min="13246" max="13246" width="9.140625" style="34"/>
    <col min="13247" max="13247" width="9.28515625" style="34" bestFit="1" customWidth="1"/>
    <col min="13248" max="13481" width="9.140625" style="34"/>
    <col min="13482" max="13482" width="2.140625" style="34" customWidth="1"/>
    <col min="13483" max="13483" width="45" style="34" customWidth="1"/>
    <col min="13484" max="13486" width="8.140625" style="34" bestFit="1" customWidth="1"/>
    <col min="13487" max="13487" width="8.140625" style="34" customWidth="1"/>
    <col min="13488" max="13493" width="8.140625" style="34" bestFit="1" customWidth="1"/>
    <col min="13494" max="13494" width="8.42578125" style="34" customWidth="1"/>
    <col min="13495" max="13495" width="8.7109375" style="34" customWidth="1"/>
    <col min="13496" max="13496" width="9.42578125" style="34" customWidth="1"/>
    <col min="13497" max="13497" width="27.140625" style="34" customWidth="1"/>
    <col min="13498" max="13498" width="9.42578125" style="34" bestFit="1" customWidth="1"/>
    <col min="13499" max="13499" width="9.140625" style="34"/>
    <col min="13500" max="13500" width="9.7109375" style="34" bestFit="1" customWidth="1"/>
    <col min="13501" max="13501" width="9.28515625" style="34" bestFit="1" customWidth="1"/>
    <col min="13502" max="13502" width="9.140625" style="34"/>
    <col min="13503" max="13503" width="9.28515625" style="34" bestFit="1" customWidth="1"/>
    <col min="13504" max="13737" width="9.140625" style="34"/>
    <col min="13738" max="13738" width="2.140625" style="34" customWidth="1"/>
    <col min="13739" max="13739" width="45" style="34" customWidth="1"/>
    <col min="13740" max="13742" width="8.140625" style="34" bestFit="1" customWidth="1"/>
    <col min="13743" max="13743" width="8.140625" style="34" customWidth="1"/>
    <col min="13744" max="13749" width="8.140625" style="34" bestFit="1" customWidth="1"/>
    <col min="13750" max="13750" width="8.42578125" style="34" customWidth="1"/>
    <col min="13751" max="13751" width="8.7109375" style="34" customWidth="1"/>
    <col min="13752" max="13752" width="9.42578125" style="34" customWidth="1"/>
    <col min="13753" max="13753" width="27.140625" style="34" customWidth="1"/>
    <col min="13754" max="13754" width="9.42578125" style="34" bestFit="1" customWidth="1"/>
    <col min="13755" max="13755" width="9.140625" style="34"/>
    <col min="13756" max="13756" width="9.7109375" style="34" bestFit="1" customWidth="1"/>
    <col min="13757" max="13757" width="9.28515625" style="34" bestFit="1" customWidth="1"/>
    <col min="13758" max="13758" width="9.140625" style="34"/>
    <col min="13759" max="13759" width="9.28515625" style="34" bestFit="1" customWidth="1"/>
    <col min="13760" max="13993" width="9.140625" style="34"/>
    <col min="13994" max="13994" width="2.140625" style="34" customWidth="1"/>
    <col min="13995" max="13995" width="45" style="34" customWidth="1"/>
    <col min="13996" max="13998" width="8.140625" style="34" bestFit="1" customWidth="1"/>
    <col min="13999" max="13999" width="8.140625" style="34" customWidth="1"/>
    <col min="14000" max="14005" width="8.140625" style="34" bestFit="1" customWidth="1"/>
    <col min="14006" max="14006" width="8.42578125" style="34" customWidth="1"/>
    <col min="14007" max="14007" width="8.7109375" style="34" customWidth="1"/>
    <col min="14008" max="14008" width="9.42578125" style="34" customWidth="1"/>
    <col min="14009" max="14009" width="27.140625" style="34" customWidth="1"/>
    <col min="14010" max="14010" width="9.42578125" style="34" bestFit="1" customWidth="1"/>
    <col min="14011" max="14011" width="9.140625" style="34"/>
    <col min="14012" max="14012" width="9.7109375" style="34" bestFit="1" customWidth="1"/>
    <col min="14013" max="14013" width="9.28515625" style="34" bestFit="1" customWidth="1"/>
    <col min="14014" max="14014" width="9.140625" style="34"/>
    <col min="14015" max="14015" width="9.28515625" style="34" bestFit="1" customWidth="1"/>
    <col min="14016" max="14249" width="9.140625" style="34"/>
    <col min="14250" max="14250" width="2.140625" style="34" customWidth="1"/>
    <col min="14251" max="14251" width="45" style="34" customWidth="1"/>
    <col min="14252" max="14254" width="8.140625" style="34" bestFit="1" customWidth="1"/>
    <col min="14255" max="14255" width="8.140625" style="34" customWidth="1"/>
    <col min="14256" max="14261" width="8.140625" style="34" bestFit="1" customWidth="1"/>
    <col min="14262" max="14262" width="8.42578125" style="34" customWidth="1"/>
    <col min="14263" max="14263" width="8.7109375" style="34" customWidth="1"/>
    <col min="14264" max="14264" width="9.42578125" style="34" customWidth="1"/>
    <col min="14265" max="14265" width="27.140625" style="34" customWidth="1"/>
    <col min="14266" max="14266" width="9.42578125" style="34" bestFit="1" customWidth="1"/>
    <col min="14267" max="14267" width="9.140625" style="34"/>
    <col min="14268" max="14268" width="9.7109375" style="34" bestFit="1" customWidth="1"/>
    <col min="14269" max="14269" width="9.28515625" style="34" bestFit="1" customWidth="1"/>
    <col min="14270" max="14270" width="9.140625" style="34"/>
    <col min="14271" max="14271" width="9.28515625" style="34" bestFit="1" customWidth="1"/>
    <col min="14272" max="14505" width="9.140625" style="34"/>
    <col min="14506" max="14506" width="2.140625" style="34" customWidth="1"/>
    <col min="14507" max="14507" width="45" style="34" customWidth="1"/>
    <col min="14508" max="14510" width="8.140625" style="34" bestFit="1" customWidth="1"/>
    <col min="14511" max="14511" width="8.140625" style="34" customWidth="1"/>
    <col min="14512" max="14517" width="8.140625" style="34" bestFit="1" customWidth="1"/>
    <col min="14518" max="14518" width="8.42578125" style="34" customWidth="1"/>
    <col min="14519" max="14519" width="8.7109375" style="34" customWidth="1"/>
    <col min="14520" max="14520" width="9.42578125" style="34" customWidth="1"/>
    <col min="14521" max="14521" width="27.140625" style="34" customWidth="1"/>
    <col min="14522" max="14522" width="9.42578125" style="34" bestFit="1" customWidth="1"/>
    <col min="14523" max="14523" width="9.140625" style="34"/>
    <col min="14524" max="14524" width="9.7109375" style="34" bestFit="1" customWidth="1"/>
    <col min="14525" max="14525" width="9.28515625" style="34" bestFit="1" customWidth="1"/>
    <col min="14526" max="14526" width="9.140625" style="34"/>
    <col min="14527" max="14527" width="9.28515625" style="34" bestFit="1" customWidth="1"/>
    <col min="14528" max="14761" width="9.140625" style="34"/>
    <col min="14762" max="14762" width="2.140625" style="34" customWidth="1"/>
    <col min="14763" max="14763" width="45" style="34" customWidth="1"/>
    <col min="14764" max="14766" width="8.140625" style="34" bestFit="1" customWidth="1"/>
    <col min="14767" max="14767" width="8.140625" style="34" customWidth="1"/>
    <col min="14768" max="14773" width="8.140625" style="34" bestFit="1" customWidth="1"/>
    <col min="14774" max="14774" width="8.42578125" style="34" customWidth="1"/>
    <col min="14775" max="14775" width="8.7109375" style="34" customWidth="1"/>
    <col min="14776" max="14776" width="9.42578125" style="34" customWidth="1"/>
    <col min="14777" max="14777" width="27.140625" style="34" customWidth="1"/>
    <col min="14778" max="14778" width="9.42578125" style="34" bestFit="1" customWidth="1"/>
    <col min="14779" max="14779" width="9.140625" style="34"/>
    <col min="14780" max="14780" width="9.7109375" style="34" bestFit="1" customWidth="1"/>
    <col min="14781" max="14781" width="9.28515625" style="34" bestFit="1" customWidth="1"/>
    <col min="14782" max="14782" width="9.140625" style="34"/>
    <col min="14783" max="14783" width="9.28515625" style="34" bestFit="1" customWidth="1"/>
    <col min="14784" max="15017" width="9.140625" style="34"/>
    <col min="15018" max="15018" width="2.140625" style="34" customWidth="1"/>
    <col min="15019" max="15019" width="45" style="34" customWidth="1"/>
    <col min="15020" max="15022" width="8.140625" style="34" bestFit="1" customWidth="1"/>
    <col min="15023" max="15023" width="8.140625" style="34" customWidth="1"/>
    <col min="15024" max="15029" width="8.140625" style="34" bestFit="1" customWidth="1"/>
    <col min="15030" max="15030" width="8.42578125" style="34" customWidth="1"/>
    <col min="15031" max="15031" width="8.7109375" style="34" customWidth="1"/>
    <col min="15032" max="15032" width="9.42578125" style="34" customWidth="1"/>
    <col min="15033" max="15033" width="27.140625" style="34" customWidth="1"/>
    <col min="15034" max="15034" width="9.42578125" style="34" bestFit="1" customWidth="1"/>
    <col min="15035" max="15035" width="9.140625" style="34"/>
    <col min="15036" max="15036" width="9.7109375" style="34" bestFit="1" customWidth="1"/>
    <col min="15037" max="15037" width="9.28515625" style="34" bestFit="1" customWidth="1"/>
    <col min="15038" max="15038" width="9.140625" style="34"/>
    <col min="15039" max="15039" width="9.28515625" style="34" bestFit="1" customWidth="1"/>
    <col min="15040" max="15273" width="9.140625" style="34"/>
    <col min="15274" max="15274" width="2.140625" style="34" customWidth="1"/>
    <col min="15275" max="15275" width="45" style="34" customWidth="1"/>
    <col min="15276" max="15278" width="8.140625" style="34" bestFit="1" customWidth="1"/>
    <col min="15279" max="15279" width="8.140625" style="34" customWidth="1"/>
    <col min="15280" max="15285" width="8.140625" style="34" bestFit="1" customWidth="1"/>
    <col min="15286" max="15286" width="8.42578125" style="34" customWidth="1"/>
    <col min="15287" max="15287" width="8.7109375" style="34" customWidth="1"/>
    <col min="15288" max="15288" width="9.42578125" style="34" customWidth="1"/>
    <col min="15289" max="15289" width="27.140625" style="34" customWidth="1"/>
    <col min="15290" max="15290" width="9.42578125" style="34" bestFit="1" customWidth="1"/>
    <col min="15291" max="15291" width="9.140625" style="34"/>
    <col min="15292" max="15292" width="9.7109375" style="34" bestFit="1" customWidth="1"/>
    <col min="15293" max="15293" width="9.28515625" style="34" bestFit="1" customWidth="1"/>
    <col min="15294" max="15294" width="9.140625" style="34"/>
    <col min="15295" max="15295" width="9.28515625" style="34" bestFit="1" customWidth="1"/>
    <col min="15296" max="15529" width="9.140625" style="34"/>
    <col min="15530" max="15530" width="2.140625" style="34" customWidth="1"/>
    <col min="15531" max="15531" width="45" style="34" customWidth="1"/>
    <col min="15532" max="15534" width="8.140625" style="34" bestFit="1" customWidth="1"/>
    <col min="15535" max="15535" width="8.140625" style="34" customWidth="1"/>
    <col min="15536" max="15541" width="8.140625" style="34" bestFit="1" customWidth="1"/>
    <col min="15542" max="15542" width="8.42578125" style="34" customWidth="1"/>
    <col min="15543" max="15543" width="8.7109375" style="34" customWidth="1"/>
    <col min="15544" max="15544" width="9.42578125" style="34" customWidth="1"/>
    <col min="15545" max="15545" width="27.140625" style="34" customWidth="1"/>
    <col min="15546" max="15546" width="9.42578125" style="34" bestFit="1" customWidth="1"/>
    <col min="15547" max="15547" width="9.140625" style="34"/>
    <col min="15548" max="15548" width="9.7109375" style="34" bestFit="1" customWidth="1"/>
    <col min="15549" max="15549" width="9.28515625" style="34" bestFit="1" customWidth="1"/>
    <col min="15550" max="15550" width="9.140625" style="34"/>
    <col min="15551" max="15551" width="9.28515625" style="34" bestFit="1" customWidth="1"/>
    <col min="15552" max="15785" width="9.140625" style="34"/>
    <col min="15786" max="15786" width="2.140625" style="34" customWidth="1"/>
    <col min="15787" max="15787" width="45" style="34" customWidth="1"/>
    <col min="15788" max="15790" width="8.140625" style="34" bestFit="1" customWidth="1"/>
    <col min="15791" max="15791" width="8.140625" style="34" customWidth="1"/>
    <col min="15792" max="15797" width="8.140625" style="34" bestFit="1" customWidth="1"/>
    <col min="15798" max="15798" width="8.42578125" style="34" customWidth="1"/>
    <col min="15799" max="15799" width="8.7109375" style="34" customWidth="1"/>
    <col min="15800" max="15800" width="9.42578125" style="34" customWidth="1"/>
    <col min="15801" max="15801" width="27.140625" style="34" customWidth="1"/>
    <col min="15802" max="15802" width="9.42578125" style="34" bestFit="1" customWidth="1"/>
    <col min="15803" max="15803" width="9.140625" style="34"/>
    <col min="15804" max="15804" width="9.7109375" style="34" bestFit="1" customWidth="1"/>
    <col min="15805" max="15805" width="9.28515625" style="34" bestFit="1" customWidth="1"/>
    <col min="15806" max="15806" width="9.140625" style="34"/>
    <col min="15807" max="15807" width="9.28515625" style="34" bestFit="1" customWidth="1"/>
    <col min="15808" max="16041" width="9.140625" style="34"/>
    <col min="16042" max="16042" width="2.140625" style="34" customWidth="1"/>
    <col min="16043" max="16043" width="45" style="34" customWidth="1"/>
    <col min="16044" max="16046" width="8.140625" style="34" bestFit="1" customWidth="1"/>
    <col min="16047" max="16047" width="8.140625" style="34" customWidth="1"/>
    <col min="16048" max="16053" width="8.140625" style="34" bestFit="1" customWidth="1"/>
    <col min="16054" max="16054" width="8.42578125" style="34" customWidth="1"/>
    <col min="16055" max="16055" width="8.7109375" style="34" customWidth="1"/>
    <col min="16056" max="16056" width="9.42578125" style="34" customWidth="1"/>
    <col min="16057" max="16057" width="27.140625" style="34" customWidth="1"/>
    <col min="16058" max="16058" width="9.42578125" style="34" bestFit="1" customWidth="1"/>
    <col min="16059" max="16059" width="9.140625" style="34"/>
    <col min="16060" max="16060" width="9.7109375" style="34" bestFit="1" customWidth="1"/>
    <col min="16061" max="16061" width="9.28515625" style="34" bestFit="1" customWidth="1"/>
    <col min="16062" max="16062" width="9.140625" style="34"/>
    <col min="16063" max="16063" width="9.28515625" style="34" bestFit="1" customWidth="1"/>
    <col min="16064" max="16384" width="9.140625" style="34"/>
  </cols>
  <sheetData>
    <row r="1" spans="1:15" ht="15.75" customHeight="1" x14ac:dyDescent="0.25">
      <c r="A1" s="33" t="s">
        <v>0</v>
      </c>
      <c r="B1" s="33"/>
      <c r="C1" s="33"/>
    </row>
    <row r="2" spans="1:15" ht="16.5" customHeight="1" x14ac:dyDescent="0.25">
      <c r="A2" s="33" t="s">
        <v>1</v>
      </c>
      <c r="B2" s="33"/>
      <c r="C2" s="33"/>
    </row>
    <row r="3" spans="1:15" ht="13.5" customHeight="1" x14ac:dyDescent="0.25">
      <c r="A3" s="320" t="s">
        <v>229</v>
      </c>
      <c r="B3" s="320"/>
      <c r="C3" s="320"/>
    </row>
    <row r="4" spans="1:15" x14ac:dyDescent="0.2">
      <c r="A4" s="34" t="s">
        <v>3</v>
      </c>
    </row>
    <row r="5" spans="1:15" x14ac:dyDescent="0.2">
      <c r="A5" s="37" t="s">
        <v>4</v>
      </c>
    </row>
    <row r="6" spans="1:15" ht="12.75" customHeight="1" x14ac:dyDescent="0.2">
      <c r="A6" s="321" t="s">
        <v>5</v>
      </c>
      <c r="B6" s="321"/>
      <c r="C6" s="140" t="s">
        <v>6</v>
      </c>
      <c r="D6" s="140" t="s">
        <v>6</v>
      </c>
      <c r="E6" s="140" t="s">
        <v>6</v>
      </c>
      <c r="F6" s="140" t="s">
        <v>6</v>
      </c>
      <c r="G6" s="140" t="s">
        <v>6</v>
      </c>
      <c r="H6" s="141" t="s">
        <v>6</v>
      </c>
      <c r="I6" s="141" t="s">
        <v>6</v>
      </c>
      <c r="J6" s="141" t="s">
        <v>6</v>
      </c>
      <c r="K6" s="141" t="s">
        <v>6</v>
      </c>
      <c r="L6" s="141" t="s">
        <v>6</v>
      </c>
      <c r="M6" s="141" t="s">
        <v>6</v>
      </c>
      <c r="N6" s="142" t="s">
        <v>6</v>
      </c>
      <c r="O6" s="143" t="s">
        <v>6</v>
      </c>
    </row>
    <row r="7" spans="1:15" ht="12.75" customHeight="1" thickBot="1" x14ac:dyDescent="0.25">
      <c r="A7" s="322"/>
      <c r="B7" s="322"/>
      <c r="C7" s="144" t="s">
        <v>7</v>
      </c>
      <c r="D7" s="144" t="s">
        <v>8</v>
      </c>
      <c r="E7" s="144" t="s">
        <v>9</v>
      </c>
      <c r="F7" s="144" t="s">
        <v>10</v>
      </c>
      <c r="G7" s="144" t="s">
        <v>11</v>
      </c>
      <c r="H7" s="145" t="s">
        <v>12</v>
      </c>
      <c r="I7" s="145" t="s">
        <v>13</v>
      </c>
      <c r="J7" s="145" t="s">
        <v>14</v>
      </c>
      <c r="K7" s="145" t="s">
        <v>15</v>
      </c>
      <c r="L7" s="145" t="s">
        <v>16</v>
      </c>
      <c r="M7" s="145" t="s">
        <v>17</v>
      </c>
      <c r="N7" s="146" t="s">
        <v>18</v>
      </c>
      <c r="O7" s="147" t="s">
        <v>19</v>
      </c>
    </row>
    <row r="8" spans="1:15" ht="12.75" customHeight="1" thickTop="1" x14ac:dyDescent="0.25">
      <c r="A8" s="38"/>
      <c r="B8" s="38"/>
      <c r="C8" s="38"/>
    </row>
    <row r="9" spans="1:15" s="40" customFormat="1" ht="15" x14ac:dyDescent="0.25">
      <c r="A9" s="39" t="s">
        <v>20</v>
      </c>
      <c r="C9" s="41">
        <v>266.35000000000002</v>
      </c>
      <c r="D9" s="42">
        <v>861.75</v>
      </c>
      <c r="E9" s="42">
        <v>290.33</v>
      </c>
      <c r="F9" s="42">
        <v>343.8</v>
      </c>
      <c r="G9" s="42">
        <v>432.02</v>
      </c>
      <c r="H9" s="42">
        <v>270.2</v>
      </c>
      <c r="I9" s="42">
        <v>254.35999999999999</v>
      </c>
      <c r="J9" s="42">
        <v>431.52</v>
      </c>
      <c r="K9" s="42">
        <v>434.91999999999996</v>
      </c>
      <c r="L9" s="42">
        <v>2701.6</v>
      </c>
      <c r="M9" s="42">
        <v>477.60000000000008</v>
      </c>
      <c r="N9" s="43">
        <v>237.23000000000002</v>
      </c>
      <c r="O9" s="42">
        <v>7001.68</v>
      </c>
    </row>
    <row r="10" spans="1:15" x14ac:dyDescent="0.2">
      <c r="B10" s="34" t="s">
        <v>21</v>
      </c>
      <c r="C10" s="44">
        <v>0.94</v>
      </c>
      <c r="D10" s="45">
        <v>0.47</v>
      </c>
      <c r="E10" s="45">
        <v>0.46</v>
      </c>
      <c r="F10" s="34">
        <v>0.43</v>
      </c>
      <c r="G10" s="34">
        <v>0.97</v>
      </c>
      <c r="H10" s="35">
        <v>0.31</v>
      </c>
      <c r="I10" s="35">
        <v>0.68</v>
      </c>
      <c r="J10" s="35">
        <v>0.6</v>
      </c>
      <c r="K10" s="35">
        <v>0.44</v>
      </c>
      <c r="L10" s="35">
        <v>0.46</v>
      </c>
      <c r="M10" s="35">
        <v>0.39</v>
      </c>
      <c r="N10" s="46">
        <v>0.46</v>
      </c>
      <c r="O10" s="35">
        <v>6.6099999999999994</v>
      </c>
    </row>
    <row r="11" spans="1:15" x14ac:dyDescent="0.2">
      <c r="B11" s="34" t="s">
        <v>22</v>
      </c>
      <c r="C11" s="44">
        <v>2.4300000000000002</v>
      </c>
      <c r="D11" s="45">
        <v>3.13</v>
      </c>
      <c r="E11" s="45">
        <v>3.02</v>
      </c>
      <c r="F11" s="34">
        <v>2.0299999999999998</v>
      </c>
      <c r="G11" s="34">
        <v>11.16</v>
      </c>
      <c r="H11" s="35">
        <v>8.81</v>
      </c>
      <c r="I11" s="35">
        <v>6.52</v>
      </c>
      <c r="J11" s="35">
        <v>15.4</v>
      </c>
      <c r="K11" s="35">
        <v>14.06</v>
      </c>
      <c r="L11" s="35">
        <v>13.32</v>
      </c>
      <c r="M11" s="35">
        <v>3.68</v>
      </c>
      <c r="N11" s="46">
        <v>5.37</v>
      </c>
      <c r="O11" s="35">
        <v>88.93</v>
      </c>
    </row>
    <row r="12" spans="1:15" x14ac:dyDescent="0.2">
      <c r="B12" s="34" t="s">
        <v>230</v>
      </c>
      <c r="C12" s="44">
        <v>0.77</v>
      </c>
      <c r="D12" s="45">
        <v>2.41</v>
      </c>
      <c r="E12" s="45">
        <v>2.04</v>
      </c>
      <c r="F12" s="34">
        <v>1.91</v>
      </c>
      <c r="G12" s="34">
        <v>3.56</v>
      </c>
      <c r="H12" s="35">
        <v>1.62</v>
      </c>
      <c r="I12" s="35">
        <v>1.86</v>
      </c>
      <c r="J12" s="35">
        <v>1.3</v>
      </c>
      <c r="K12" s="35">
        <v>2.0699999999999998</v>
      </c>
      <c r="L12" s="35">
        <v>4.99</v>
      </c>
      <c r="M12" s="35">
        <v>1.94</v>
      </c>
      <c r="N12" s="46">
        <v>1.06</v>
      </c>
      <c r="O12" s="35">
        <v>25.53</v>
      </c>
    </row>
    <row r="13" spans="1:15" x14ac:dyDescent="0.2">
      <c r="B13" s="34" t="s">
        <v>25</v>
      </c>
      <c r="C13" s="44">
        <v>1.68</v>
      </c>
      <c r="D13" s="45">
        <v>3.2</v>
      </c>
      <c r="E13" s="45">
        <v>2.41</v>
      </c>
      <c r="F13" s="34">
        <v>1.96</v>
      </c>
      <c r="G13" s="44">
        <v>2.9</v>
      </c>
      <c r="H13" s="35">
        <v>1.7</v>
      </c>
      <c r="I13" s="35">
        <v>1.92</v>
      </c>
      <c r="J13" s="35">
        <v>1.7</v>
      </c>
      <c r="K13" s="35">
        <v>1.89</v>
      </c>
      <c r="L13" s="35">
        <v>2.5099999999999998</v>
      </c>
      <c r="M13" s="35">
        <v>1.42</v>
      </c>
      <c r="N13" s="46">
        <v>1.91</v>
      </c>
      <c r="O13" s="35">
        <v>25.2</v>
      </c>
    </row>
    <row r="14" spans="1:15" x14ac:dyDescent="0.2">
      <c r="B14" s="34" t="s">
        <v>26</v>
      </c>
      <c r="C14" s="44">
        <v>15.9</v>
      </c>
      <c r="D14" s="45">
        <v>16.309999999999999</v>
      </c>
      <c r="E14" s="45">
        <v>56.15</v>
      </c>
      <c r="F14" s="44">
        <v>85.1</v>
      </c>
      <c r="G14" s="44">
        <v>15.8</v>
      </c>
      <c r="H14" s="35">
        <v>41.74</v>
      </c>
      <c r="I14" s="35">
        <v>13.18</v>
      </c>
      <c r="J14" s="35">
        <v>8.39</v>
      </c>
      <c r="K14" s="35">
        <v>38.53</v>
      </c>
      <c r="L14" s="35">
        <v>732.75</v>
      </c>
      <c r="M14" s="35">
        <v>179.5</v>
      </c>
      <c r="N14" s="46">
        <v>3.5</v>
      </c>
      <c r="O14" s="35">
        <v>1206.8499999999999</v>
      </c>
    </row>
    <row r="15" spans="1:15" x14ac:dyDescent="0.2">
      <c r="B15" s="34" t="s">
        <v>27</v>
      </c>
      <c r="C15" s="44">
        <v>0.16</v>
      </c>
      <c r="D15" s="45">
        <v>0.8</v>
      </c>
      <c r="E15" s="45">
        <v>1.37</v>
      </c>
      <c r="F15" s="34">
        <v>2.04</v>
      </c>
      <c r="G15" s="34">
        <v>0.63</v>
      </c>
      <c r="H15" s="35">
        <v>0.49</v>
      </c>
      <c r="I15" s="35">
        <v>0.56000000000000005</v>
      </c>
      <c r="J15" s="35">
        <v>0.11</v>
      </c>
      <c r="K15" s="35">
        <v>0.25</v>
      </c>
      <c r="L15" s="35">
        <v>0.24</v>
      </c>
      <c r="M15" s="35">
        <v>0.3</v>
      </c>
      <c r="N15" s="46">
        <v>0.4</v>
      </c>
      <c r="O15" s="35">
        <v>7.3500000000000014</v>
      </c>
    </row>
    <row r="16" spans="1:15" x14ac:dyDescent="0.2">
      <c r="B16" s="34" t="s">
        <v>28</v>
      </c>
      <c r="C16" s="47" t="s">
        <v>231</v>
      </c>
      <c r="D16" s="47" t="s">
        <v>231</v>
      </c>
      <c r="E16" s="45">
        <v>0.74</v>
      </c>
      <c r="F16" s="44">
        <v>0</v>
      </c>
      <c r="G16" s="34">
        <v>0.23</v>
      </c>
      <c r="H16" s="35">
        <v>0.01</v>
      </c>
      <c r="I16" s="35">
        <v>0.1</v>
      </c>
      <c r="J16" s="35">
        <v>1.1399999999999999</v>
      </c>
      <c r="K16" s="47" t="s">
        <v>231</v>
      </c>
      <c r="L16" s="35">
        <v>0</v>
      </c>
      <c r="M16" s="35">
        <v>0.03</v>
      </c>
      <c r="N16" s="46">
        <v>0.63</v>
      </c>
      <c r="O16" s="35">
        <v>2.8799999999999994</v>
      </c>
    </row>
    <row r="17" spans="1:15" x14ac:dyDescent="0.2">
      <c r="B17" s="34" t="s">
        <v>30</v>
      </c>
      <c r="C17" s="44">
        <v>0</v>
      </c>
      <c r="D17" s="47" t="s">
        <v>231</v>
      </c>
      <c r="E17" s="47" t="s">
        <v>231</v>
      </c>
      <c r="F17" s="47" t="s">
        <v>231</v>
      </c>
      <c r="G17" s="47" t="s">
        <v>231</v>
      </c>
      <c r="H17" s="47" t="s">
        <v>231</v>
      </c>
      <c r="I17" s="35">
        <v>0.28999999999999998</v>
      </c>
      <c r="J17" s="47" t="s">
        <v>231</v>
      </c>
      <c r="K17" s="47" t="s">
        <v>231</v>
      </c>
      <c r="L17" s="47" t="s">
        <v>231</v>
      </c>
      <c r="M17" s="47" t="s">
        <v>231</v>
      </c>
      <c r="N17" s="46" t="s">
        <v>231</v>
      </c>
      <c r="O17" s="35">
        <v>0.28999999999999998</v>
      </c>
    </row>
    <row r="18" spans="1:15" x14ac:dyDescent="0.2">
      <c r="B18" s="34" t="s">
        <v>31</v>
      </c>
      <c r="C18" s="44">
        <v>0.01</v>
      </c>
      <c r="D18" s="45">
        <v>7.0000000000000007E-2</v>
      </c>
      <c r="E18" s="45">
        <v>0</v>
      </c>
      <c r="F18" s="44">
        <v>0</v>
      </c>
      <c r="G18" s="34">
        <v>0.02</v>
      </c>
      <c r="H18" s="35">
        <v>0.02</v>
      </c>
      <c r="I18" s="35">
        <v>0</v>
      </c>
      <c r="J18" s="35">
        <v>0.01</v>
      </c>
      <c r="K18" s="35">
        <v>7.0000000000000007E-2</v>
      </c>
      <c r="L18" s="35">
        <v>0.01</v>
      </c>
      <c r="M18" s="35">
        <v>0</v>
      </c>
      <c r="N18" s="46">
        <v>0.06</v>
      </c>
      <c r="O18" s="35">
        <v>0.27</v>
      </c>
    </row>
    <row r="19" spans="1:15" x14ac:dyDescent="0.2">
      <c r="B19" s="34" t="s">
        <v>32</v>
      </c>
      <c r="C19" s="44">
        <v>0</v>
      </c>
      <c r="D19" s="47" t="s">
        <v>231</v>
      </c>
      <c r="E19" s="47" t="s">
        <v>231</v>
      </c>
      <c r="F19" s="47" t="s">
        <v>231</v>
      </c>
      <c r="G19" s="47" t="s">
        <v>231</v>
      </c>
      <c r="H19" s="47" t="s">
        <v>231</v>
      </c>
      <c r="I19" s="47" t="s">
        <v>231</v>
      </c>
      <c r="J19" s="47" t="s">
        <v>231</v>
      </c>
      <c r="K19" s="47" t="s">
        <v>231</v>
      </c>
      <c r="L19" s="47" t="s">
        <v>231</v>
      </c>
      <c r="M19" s="47" t="s">
        <v>231</v>
      </c>
      <c r="N19" s="46" t="s">
        <v>231</v>
      </c>
      <c r="O19" s="35">
        <v>0</v>
      </c>
    </row>
    <row r="20" spans="1:15" x14ac:dyDescent="0.2">
      <c r="B20" s="34" t="s">
        <v>35</v>
      </c>
      <c r="C20" s="44">
        <v>0.14000000000000001</v>
      </c>
      <c r="D20" s="45">
        <v>0.46</v>
      </c>
      <c r="E20" s="45">
        <v>0.21</v>
      </c>
      <c r="F20" s="34">
        <v>0.19</v>
      </c>
      <c r="G20" s="34">
        <v>0.48</v>
      </c>
      <c r="H20" s="35">
        <v>0.26</v>
      </c>
      <c r="I20" s="35">
        <v>0.21</v>
      </c>
      <c r="J20" s="35">
        <v>0.27</v>
      </c>
      <c r="K20" s="35">
        <v>0.3</v>
      </c>
      <c r="L20" s="35">
        <v>0.52</v>
      </c>
      <c r="M20" s="35">
        <v>0.28000000000000003</v>
      </c>
      <c r="N20" s="46">
        <v>0.3</v>
      </c>
      <c r="O20" s="35">
        <v>3.6199999999999992</v>
      </c>
    </row>
    <row r="21" spans="1:15" s="48" customFormat="1" x14ac:dyDescent="0.2">
      <c r="B21" s="48" t="s">
        <v>36</v>
      </c>
      <c r="C21" s="49">
        <v>1.07</v>
      </c>
      <c r="D21" s="50">
        <v>1.67</v>
      </c>
      <c r="E21" s="50">
        <v>1.06</v>
      </c>
      <c r="F21" s="48">
        <v>0.66</v>
      </c>
      <c r="G21" s="48">
        <v>0.33</v>
      </c>
      <c r="H21" s="47" t="s">
        <v>231</v>
      </c>
      <c r="I21" s="47" t="s">
        <v>231</v>
      </c>
      <c r="J21" s="47" t="s">
        <v>231</v>
      </c>
      <c r="K21" s="51">
        <v>1.1299999999999999</v>
      </c>
      <c r="L21" s="51">
        <v>1.1299999999999999</v>
      </c>
      <c r="M21" s="51">
        <v>0.08</v>
      </c>
      <c r="N21" s="46">
        <v>0.93</v>
      </c>
      <c r="O21" s="35">
        <v>8.06</v>
      </c>
    </row>
    <row r="22" spans="1:15" x14ac:dyDescent="0.2">
      <c r="B22" s="34" t="s">
        <v>37</v>
      </c>
      <c r="C22" s="44">
        <v>174.83</v>
      </c>
      <c r="D22" s="45">
        <v>725.91</v>
      </c>
      <c r="E22" s="45">
        <v>156.22999999999999</v>
      </c>
      <c r="F22" s="34">
        <v>186.18</v>
      </c>
      <c r="G22" s="34">
        <v>309.77</v>
      </c>
      <c r="H22" s="35">
        <v>141.1</v>
      </c>
      <c r="I22" s="35">
        <v>139.41</v>
      </c>
      <c r="J22" s="35">
        <v>278.47000000000003</v>
      </c>
      <c r="K22" s="35">
        <v>290.75</v>
      </c>
      <c r="L22" s="35">
        <v>1855.87</v>
      </c>
      <c r="M22" s="51">
        <v>247.09</v>
      </c>
      <c r="N22" s="46">
        <v>178.01</v>
      </c>
      <c r="O22" s="35">
        <v>4683.6200000000008</v>
      </c>
    </row>
    <row r="23" spans="1:15" x14ac:dyDescent="0.2">
      <c r="B23" s="34" t="s">
        <v>38</v>
      </c>
      <c r="C23" s="44">
        <v>1.18</v>
      </c>
      <c r="D23" s="45">
        <v>0.41</v>
      </c>
      <c r="E23" s="45">
        <v>0.23</v>
      </c>
      <c r="F23" s="34">
        <v>0.22</v>
      </c>
      <c r="G23" s="34">
        <v>0.74</v>
      </c>
      <c r="H23" s="35">
        <v>0.74</v>
      </c>
      <c r="I23" s="35">
        <v>0.53</v>
      </c>
      <c r="J23" s="35">
        <v>0.7</v>
      </c>
      <c r="K23" s="35">
        <v>0.59</v>
      </c>
      <c r="L23" s="35">
        <v>1.26</v>
      </c>
      <c r="M23" s="35">
        <v>0.6</v>
      </c>
      <c r="N23" s="46">
        <v>0.87</v>
      </c>
      <c r="O23" s="35">
        <v>8.07</v>
      </c>
    </row>
    <row r="24" spans="1:15" x14ac:dyDescent="0.2">
      <c r="B24" s="34" t="s">
        <v>39</v>
      </c>
      <c r="C24" s="44">
        <v>6.15</v>
      </c>
      <c r="D24" s="45">
        <v>11.2</v>
      </c>
      <c r="E24" s="45">
        <v>7.31</v>
      </c>
      <c r="F24" s="34">
        <v>6.22</v>
      </c>
      <c r="G24" s="34">
        <v>8.49</v>
      </c>
      <c r="H24" s="35">
        <v>5.21</v>
      </c>
      <c r="I24" s="35">
        <v>6.25</v>
      </c>
      <c r="J24" s="35">
        <v>4.95</v>
      </c>
      <c r="K24" s="35">
        <v>6.7</v>
      </c>
      <c r="L24" s="35">
        <v>6.13</v>
      </c>
      <c r="M24" s="35">
        <v>4.75</v>
      </c>
      <c r="N24" s="46">
        <v>5.22</v>
      </c>
      <c r="O24" s="35">
        <v>78.58</v>
      </c>
    </row>
    <row r="25" spans="1:15" x14ac:dyDescent="0.2">
      <c r="B25" s="34" t="s">
        <v>40</v>
      </c>
      <c r="C25" s="44">
        <v>0</v>
      </c>
      <c r="D25" s="47" t="s">
        <v>231</v>
      </c>
      <c r="E25" s="47" t="s">
        <v>231</v>
      </c>
      <c r="F25" s="47" t="s">
        <v>231</v>
      </c>
      <c r="G25" s="47" t="s">
        <v>231</v>
      </c>
      <c r="H25" s="47" t="s">
        <v>231</v>
      </c>
      <c r="I25" s="47" t="s">
        <v>231</v>
      </c>
      <c r="J25" s="47" t="s">
        <v>231</v>
      </c>
      <c r="K25" s="47" t="s">
        <v>231</v>
      </c>
      <c r="L25" s="47" t="s">
        <v>231</v>
      </c>
      <c r="M25" s="47" t="s">
        <v>231</v>
      </c>
      <c r="N25" s="46" t="s">
        <v>231</v>
      </c>
      <c r="O25" s="35">
        <v>0</v>
      </c>
    </row>
    <row r="26" spans="1:15" x14ac:dyDescent="0.2">
      <c r="B26" s="34" t="s">
        <v>41</v>
      </c>
      <c r="C26" s="44">
        <v>60.93</v>
      </c>
      <c r="D26" s="45">
        <v>95.46</v>
      </c>
      <c r="E26" s="45">
        <v>58.59</v>
      </c>
      <c r="F26" s="34">
        <v>56.53</v>
      </c>
      <c r="G26" s="34">
        <v>76.06</v>
      </c>
      <c r="H26" s="35">
        <v>67.88</v>
      </c>
      <c r="I26" s="35">
        <v>82.03</v>
      </c>
      <c r="J26" s="35">
        <v>118.14</v>
      </c>
      <c r="K26" s="35">
        <v>77.86</v>
      </c>
      <c r="L26" s="35">
        <v>82.12</v>
      </c>
      <c r="M26" s="35">
        <v>37.33</v>
      </c>
      <c r="N26" s="46">
        <v>38.36</v>
      </c>
      <c r="O26" s="35">
        <v>851.29000000000008</v>
      </c>
    </row>
    <row r="27" spans="1:15" x14ac:dyDescent="0.2">
      <c r="B27" s="34" t="s">
        <v>42</v>
      </c>
      <c r="C27" s="44">
        <v>0.02</v>
      </c>
      <c r="D27" s="47" t="s">
        <v>231</v>
      </c>
      <c r="E27" s="47" t="s">
        <v>231</v>
      </c>
      <c r="F27" s="47" t="s">
        <v>231</v>
      </c>
      <c r="G27" s="47" t="s">
        <v>231</v>
      </c>
      <c r="H27" s="47" t="s">
        <v>231</v>
      </c>
      <c r="I27" s="47" t="s">
        <v>231</v>
      </c>
      <c r="J27" s="47" t="s">
        <v>231</v>
      </c>
      <c r="K27" s="47" t="s">
        <v>231</v>
      </c>
      <c r="L27" s="35">
        <v>0</v>
      </c>
      <c r="M27" s="35">
        <v>0</v>
      </c>
      <c r="N27" s="46">
        <v>0</v>
      </c>
      <c r="O27" s="35">
        <v>0.02</v>
      </c>
    </row>
    <row r="28" spans="1:15" x14ac:dyDescent="0.2">
      <c r="B28" s="34" t="s">
        <v>43</v>
      </c>
      <c r="C28" s="44">
        <v>0.04</v>
      </c>
      <c r="D28" s="45">
        <v>0.1</v>
      </c>
      <c r="E28" s="45">
        <v>0.12</v>
      </c>
      <c r="F28" s="34">
        <v>0.06</v>
      </c>
      <c r="G28" s="34">
        <v>0.12</v>
      </c>
      <c r="H28" s="35">
        <v>7.0000000000000007E-2</v>
      </c>
      <c r="I28" s="35">
        <v>0.06</v>
      </c>
      <c r="J28" s="35">
        <v>7.0000000000000007E-2</v>
      </c>
      <c r="K28" s="35">
        <v>0.08</v>
      </c>
      <c r="L28" s="35">
        <v>0.13</v>
      </c>
      <c r="M28" s="35">
        <v>0.04</v>
      </c>
      <c r="N28" s="46">
        <v>0.05</v>
      </c>
      <c r="O28" s="35">
        <v>0.94000000000000017</v>
      </c>
    </row>
    <row r="29" spans="1:15" x14ac:dyDescent="0.2">
      <c r="B29" s="34" t="s">
        <v>44</v>
      </c>
      <c r="C29" s="44">
        <v>0</v>
      </c>
      <c r="D29" s="47" t="s">
        <v>231</v>
      </c>
      <c r="E29" s="47" t="s">
        <v>231</v>
      </c>
      <c r="F29" s="47" t="s">
        <v>231</v>
      </c>
      <c r="G29" s="44">
        <v>0</v>
      </c>
      <c r="H29" s="47" t="s">
        <v>231</v>
      </c>
      <c r="I29" s="47" t="s">
        <v>231</v>
      </c>
      <c r="J29" s="35">
        <v>0.01</v>
      </c>
      <c r="K29" s="47" t="s">
        <v>231</v>
      </c>
      <c r="L29" s="35">
        <v>0</v>
      </c>
      <c r="M29" s="47" t="s">
        <v>231</v>
      </c>
      <c r="N29" s="46">
        <v>0.02</v>
      </c>
      <c r="O29" s="35">
        <v>0.03</v>
      </c>
    </row>
    <row r="30" spans="1:15" x14ac:dyDescent="0.2">
      <c r="B30" s="34" t="s">
        <v>45</v>
      </c>
      <c r="C30" s="44">
        <v>0.1</v>
      </c>
      <c r="D30" s="45">
        <v>0.15</v>
      </c>
      <c r="E30" s="45">
        <v>0.39</v>
      </c>
      <c r="F30" s="34">
        <v>0.27</v>
      </c>
      <c r="G30" s="34">
        <v>0.76</v>
      </c>
      <c r="H30" s="35">
        <v>0.24</v>
      </c>
      <c r="I30" s="35">
        <v>0.76</v>
      </c>
      <c r="J30" s="35">
        <v>0.26</v>
      </c>
      <c r="K30" s="35">
        <v>0.2</v>
      </c>
      <c r="L30" s="35">
        <v>0.16</v>
      </c>
      <c r="M30" s="35">
        <v>0.17</v>
      </c>
      <c r="N30" s="46">
        <v>0.08</v>
      </c>
      <c r="O30" s="35">
        <v>3.54</v>
      </c>
    </row>
    <row r="31" spans="1:15" ht="11.25" customHeight="1" x14ac:dyDescent="0.2">
      <c r="B31" s="34" t="s">
        <v>6</v>
      </c>
      <c r="C31" s="44"/>
      <c r="D31" s="45"/>
      <c r="E31" s="45"/>
    </row>
    <row r="32" spans="1:15" s="40" customFormat="1" ht="15" x14ac:dyDescent="0.25">
      <c r="A32" s="39" t="s">
        <v>46</v>
      </c>
      <c r="C32" s="41">
        <v>1.58</v>
      </c>
      <c r="D32" s="42">
        <v>14.169999999999998</v>
      </c>
      <c r="E32" s="42">
        <v>0.7300000000000002</v>
      </c>
      <c r="F32" s="42">
        <v>0.59</v>
      </c>
      <c r="G32" s="42">
        <v>1.26</v>
      </c>
      <c r="H32" s="42">
        <v>0.33</v>
      </c>
      <c r="I32" s="42">
        <v>0.33999999999999997</v>
      </c>
      <c r="J32" s="42">
        <v>0.98</v>
      </c>
      <c r="K32" s="42">
        <v>1.01</v>
      </c>
      <c r="L32" s="42">
        <v>1.05</v>
      </c>
      <c r="M32" s="42">
        <v>1.1900000000000002</v>
      </c>
      <c r="N32" s="43">
        <v>0.38</v>
      </c>
      <c r="O32" s="42">
        <v>23.61</v>
      </c>
    </row>
    <row r="33" spans="1:15" x14ac:dyDescent="0.2">
      <c r="B33" s="34" t="s">
        <v>47</v>
      </c>
      <c r="C33" s="44">
        <v>0.33</v>
      </c>
      <c r="D33" s="45">
        <v>0.45</v>
      </c>
      <c r="E33" s="45">
        <v>0.22</v>
      </c>
      <c r="F33" s="34">
        <v>0.21</v>
      </c>
      <c r="G33" s="34">
        <v>0.22</v>
      </c>
      <c r="H33" s="35">
        <v>0.16</v>
      </c>
      <c r="I33" s="35">
        <v>0.21</v>
      </c>
      <c r="J33" s="35">
        <v>0.69</v>
      </c>
      <c r="K33" s="35">
        <v>0.42</v>
      </c>
      <c r="L33" s="35">
        <v>0.6</v>
      </c>
      <c r="M33" s="35">
        <v>0.54</v>
      </c>
      <c r="N33" s="46">
        <v>0.14000000000000001</v>
      </c>
      <c r="O33" s="35">
        <v>4.1899999999999995</v>
      </c>
    </row>
    <row r="34" spans="1:15" x14ac:dyDescent="0.2">
      <c r="B34" s="34" t="s">
        <v>48</v>
      </c>
      <c r="C34" s="44">
        <v>0</v>
      </c>
      <c r="D34" s="47" t="s">
        <v>231</v>
      </c>
      <c r="E34" s="47" t="s">
        <v>231</v>
      </c>
      <c r="F34" s="47" t="s">
        <v>231</v>
      </c>
      <c r="G34" s="47" t="s">
        <v>231</v>
      </c>
      <c r="H34" s="47" t="s">
        <v>231</v>
      </c>
      <c r="I34" s="35">
        <v>0</v>
      </c>
      <c r="J34" s="47" t="s">
        <v>231</v>
      </c>
      <c r="K34" s="47" t="s">
        <v>231</v>
      </c>
      <c r="L34" s="47" t="s">
        <v>231</v>
      </c>
      <c r="M34" s="47" t="s">
        <v>231</v>
      </c>
      <c r="N34" s="46">
        <v>0</v>
      </c>
      <c r="O34" s="35">
        <v>0</v>
      </c>
    </row>
    <row r="35" spans="1:15" x14ac:dyDescent="0.2">
      <c r="B35" s="34" t="s">
        <v>49</v>
      </c>
      <c r="C35" s="44">
        <v>1.04</v>
      </c>
      <c r="D35" s="45">
        <v>0.49</v>
      </c>
      <c r="E35" s="45">
        <v>0.33</v>
      </c>
      <c r="F35" s="34">
        <v>0.35</v>
      </c>
      <c r="G35" s="34">
        <v>0.54</v>
      </c>
      <c r="H35" s="35">
        <v>0.15</v>
      </c>
      <c r="I35" s="35">
        <v>0.1</v>
      </c>
      <c r="J35" s="35">
        <v>0.27</v>
      </c>
      <c r="K35" s="35">
        <v>0.48</v>
      </c>
      <c r="L35" s="35">
        <v>0.24</v>
      </c>
      <c r="M35" s="35">
        <v>0.62</v>
      </c>
      <c r="N35" s="46">
        <v>0.14000000000000001</v>
      </c>
      <c r="O35" s="35">
        <v>4.75</v>
      </c>
    </row>
    <row r="36" spans="1:15" x14ac:dyDescent="0.2">
      <c r="B36" s="34" t="s">
        <v>50</v>
      </c>
      <c r="C36" s="44">
        <v>0</v>
      </c>
      <c r="D36" s="45">
        <v>13.12</v>
      </c>
      <c r="E36" s="45">
        <v>0.05</v>
      </c>
      <c r="F36" s="47" t="s">
        <v>231</v>
      </c>
      <c r="G36" s="47" t="s">
        <v>231</v>
      </c>
      <c r="H36" s="47" t="s">
        <v>231</v>
      </c>
      <c r="I36" s="47" t="s">
        <v>231</v>
      </c>
      <c r="J36" s="47" t="s">
        <v>231</v>
      </c>
      <c r="K36" s="47" t="s">
        <v>231</v>
      </c>
      <c r="L36" s="47" t="s">
        <v>231</v>
      </c>
      <c r="M36" s="47" t="s">
        <v>231</v>
      </c>
      <c r="N36" s="46" t="s">
        <v>231</v>
      </c>
      <c r="O36" s="35">
        <v>13.17</v>
      </c>
    </row>
    <row r="37" spans="1:15" s="52" customFormat="1" x14ac:dyDescent="0.2">
      <c r="A37" s="34"/>
      <c r="B37" s="34" t="s">
        <v>51</v>
      </c>
      <c r="C37" s="44">
        <v>0.13</v>
      </c>
      <c r="D37" s="45">
        <v>0.02</v>
      </c>
      <c r="E37" s="45">
        <v>0.04</v>
      </c>
      <c r="F37" s="34">
        <v>0.03</v>
      </c>
      <c r="G37" s="34">
        <v>0.41</v>
      </c>
      <c r="H37" s="35">
        <v>0</v>
      </c>
      <c r="I37" s="35">
        <v>0</v>
      </c>
      <c r="J37" s="35">
        <v>0.02</v>
      </c>
      <c r="K37" s="35">
        <v>0.01</v>
      </c>
      <c r="L37" s="35">
        <v>0.1</v>
      </c>
      <c r="M37" s="35">
        <v>0.02</v>
      </c>
      <c r="N37" s="46">
        <v>0.09</v>
      </c>
      <c r="O37" s="35">
        <v>0.87</v>
      </c>
    </row>
    <row r="38" spans="1:15" x14ac:dyDescent="0.2">
      <c r="B38" s="34" t="s">
        <v>52</v>
      </c>
      <c r="C38" s="44">
        <v>0.08</v>
      </c>
      <c r="D38" s="45">
        <v>0.09</v>
      </c>
      <c r="E38" s="45">
        <v>0.03</v>
      </c>
      <c r="F38" s="44">
        <v>0</v>
      </c>
      <c r="G38" s="34">
        <v>0.01</v>
      </c>
      <c r="H38" s="35">
        <v>0.02</v>
      </c>
      <c r="I38" s="35">
        <v>0.03</v>
      </c>
      <c r="J38" s="44">
        <v>0</v>
      </c>
      <c r="K38" s="35">
        <v>0.01</v>
      </c>
      <c r="L38" s="35">
        <v>0</v>
      </c>
      <c r="M38" s="35">
        <v>0.01</v>
      </c>
      <c r="N38" s="46">
        <v>0.01</v>
      </c>
      <c r="O38" s="35">
        <v>0.29000000000000004</v>
      </c>
    </row>
    <row r="39" spans="1:15" x14ac:dyDescent="0.2">
      <c r="B39" s="34" t="s">
        <v>53</v>
      </c>
      <c r="C39" s="44">
        <v>0</v>
      </c>
      <c r="D39" s="44">
        <v>0</v>
      </c>
      <c r="E39" s="45">
        <v>0.06</v>
      </c>
      <c r="F39" s="44">
        <v>0</v>
      </c>
      <c r="G39" s="34">
        <v>0.08</v>
      </c>
      <c r="H39" s="44">
        <v>0</v>
      </c>
      <c r="I39" s="44">
        <v>0</v>
      </c>
      <c r="J39" s="44">
        <v>0</v>
      </c>
      <c r="K39" s="35">
        <v>0.09</v>
      </c>
      <c r="L39" s="35">
        <v>0.11</v>
      </c>
      <c r="N39" s="46" t="s">
        <v>231</v>
      </c>
      <c r="O39" s="35">
        <v>0.34</v>
      </c>
    </row>
    <row r="40" spans="1:15" x14ac:dyDescent="0.2">
      <c r="D40" s="45"/>
      <c r="E40" s="45"/>
    </row>
    <row r="41" spans="1:15" s="40" customFormat="1" ht="15" x14ac:dyDescent="0.25">
      <c r="A41" s="39" t="s">
        <v>54</v>
      </c>
      <c r="C41" s="41">
        <v>28.059999999999995</v>
      </c>
      <c r="D41" s="42">
        <v>49.400000000000006</v>
      </c>
      <c r="E41" s="42">
        <v>40.410000000000004</v>
      </c>
      <c r="F41" s="42">
        <v>48.22</v>
      </c>
      <c r="G41" s="42">
        <v>97.51</v>
      </c>
      <c r="H41" s="42">
        <v>24.61</v>
      </c>
      <c r="I41" s="42">
        <v>58.82</v>
      </c>
      <c r="J41" s="42">
        <v>25.000000000000004</v>
      </c>
      <c r="K41" s="42">
        <v>30.83</v>
      </c>
      <c r="L41" s="42">
        <v>37.699999999999996</v>
      </c>
      <c r="M41" s="42">
        <v>23.603000000000002</v>
      </c>
      <c r="N41" s="43">
        <v>31.099999999999998</v>
      </c>
      <c r="O41" s="42">
        <v>495.26300000000003</v>
      </c>
    </row>
    <row r="42" spans="1:15" x14ac:dyDescent="0.2">
      <c r="B42" s="34" t="s">
        <v>55</v>
      </c>
      <c r="C42" s="44">
        <v>3.04</v>
      </c>
      <c r="D42" s="45">
        <v>5.82</v>
      </c>
      <c r="E42" s="45">
        <v>6.3</v>
      </c>
      <c r="F42" s="34">
        <v>20.71</v>
      </c>
      <c r="G42" s="34">
        <v>56.45</v>
      </c>
      <c r="H42" s="35">
        <v>4.2699999999999996</v>
      </c>
      <c r="I42" s="35">
        <v>34.74</v>
      </c>
      <c r="J42" s="35">
        <v>3.21</v>
      </c>
      <c r="K42" s="35">
        <v>4.1900000000000004</v>
      </c>
      <c r="L42" s="35">
        <v>7.42</v>
      </c>
      <c r="M42" s="35">
        <v>2.31</v>
      </c>
      <c r="N42" s="46">
        <v>5.17</v>
      </c>
      <c r="O42" s="35">
        <v>153.63</v>
      </c>
    </row>
    <row r="43" spans="1:15" x14ac:dyDescent="0.2">
      <c r="B43" s="34" t="s">
        <v>56</v>
      </c>
      <c r="C43" s="44">
        <v>0.04</v>
      </c>
      <c r="D43" s="45">
        <v>0.06</v>
      </c>
      <c r="E43" s="45">
        <v>0</v>
      </c>
      <c r="F43" s="45">
        <v>0</v>
      </c>
      <c r="G43" s="45">
        <v>0.02</v>
      </c>
      <c r="H43" s="47" t="s">
        <v>231</v>
      </c>
      <c r="I43" s="45">
        <v>0.01</v>
      </c>
      <c r="J43" s="45">
        <v>0</v>
      </c>
      <c r="K43" s="47" t="s">
        <v>231</v>
      </c>
      <c r="L43" s="45">
        <v>0</v>
      </c>
      <c r="M43" s="47" t="s">
        <v>231</v>
      </c>
      <c r="N43" s="46">
        <v>0</v>
      </c>
      <c r="O43" s="35">
        <v>0.13</v>
      </c>
    </row>
    <row r="44" spans="1:15" x14ac:dyDescent="0.2">
      <c r="B44" s="34" t="s">
        <v>57</v>
      </c>
      <c r="C44" s="44">
        <v>13.46</v>
      </c>
      <c r="D44" s="45">
        <v>24.61</v>
      </c>
      <c r="E44" s="45">
        <v>16.98</v>
      </c>
      <c r="F44" s="34">
        <v>17.420000000000002</v>
      </c>
      <c r="G44" s="34">
        <v>19.27</v>
      </c>
      <c r="H44" s="35">
        <v>13.06</v>
      </c>
      <c r="I44" s="35">
        <v>12.52</v>
      </c>
      <c r="J44" s="35">
        <v>13.11</v>
      </c>
      <c r="K44" s="35">
        <v>18.989999999999998</v>
      </c>
      <c r="L44" s="35">
        <v>22.76</v>
      </c>
      <c r="M44" s="35">
        <v>12.28</v>
      </c>
      <c r="N44" s="46">
        <v>17.63</v>
      </c>
      <c r="O44" s="35">
        <v>202.09</v>
      </c>
    </row>
    <row r="45" spans="1:15" x14ac:dyDescent="0.2">
      <c r="B45" s="34" t="s">
        <v>58</v>
      </c>
      <c r="C45" s="44">
        <v>6.81</v>
      </c>
      <c r="D45" s="45">
        <v>9.08</v>
      </c>
      <c r="E45" s="45">
        <v>4.79</v>
      </c>
      <c r="F45" s="34">
        <v>2.81</v>
      </c>
      <c r="G45" s="34">
        <v>8.66</v>
      </c>
      <c r="H45" s="35">
        <v>3.17</v>
      </c>
      <c r="I45" s="35">
        <v>5.7</v>
      </c>
      <c r="J45" s="35">
        <v>3.14</v>
      </c>
      <c r="K45" s="35">
        <v>2.84</v>
      </c>
      <c r="L45" s="35">
        <v>2.1800000000000002</v>
      </c>
      <c r="M45" s="35">
        <v>3.2</v>
      </c>
      <c r="N45" s="46">
        <v>2.96</v>
      </c>
      <c r="O45" s="35">
        <v>55.34</v>
      </c>
    </row>
    <row r="46" spans="1:15" x14ac:dyDescent="0.2">
      <c r="B46" s="34" t="s">
        <v>59</v>
      </c>
      <c r="C46" s="44">
        <v>0.28000000000000003</v>
      </c>
      <c r="D46" s="45">
        <v>0.42</v>
      </c>
      <c r="E46" s="45">
        <v>2.71</v>
      </c>
      <c r="F46" s="34">
        <v>1.44</v>
      </c>
      <c r="G46" s="34">
        <v>0.49</v>
      </c>
      <c r="H46" s="35">
        <v>0.46</v>
      </c>
      <c r="I46" s="35">
        <v>1.21</v>
      </c>
      <c r="J46" s="35">
        <v>0.56000000000000005</v>
      </c>
      <c r="K46" s="35">
        <v>0.5</v>
      </c>
      <c r="L46" s="35">
        <v>1.24</v>
      </c>
      <c r="M46" s="35">
        <v>0.91</v>
      </c>
      <c r="N46" s="46">
        <v>0.71</v>
      </c>
      <c r="O46" s="35">
        <v>10.93</v>
      </c>
    </row>
    <row r="47" spans="1:15" x14ac:dyDescent="0.2">
      <c r="B47" s="34" t="s">
        <v>60</v>
      </c>
      <c r="C47" s="44">
        <v>0.01</v>
      </c>
      <c r="D47" s="45">
        <v>0.02</v>
      </c>
      <c r="E47" s="45">
        <v>7.0000000000000007E-2</v>
      </c>
      <c r="F47" s="44">
        <v>0</v>
      </c>
      <c r="G47" s="34">
        <v>0.02</v>
      </c>
      <c r="H47" s="35">
        <v>0</v>
      </c>
      <c r="I47" s="47" t="s">
        <v>231</v>
      </c>
      <c r="J47" s="35">
        <v>0.02</v>
      </c>
      <c r="K47" s="35">
        <v>0.03</v>
      </c>
      <c r="L47" s="35">
        <v>0.02</v>
      </c>
      <c r="M47" s="35">
        <v>0.04</v>
      </c>
      <c r="N47" s="46">
        <v>0.02</v>
      </c>
      <c r="O47" s="35">
        <v>0.25</v>
      </c>
    </row>
    <row r="48" spans="1:15" x14ac:dyDescent="0.2">
      <c r="B48" s="34" t="s">
        <v>61</v>
      </c>
      <c r="C48" s="44">
        <v>0.28999999999999998</v>
      </c>
      <c r="D48" s="45">
        <v>0.45</v>
      </c>
      <c r="E48" s="45">
        <v>0.51</v>
      </c>
      <c r="F48" s="34">
        <v>0.08</v>
      </c>
      <c r="G48" s="34">
        <v>0.28999999999999998</v>
      </c>
      <c r="H48" s="35">
        <v>0.22</v>
      </c>
      <c r="I48" s="35">
        <v>0.19</v>
      </c>
      <c r="J48" s="35">
        <v>0.23</v>
      </c>
      <c r="K48" s="35">
        <v>0.34</v>
      </c>
      <c r="L48" s="35">
        <v>0.19</v>
      </c>
      <c r="M48" s="35">
        <v>0.19</v>
      </c>
      <c r="N48" s="46">
        <v>0.15</v>
      </c>
      <c r="O48" s="35">
        <v>3.13</v>
      </c>
    </row>
    <row r="49" spans="1:15" x14ac:dyDescent="0.2">
      <c r="B49" s="34" t="s">
        <v>62</v>
      </c>
      <c r="C49" s="44">
        <v>0</v>
      </c>
      <c r="D49" s="47" t="s">
        <v>231</v>
      </c>
      <c r="E49" s="47" t="s">
        <v>231</v>
      </c>
      <c r="F49" s="47" t="s">
        <v>231</v>
      </c>
      <c r="G49" s="47" t="s">
        <v>231</v>
      </c>
      <c r="H49" s="47" t="s">
        <v>231</v>
      </c>
      <c r="I49" s="47" t="s">
        <v>231</v>
      </c>
      <c r="J49" s="47" t="s">
        <v>231</v>
      </c>
      <c r="K49" s="47" t="s">
        <v>231</v>
      </c>
      <c r="L49" s="47" t="s">
        <v>231</v>
      </c>
      <c r="M49" s="47" t="s">
        <v>231</v>
      </c>
      <c r="N49" s="46" t="s">
        <v>231</v>
      </c>
      <c r="O49" s="35">
        <v>0</v>
      </c>
    </row>
    <row r="50" spans="1:15" x14ac:dyDescent="0.2">
      <c r="B50" s="34" t="s">
        <v>63</v>
      </c>
      <c r="C50" s="44">
        <v>0.2</v>
      </c>
      <c r="D50" s="45">
        <v>0.03</v>
      </c>
      <c r="E50" s="45">
        <v>0.08</v>
      </c>
      <c r="F50" s="34">
        <v>0.08</v>
      </c>
      <c r="G50" s="34">
        <v>0.26</v>
      </c>
      <c r="H50" s="35">
        <v>0.14000000000000001</v>
      </c>
      <c r="I50" s="35">
        <v>0.17</v>
      </c>
      <c r="J50" s="35">
        <v>0.12</v>
      </c>
      <c r="K50" s="35">
        <v>0.14000000000000001</v>
      </c>
      <c r="L50" s="35">
        <v>0.14000000000000001</v>
      </c>
      <c r="M50" s="35">
        <v>0.13300000000000001</v>
      </c>
      <c r="N50" s="46">
        <v>7.0000000000000007E-2</v>
      </c>
      <c r="O50" s="35">
        <v>1.5630000000000004</v>
      </c>
    </row>
    <row r="51" spans="1:15" x14ac:dyDescent="0.2">
      <c r="B51" s="34" t="s">
        <v>64</v>
      </c>
      <c r="C51" s="44">
        <v>0.06</v>
      </c>
      <c r="D51" s="45">
        <v>0.11</v>
      </c>
      <c r="E51" s="45">
        <v>0.14000000000000001</v>
      </c>
      <c r="F51" s="34">
        <v>0.08</v>
      </c>
      <c r="G51" s="34">
        <v>1.81</v>
      </c>
      <c r="H51" s="35">
        <v>0.24</v>
      </c>
      <c r="I51" s="35">
        <v>0.08</v>
      </c>
      <c r="J51" s="35">
        <v>0.14000000000000001</v>
      </c>
      <c r="K51" s="35">
        <v>0.06</v>
      </c>
      <c r="L51" s="35">
        <v>0.16</v>
      </c>
      <c r="M51" s="35">
        <v>7.0000000000000007E-2</v>
      </c>
      <c r="N51" s="46">
        <v>0.05</v>
      </c>
      <c r="O51" s="35">
        <v>3.0000000000000004</v>
      </c>
    </row>
    <row r="52" spans="1:15" s="37" customFormat="1" x14ac:dyDescent="0.2">
      <c r="B52" s="53" t="s">
        <v>65</v>
      </c>
      <c r="C52" s="54">
        <v>0</v>
      </c>
      <c r="D52" s="55">
        <v>2.2999999999999998</v>
      </c>
      <c r="E52" s="55">
        <v>0</v>
      </c>
      <c r="F52" s="55">
        <v>0</v>
      </c>
      <c r="G52" s="47" t="s">
        <v>231</v>
      </c>
      <c r="H52" s="56">
        <v>0</v>
      </c>
      <c r="I52" s="47" t="s">
        <v>231</v>
      </c>
      <c r="J52" s="47" t="s">
        <v>231</v>
      </c>
      <c r="K52" s="47" t="s">
        <v>231</v>
      </c>
      <c r="L52" s="47" t="s">
        <v>231</v>
      </c>
      <c r="M52" s="47" t="s">
        <v>231</v>
      </c>
      <c r="N52" s="46">
        <v>0</v>
      </c>
      <c r="O52" s="35">
        <v>2.2999999999999998</v>
      </c>
    </row>
    <row r="53" spans="1:15" x14ac:dyDescent="0.2">
      <c r="B53" s="34" t="s">
        <v>66</v>
      </c>
      <c r="C53" s="44">
        <v>0.13</v>
      </c>
      <c r="D53" s="45">
        <v>0.11</v>
      </c>
      <c r="E53" s="45">
        <v>0.05</v>
      </c>
      <c r="F53" s="47" t="s">
        <v>231</v>
      </c>
      <c r="G53" s="47" t="s">
        <v>231</v>
      </c>
      <c r="H53" s="47" t="s">
        <v>231</v>
      </c>
      <c r="I53" s="47" t="s">
        <v>231</v>
      </c>
      <c r="J53" s="35">
        <v>0.19</v>
      </c>
      <c r="K53" s="47" t="s">
        <v>231</v>
      </c>
      <c r="L53" s="47" t="s">
        <v>231</v>
      </c>
      <c r="M53" s="35">
        <v>0.03</v>
      </c>
      <c r="N53" s="46" t="s">
        <v>231</v>
      </c>
      <c r="O53" s="35">
        <v>0.51</v>
      </c>
    </row>
    <row r="54" spans="1:15" x14ac:dyDescent="0.2">
      <c r="B54" s="34" t="s">
        <v>67</v>
      </c>
      <c r="C54" s="44">
        <v>3.7</v>
      </c>
      <c r="D54" s="45">
        <v>6.25</v>
      </c>
      <c r="E54" s="45">
        <v>8.7799999999999994</v>
      </c>
      <c r="F54" s="34">
        <v>5.6</v>
      </c>
      <c r="G54" s="34">
        <v>10.24</v>
      </c>
      <c r="H54" s="35">
        <v>3.05</v>
      </c>
      <c r="I54" s="35">
        <v>4.2</v>
      </c>
      <c r="J54" s="35">
        <v>4.28</v>
      </c>
      <c r="K54" s="35">
        <v>3.74</v>
      </c>
      <c r="L54" s="35">
        <v>3.58</v>
      </c>
      <c r="M54" s="35">
        <v>4.4400000000000004</v>
      </c>
      <c r="N54" s="46">
        <v>4.34</v>
      </c>
      <c r="O54" s="35">
        <v>62.2</v>
      </c>
    </row>
    <row r="55" spans="1:15" x14ac:dyDescent="0.2">
      <c r="B55" s="34" t="s">
        <v>68</v>
      </c>
      <c r="C55" s="44">
        <v>0.04</v>
      </c>
      <c r="D55" s="45">
        <v>0.14000000000000001</v>
      </c>
      <c r="E55" s="47" t="s">
        <v>231</v>
      </c>
      <c r="F55" s="47" t="s">
        <v>231</v>
      </c>
      <c r="G55" s="47" t="s">
        <v>231</v>
      </c>
      <c r="H55" s="47" t="s">
        <v>231</v>
      </c>
      <c r="I55" s="47" t="s">
        <v>231</v>
      </c>
      <c r="J55" s="47" t="s">
        <v>231</v>
      </c>
      <c r="K55" s="47" t="s">
        <v>231</v>
      </c>
      <c r="L55" s="35">
        <v>0.01</v>
      </c>
      <c r="M55" s="47" t="s">
        <v>231</v>
      </c>
      <c r="N55" s="46" t="s">
        <v>231</v>
      </c>
      <c r="O55" s="35">
        <v>0.19000000000000003</v>
      </c>
    </row>
    <row r="56" spans="1:15" x14ac:dyDescent="0.2">
      <c r="D56" s="45"/>
      <c r="E56" s="45"/>
    </row>
    <row r="57" spans="1:15" s="40" customFormat="1" ht="15" x14ac:dyDescent="0.25">
      <c r="A57" s="39" t="s">
        <v>69</v>
      </c>
      <c r="C57" s="41">
        <v>1.02</v>
      </c>
      <c r="D57" s="41">
        <v>0.08</v>
      </c>
      <c r="E57" s="41">
        <v>0.66</v>
      </c>
      <c r="F57" s="41">
        <v>0.03</v>
      </c>
      <c r="G57" s="41">
        <v>0.84</v>
      </c>
      <c r="H57" s="57">
        <v>0.05</v>
      </c>
      <c r="I57" s="57">
        <v>0.01</v>
      </c>
      <c r="J57" s="57">
        <v>2.16</v>
      </c>
      <c r="K57" s="57">
        <v>0.09</v>
      </c>
      <c r="L57" s="57">
        <v>0.94</v>
      </c>
      <c r="M57" s="57">
        <v>0.31</v>
      </c>
      <c r="N57" s="43">
        <v>6.93</v>
      </c>
      <c r="O57" s="57">
        <v>13.119999999999997</v>
      </c>
    </row>
    <row r="58" spans="1:15" x14ac:dyDescent="0.2">
      <c r="B58" s="34" t="s">
        <v>70</v>
      </c>
      <c r="C58" s="44">
        <v>1.02</v>
      </c>
      <c r="D58" s="45">
        <v>0.08</v>
      </c>
      <c r="E58" s="45">
        <v>0.66</v>
      </c>
      <c r="F58" s="34">
        <v>0.03</v>
      </c>
      <c r="G58" s="34">
        <v>0.84</v>
      </c>
      <c r="H58" s="35">
        <v>0.05</v>
      </c>
      <c r="I58" s="35">
        <v>0.01</v>
      </c>
      <c r="J58" s="35">
        <v>2.16</v>
      </c>
      <c r="K58" s="35">
        <v>0.09</v>
      </c>
      <c r="L58" s="35">
        <v>0.94</v>
      </c>
      <c r="M58" s="35">
        <v>0.31</v>
      </c>
      <c r="N58" s="46">
        <v>6.93</v>
      </c>
      <c r="O58" s="35">
        <v>13.119999999999997</v>
      </c>
    </row>
    <row r="59" spans="1:15" ht="12.75" customHeight="1" x14ac:dyDescent="0.2">
      <c r="C59" s="44"/>
      <c r="D59" s="45"/>
      <c r="E59" s="45"/>
    </row>
    <row r="60" spans="1:15" s="40" customFormat="1" ht="15" x14ac:dyDescent="0.25">
      <c r="A60" s="39" t="s">
        <v>71</v>
      </c>
      <c r="C60" s="41">
        <v>4.12</v>
      </c>
      <c r="D60" s="41">
        <v>14.07</v>
      </c>
      <c r="E60" s="41">
        <v>9.6499999999999986</v>
      </c>
      <c r="F60" s="41">
        <v>11.02</v>
      </c>
      <c r="G60" s="41">
        <v>77.19</v>
      </c>
      <c r="H60" s="57">
        <v>11.6</v>
      </c>
      <c r="I60" s="57">
        <v>10.9</v>
      </c>
      <c r="J60" s="57">
        <v>14.5</v>
      </c>
      <c r="K60" s="57">
        <v>48.919999999999995</v>
      </c>
      <c r="L60" s="57">
        <v>10.25</v>
      </c>
      <c r="M60" s="57">
        <v>9.14</v>
      </c>
      <c r="N60" s="43">
        <v>6.84</v>
      </c>
      <c r="O60" s="57">
        <v>228.20000000000002</v>
      </c>
    </row>
    <row r="61" spans="1:15" x14ac:dyDescent="0.2">
      <c r="B61" s="34" t="s">
        <v>72</v>
      </c>
      <c r="C61" s="44">
        <v>4.12</v>
      </c>
      <c r="D61" s="45">
        <v>14.05</v>
      </c>
      <c r="E61" s="45">
        <v>9.6199999999999992</v>
      </c>
      <c r="F61" s="34">
        <v>11.02</v>
      </c>
      <c r="G61" s="34">
        <v>77.14</v>
      </c>
      <c r="H61" s="35">
        <v>11.58</v>
      </c>
      <c r="I61" s="35">
        <v>10.88</v>
      </c>
      <c r="J61" s="35">
        <v>14.49</v>
      </c>
      <c r="K61" s="35">
        <v>48.91</v>
      </c>
      <c r="L61" s="35">
        <v>10.24</v>
      </c>
      <c r="M61" s="35">
        <v>9.08</v>
      </c>
      <c r="N61" s="46">
        <v>6.82</v>
      </c>
      <c r="O61" s="35">
        <v>227.95000000000002</v>
      </c>
    </row>
    <row r="62" spans="1:15" x14ac:dyDescent="0.2">
      <c r="B62" s="34" t="s">
        <v>73</v>
      </c>
      <c r="C62" s="44">
        <v>0</v>
      </c>
      <c r="D62" s="47" t="s">
        <v>231</v>
      </c>
      <c r="E62" s="47" t="s">
        <v>231</v>
      </c>
      <c r="F62" s="47" t="s">
        <v>231</v>
      </c>
      <c r="G62" s="34">
        <v>0.02</v>
      </c>
      <c r="H62" s="35">
        <v>0</v>
      </c>
      <c r="I62" s="47" t="s">
        <v>231</v>
      </c>
      <c r="J62" s="35">
        <v>0</v>
      </c>
      <c r="K62" s="47" t="s">
        <v>231</v>
      </c>
      <c r="L62" s="47" t="s">
        <v>231</v>
      </c>
      <c r="M62" s="35">
        <v>0.05</v>
      </c>
      <c r="N62" s="46" t="s">
        <v>231</v>
      </c>
      <c r="O62" s="35">
        <v>7.0000000000000007E-2</v>
      </c>
    </row>
    <row r="63" spans="1:15" x14ac:dyDescent="0.2">
      <c r="B63" s="34" t="s">
        <v>74</v>
      </c>
      <c r="C63" s="44">
        <v>0</v>
      </c>
      <c r="D63" s="45">
        <v>0.02</v>
      </c>
      <c r="E63" s="45">
        <v>0.03</v>
      </c>
      <c r="F63" s="35">
        <v>0</v>
      </c>
      <c r="G63" s="34">
        <v>0.03</v>
      </c>
      <c r="H63" s="35">
        <v>0.02</v>
      </c>
      <c r="I63" s="35">
        <v>0.02</v>
      </c>
      <c r="J63" s="35">
        <v>0.01</v>
      </c>
      <c r="K63" s="35">
        <v>0.01</v>
      </c>
      <c r="L63" s="35">
        <v>0.01</v>
      </c>
      <c r="M63" s="35">
        <v>0.01</v>
      </c>
      <c r="N63" s="46">
        <v>0.02</v>
      </c>
      <c r="O63" s="35">
        <v>0.18000000000000002</v>
      </c>
    </row>
    <row r="64" spans="1:15" ht="12.75" customHeight="1" x14ac:dyDescent="0.2">
      <c r="C64" s="44"/>
      <c r="D64" s="45"/>
      <c r="E64" s="45"/>
    </row>
    <row r="65" spans="1:15" s="40" customFormat="1" ht="15" x14ac:dyDescent="0.25">
      <c r="A65" s="39" t="s">
        <v>75</v>
      </c>
      <c r="C65" s="41">
        <v>0</v>
      </c>
      <c r="D65" s="41">
        <v>0</v>
      </c>
      <c r="E65" s="41">
        <v>0</v>
      </c>
      <c r="F65" s="41">
        <v>0</v>
      </c>
      <c r="G65" s="41">
        <v>0</v>
      </c>
      <c r="H65" s="57">
        <v>0</v>
      </c>
      <c r="I65" s="57">
        <v>0</v>
      </c>
      <c r="J65" s="57">
        <v>0</v>
      </c>
      <c r="K65" s="57">
        <v>0</v>
      </c>
      <c r="L65" s="57">
        <v>0</v>
      </c>
      <c r="M65" s="57">
        <v>0</v>
      </c>
      <c r="N65" s="43">
        <v>0</v>
      </c>
      <c r="O65" s="57">
        <v>0</v>
      </c>
    </row>
    <row r="66" spans="1:15" x14ac:dyDescent="0.2">
      <c r="B66" s="34" t="s">
        <v>76</v>
      </c>
      <c r="C66" s="44">
        <v>0</v>
      </c>
      <c r="D66" s="47" t="s">
        <v>231</v>
      </c>
      <c r="E66" s="47" t="s">
        <v>231</v>
      </c>
      <c r="F66" s="47" t="s">
        <v>231</v>
      </c>
      <c r="G66" s="47" t="s">
        <v>231</v>
      </c>
      <c r="H66" s="47" t="s">
        <v>231</v>
      </c>
      <c r="I66" s="35">
        <v>0</v>
      </c>
      <c r="J66" s="47" t="s">
        <v>231</v>
      </c>
      <c r="K66" s="35">
        <v>0</v>
      </c>
      <c r="L66" s="47" t="s">
        <v>231</v>
      </c>
      <c r="M66" s="47" t="s">
        <v>231</v>
      </c>
      <c r="N66" s="46" t="s">
        <v>231</v>
      </c>
      <c r="O66" s="35">
        <v>0</v>
      </c>
    </row>
    <row r="67" spans="1:15" x14ac:dyDescent="0.2">
      <c r="B67" s="34" t="s">
        <v>77</v>
      </c>
      <c r="C67" s="44">
        <v>0</v>
      </c>
      <c r="D67" s="45">
        <v>0</v>
      </c>
      <c r="E67" s="45">
        <v>0</v>
      </c>
      <c r="F67" s="45">
        <v>0</v>
      </c>
      <c r="G67" s="45">
        <v>0</v>
      </c>
      <c r="H67" s="45">
        <v>0</v>
      </c>
      <c r="I67" s="45">
        <v>0</v>
      </c>
      <c r="J67" s="45">
        <v>0</v>
      </c>
      <c r="K67" s="35">
        <v>0.13</v>
      </c>
      <c r="L67" s="35">
        <v>0.01</v>
      </c>
      <c r="M67" s="35">
        <v>0.04</v>
      </c>
      <c r="N67" s="46">
        <v>0</v>
      </c>
      <c r="O67" s="35">
        <v>0.18000000000000002</v>
      </c>
    </row>
    <row r="68" spans="1:15" x14ac:dyDescent="0.2">
      <c r="C68" s="44"/>
      <c r="D68" s="45"/>
      <c r="E68" s="45"/>
    </row>
    <row r="69" spans="1:15" s="40" customFormat="1" ht="15" x14ac:dyDescent="0.25">
      <c r="A69" s="39" t="s">
        <v>78</v>
      </c>
      <c r="C69" s="41">
        <v>24.5</v>
      </c>
      <c r="D69" s="41">
        <v>127.67</v>
      </c>
      <c r="E69" s="41">
        <v>87.360000000000014</v>
      </c>
      <c r="F69" s="41">
        <v>328.12000000000006</v>
      </c>
      <c r="G69" s="41">
        <v>240.13000000000002</v>
      </c>
      <c r="H69" s="57">
        <v>104.48</v>
      </c>
      <c r="I69" s="57">
        <v>235.60999999999999</v>
      </c>
      <c r="J69" s="57">
        <v>202.91</v>
      </c>
      <c r="K69" s="57">
        <v>152.68</v>
      </c>
      <c r="L69" s="57">
        <v>159.71999999999997</v>
      </c>
      <c r="M69" s="57">
        <v>23.64</v>
      </c>
      <c r="N69" s="43">
        <v>105.18</v>
      </c>
      <c r="O69" s="57">
        <v>1792</v>
      </c>
    </row>
    <row r="70" spans="1:15" x14ac:dyDescent="0.2">
      <c r="B70" s="34" t="s">
        <v>79</v>
      </c>
      <c r="C70" s="44">
        <v>8.7799999999999994</v>
      </c>
      <c r="D70" s="45">
        <v>46.24</v>
      </c>
      <c r="E70" s="45">
        <v>19.559999999999999</v>
      </c>
      <c r="F70" s="45">
        <v>9.91</v>
      </c>
      <c r="G70" s="45">
        <v>26.26</v>
      </c>
      <c r="H70" s="45">
        <v>11.66</v>
      </c>
      <c r="I70" s="45">
        <v>22.94</v>
      </c>
      <c r="J70" s="45">
        <v>24.34</v>
      </c>
      <c r="K70" s="45">
        <v>18.170000000000002</v>
      </c>
      <c r="L70" s="45">
        <v>12.74</v>
      </c>
      <c r="M70" s="45">
        <v>14.25</v>
      </c>
      <c r="N70" s="46">
        <v>6.99</v>
      </c>
      <c r="O70" s="35">
        <v>221.84000000000003</v>
      </c>
    </row>
    <row r="71" spans="1:15" x14ac:dyDescent="0.2">
      <c r="B71" s="34" t="s">
        <v>80</v>
      </c>
      <c r="C71" s="44">
        <v>0</v>
      </c>
      <c r="D71" s="47" t="s">
        <v>231</v>
      </c>
      <c r="E71" s="47" t="s">
        <v>231</v>
      </c>
      <c r="F71" s="45">
        <v>0.02</v>
      </c>
      <c r="G71" s="45">
        <v>0</v>
      </c>
      <c r="H71" s="47" t="s">
        <v>231</v>
      </c>
      <c r="I71" s="45">
        <v>0</v>
      </c>
      <c r="J71" s="47" t="s">
        <v>231</v>
      </c>
      <c r="K71" s="47" t="s">
        <v>231</v>
      </c>
      <c r="L71" s="47" t="s">
        <v>231</v>
      </c>
      <c r="M71" s="47" t="s">
        <v>231</v>
      </c>
      <c r="N71" s="46" t="s">
        <v>231</v>
      </c>
      <c r="O71" s="35">
        <v>0.02</v>
      </c>
    </row>
    <row r="72" spans="1:15" x14ac:dyDescent="0.2">
      <c r="B72" s="34" t="s">
        <v>81</v>
      </c>
      <c r="C72" s="44">
        <v>0.22</v>
      </c>
      <c r="D72" s="45">
        <v>0.21</v>
      </c>
      <c r="E72" s="45">
        <v>0.3</v>
      </c>
      <c r="F72" s="45">
        <v>1.24</v>
      </c>
      <c r="G72" s="45">
        <v>2.88</v>
      </c>
      <c r="H72" s="45">
        <v>0.02</v>
      </c>
      <c r="I72" s="45">
        <v>0.03</v>
      </c>
      <c r="J72" s="45">
        <v>0.03</v>
      </c>
      <c r="K72" s="45">
        <v>1.88</v>
      </c>
      <c r="L72" s="45">
        <v>0.52</v>
      </c>
      <c r="M72" s="45">
        <v>0</v>
      </c>
      <c r="N72" s="46">
        <v>7.0000000000000007E-2</v>
      </c>
      <c r="O72" s="35">
        <v>7.4</v>
      </c>
    </row>
    <row r="73" spans="1:15" x14ac:dyDescent="0.2">
      <c r="B73" s="34" t="s">
        <v>82</v>
      </c>
      <c r="C73" s="44">
        <v>5.19</v>
      </c>
      <c r="D73" s="45">
        <v>7.22</v>
      </c>
      <c r="E73" s="45">
        <v>10.48</v>
      </c>
      <c r="F73" s="45">
        <v>7.11</v>
      </c>
      <c r="G73" s="45">
        <v>10.36</v>
      </c>
      <c r="H73" s="45">
        <v>6.79</v>
      </c>
      <c r="I73" s="45">
        <v>6.63</v>
      </c>
      <c r="J73" s="45">
        <v>8.7100000000000009</v>
      </c>
      <c r="K73" s="45">
        <v>5</v>
      </c>
      <c r="L73" s="45">
        <v>5.88</v>
      </c>
      <c r="M73" s="45">
        <v>3.74</v>
      </c>
      <c r="N73" s="46">
        <v>6.25</v>
      </c>
      <c r="O73" s="35">
        <v>83.36</v>
      </c>
    </row>
    <row r="74" spans="1:15" x14ac:dyDescent="0.2">
      <c r="B74" s="34" t="s">
        <v>83</v>
      </c>
      <c r="C74" s="44">
        <v>4.6100000000000003</v>
      </c>
      <c r="D74" s="45">
        <v>0.21</v>
      </c>
      <c r="E74" s="45">
        <v>0.54</v>
      </c>
      <c r="F74" s="45">
        <v>0.13</v>
      </c>
      <c r="G74" s="45">
        <v>0.8</v>
      </c>
      <c r="H74" s="45">
        <v>0.05</v>
      </c>
      <c r="I74" s="45">
        <v>0.23</v>
      </c>
      <c r="J74" s="45">
        <v>0.39</v>
      </c>
      <c r="K74" s="45">
        <v>0.06</v>
      </c>
      <c r="L74" s="45">
        <v>0.09</v>
      </c>
      <c r="M74" s="45">
        <v>0.13</v>
      </c>
      <c r="N74" s="46">
        <v>0.11</v>
      </c>
      <c r="O74" s="35">
        <v>7.35</v>
      </c>
    </row>
    <row r="75" spans="1:15" x14ac:dyDescent="0.2">
      <c r="B75" s="34" t="s">
        <v>84</v>
      </c>
      <c r="C75" s="44">
        <v>5.18</v>
      </c>
      <c r="D75" s="45">
        <v>72.739999999999995</v>
      </c>
      <c r="E75" s="45">
        <v>55.49</v>
      </c>
      <c r="F75" s="45">
        <v>302.62</v>
      </c>
      <c r="G75" s="45">
        <v>198.19</v>
      </c>
      <c r="H75" s="45">
        <v>84.19</v>
      </c>
      <c r="I75" s="45">
        <v>204.82</v>
      </c>
      <c r="J75" s="45">
        <v>168.55</v>
      </c>
      <c r="K75" s="45">
        <v>126.5</v>
      </c>
      <c r="L75" s="45">
        <v>138.57</v>
      </c>
      <c r="M75" s="45">
        <v>4.26</v>
      </c>
      <c r="N75" s="46">
        <v>90.81</v>
      </c>
      <c r="O75" s="35">
        <v>1451.9199999999998</v>
      </c>
    </row>
    <row r="76" spans="1:15" x14ac:dyDescent="0.2">
      <c r="B76" s="34" t="s">
        <v>85</v>
      </c>
      <c r="C76" s="44">
        <v>0.43</v>
      </c>
      <c r="D76" s="45">
        <v>1.02</v>
      </c>
      <c r="E76" s="45">
        <v>0.89</v>
      </c>
      <c r="F76" s="45">
        <v>6.91</v>
      </c>
      <c r="G76" s="45">
        <v>1.62</v>
      </c>
      <c r="H76" s="45">
        <v>1.76</v>
      </c>
      <c r="I76" s="45">
        <v>0.95</v>
      </c>
      <c r="J76" s="45">
        <v>0.88</v>
      </c>
      <c r="K76" s="45">
        <v>1.06</v>
      </c>
      <c r="L76" s="45">
        <v>1.75</v>
      </c>
      <c r="M76" s="45">
        <v>1.22</v>
      </c>
      <c r="N76" s="46">
        <v>0.91</v>
      </c>
      <c r="O76" s="35">
        <v>19.400000000000002</v>
      </c>
    </row>
    <row r="77" spans="1:15" x14ac:dyDescent="0.2">
      <c r="B77" s="34" t="s">
        <v>86</v>
      </c>
      <c r="C77" s="44">
        <v>0</v>
      </c>
      <c r="D77" s="47" t="s">
        <v>231</v>
      </c>
      <c r="E77" s="45">
        <v>0.01</v>
      </c>
      <c r="F77" s="47" t="s">
        <v>231</v>
      </c>
      <c r="G77" s="47" t="s">
        <v>231</v>
      </c>
      <c r="H77" s="47" t="s">
        <v>231</v>
      </c>
      <c r="I77" s="45">
        <v>0</v>
      </c>
      <c r="J77" s="47" t="s">
        <v>231</v>
      </c>
      <c r="K77" s="47" t="s">
        <v>231</v>
      </c>
      <c r="L77" s="47" t="s">
        <v>231</v>
      </c>
      <c r="M77" s="47" t="s">
        <v>231</v>
      </c>
      <c r="N77" s="46" t="s">
        <v>231</v>
      </c>
      <c r="O77" s="35">
        <v>0.01</v>
      </c>
    </row>
    <row r="78" spans="1:15" x14ac:dyDescent="0.2">
      <c r="B78" s="34" t="s">
        <v>87</v>
      </c>
      <c r="C78" s="44">
        <v>0.09</v>
      </c>
      <c r="D78" s="45">
        <v>0.03</v>
      </c>
      <c r="E78" s="45">
        <v>0.09</v>
      </c>
      <c r="F78" s="45">
        <v>0.18</v>
      </c>
      <c r="G78" s="45">
        <v>0.02</v>
      </c>
      <c r="H78" s="45">
        <v>0.01</v>
      </c>
      <c r="I78" s="45">
        <v>0.01</v>
      </c>
      <c r="J78" s="45">
        <v>0.01</v>
      </c>
      <c r="K78" s="45">
        <v>0.01</v>
      </c>
      <c r="L78" s="45">
        <v>0.17</v>
      </c>
      <c r="M78" s="45">
        <v>0.04</v>
      </c>
      <c r="N78" s="46">
        <v>0.04</v>
      </c>
      <c r="O78" s="35">
        <v>0.70000000000000018</v>
      </c>
    </row>
    <row r="79" spans="1:15" ht="12.75" customHeight="1" x14ac:dyDescent="0.2">
      <c r="C79" s="44"/>
      <c r="D79" s="45"/>
      <c r="E79" s="45"/>
    </row>
    <row r="80" spans="1:15" s="40" customFormat="1" ht="15" x14ac:dyDescent="0.25">
      <c r="A80" s="39" t="s">
        <v>88</v>
      </c>
      <c r="C80" s="41">
        <v>232.70000000000002</v>
      </c>
      <c r="D80" s="41">
        <v>321.61</v>
      </c>
      <c r="E80" s="41">
        <v>190.25</v>
      </c>
      <c r="F80" s="41">
        <v>250.34</v>
      </c>
      <c r="G80" s="41">
        <v>231.3</v>
      </c>
      <c r="H80" s="57">
        <v>114.75</v>
      </c>
      <c r="I80" s="57">
        <v>121.58000000000001</v>
      </c>
      <c r="J80" s="57">
        <v>324.86</v>
      </c>
      <c r="K80" s="57">
        <v>197.1</v>
      </c>
      <c r="L80" s="57">
        <v>276.67</v>
      </c>
      <c r="M80" s="57">
        <v>130.89000000000001</v>
      </c>
      <c r="N80" s="43">
        <v>173.37</v>
      </c>
      <c r="O80" s="57">
        <v>2565.4199999999996</v>
      </c>
    </row>
    <row r="81" spans="1:15" x14ac:dyDescent="0.2">
      <c r="B81" s="34" t="s">
        <v>89</v>
      </c>
      <c r="C81" s="44">
        <v>1.24</v>
      </c>
      <c r="D81" s="45">
        <v>1.4</v>
      </c>
      <c r="E81" s="45">
        <v>1.47</v>
      </c>
      <c r="F81" s="34">
        <v>1.5</v>
      </c>
      <c r="G81" s="34">
        <v>1.28</v>
      </c>
      <c r="H81" s="35">
        <v>0.82</v>
      </c>
      <c r="I81" s="35">
        <v>0.93</v>
      </c>
      <c r="J81" s="35">
        <v>0.9</v>
      </c>
      <c r="K81" s="35">
        <v>0.15</v>
      </c>
      <c r="L81" s="35">
        <v>0.15</v>
      </c>
      <c r="M81" s="35">
        <v>0.08</v>
      </c>
      <c r="N81" s="46">
        <v>0.21</v>
      </c>
      <c r="O81" s="35">
        <v>10.130000000000003</v>
      </c>
    </row>
    <row r="82" spans="1:15" x14ac:dyDescent="0.2">
      <c r="B82" s="34" t="s">
        <v>90</v>
      </c>
      <c r="C82" s="44">
        <v>0</v>
      </c>
      <c r="D82" s="45">
        <v>0.32</v>
      </c>
      <c r="E82" s="45">
        <v>1.17</v>
      </c>
      <c r="F82" s="34">
        <v>0.02</v>
      </c>
      <c r="G82" s="58">
        <v>0</v>
      </c>
      <c r="H82" s="47" t="s">
        <v>231</v>
      </c>
      <c r="I82" s="47" t="s">
        <v>231</v>
      </c>
      <c r="J82" s="35">
        <v>2.23</v>
      </c>
      <c r="K82" s="35">
        <v>7.0000000000000007E-2</v>
      </c>
      <c r="L82" s="35">
        <v>0.01</v>
      </c>
      <c r="M82" s="47" t="s">
        <v>231</v>
      </c>
      <c r="N82" s="46" t="s">
        <v>231</v>
      </c>
      <c r="O82" s="35">
        <v>3.82</v>
      </c>
    </row>
    <row r="83" spans="1:15" x14ac:dyDescent="0.2">
      <c r="B83" s="34" t="s">
        <v>91</v>
      </c>
      <c r="C83" s="44">
        <v>231.46</v>
      </c>
      <c r="D83" s="45">
        <v>319.89</v>
      </c>
      <c r="E83" s="45">
        <v>187.61</v>
      </c>
      <c r="F83" s="34">
        <v>248.82</v>
      </c>
      <c r="G83" s="34">
        <v>230.02</v>
      </c>
      <c r="H83" s="35">
        <v>113.93</v>
      </c>
      <c r="I83" s="35">
        <v>120.65</v>
      </c>
      <c r="J83" s="35">
        <v>321.73</v>
      </c>
      <c r="K83" s="35">
        <v>196.88</v>
      </c>
      <c r="L83" s="35">
        <v>276.51</v>
      </c>
      <c r="M83" s="35">
        <v>130.81</v>
      </c>
      <c r="N83" s="46">
        <v>173.16</v>
      </c>
      <c r="O83" s="35">
        <v>2551.4699999999998</v>
      </c>
    </row>
    <row r="84" spans="1:15" ht="12.75" customHeight="1" x14ac:dyDescent="0.2">
      <c r="C84" s="44"/>
      <c r="D84" s="45"/>
      <c r="E84" s="45"/>
    </row>
    <row r="85" spans="1:15" s="40" customFormat="1" ht="15" x14ac:dyDescent="0.25">
      <c r="A85" s="39" t="s">
        <v>92</v>
      </c>
      <c r="C85" s="41">
        <v>116.53</v>
      </c>
      <c r="D85" s="41">
        <v>232.53</v>
      </c>
      <c r="E85" s="41">
        <v>195.42</v>
      </c>
      <c r="F85" s="41">
        <v>168.42000000000002</v>
      </c>
      <c r="G85" s="41">
        <v>272.87</v>
      </c>
      <c r="H85" s="57">
        <v>188.32</v>
      </c>
      <c r="I85" s="57">
        <v>147.82</v>
      </c>
      <c r="J85" s="57">
        <v>157.94</v>
      </c>
      <c r="K85" s="57">
        <v>179.48999999999998</v>
      </c>
      <c r="L85" s="57">
        <v>182.85</v>
      </c>
      <c r="M85" s="57">
        <v>118.6</v>
      </c>
      <c r="N85" s="43">
        <v>123.22</v>
      </c>
      <c r="O85" s="57">
        <v>2084.0100000000002</v>
      </c>
    </row>
    <row r="86" spans="1:15" x14ac:dyDescent="0.2">
      <c r="B86" s="34" t="s">
        <v>93</v>
      </c>
      <c r="C86" s="44">
        <v>114.42</v>
      </c>
      <c r="D86" s="45">
        <v>227.96</v>
      </c>
      <c r="E86" s="45">
        <v>191.82</v>
      </c>
      <c r="F86" s="34">
        <v>164.52</v>
      </c>
      <c r="G86" s="34">
        <v>266.49</v>
      </c>
      <c r="H86" s="35">
        <v>185.42</v>
      </c>
      <c r="I86" s="35">
        <v>145.09</v>
      </c>
      <c r="J86" s="35">
        <v>154.91999999999999</v>
      </c>
      <c r="K86" s="35">
        <v>175.73</v>
      </c>
      <c r="L86" s="35">
        <v>179.2</v>
      </c>
      <c r="M86" s="35">
        <v>116.52</v>
      </c>
      <c r="N86" s="46">
        <v>120.67</v>
      </c>
      <c r="O86" s="35">
        <v>2042.7600000000002</v>
      </c>
    </row>
    <row r="87" spans="1:15" x14ac:dyDescent="0.2">
      <c r="B87" s="34" t="s">
        <v>94</v>
      </c>
      <c r="C87" s="44">
        <v>2.11</v>
      </c>
      <c r="D87" s="45">
        <v>4.53</v>
      </c>
      <c r="E87" s="45">
        <v>3.59</v>
      </c>
      <c r="F87" s="34">
        <v>3.87</v>
      </c>
      <c r="G87" s="34">
        <v>6.38</v>
      </c>
      <c r="H87" s="35">
        <v>2.9</v>
      </c>
      <c r="I87" s="35">
        <v>2.73</v>
      </c>
      <c r="J87" s="35">
        <v>3.02</v>
      </c>
      <c r="K87" s="35">
        <v>3.76</v>
      </c>
      <c r="L87" s="35">
        <v>3.65</v>
      </c>
      <c r="M87" s="35">
        <v>2.0299999999999998</v>
      </c>
      <c r="N87" s="46">
        <v>2.5499999999999998</v>
      </c>
      <c r="O87" s="35">
        <v>41.12</v>
      </c>
    </row>
    <row r="88" spans="1:15" x14ac:dyDescent="0.2">
      <c r="B88" s="34" t="s">
        <v>95</v>
      </c>
      <c r="C88" s="44">
        <v>0</v>
      </c>
      <c r="D88" s="45">
        <v>0.04</v>
      </c>
      <c r="E88" s="45">
        <v>0.01</v>
      </c>
      <c r="F88" s="34">
        <v>0.03</v>
      </c>
      <c r="G88" s="47" t="s">
        <v>231</v>
      </c>
      <c r="H88" s="47" t="s">
        <v>231</v>
      </c>
      <c r="I88" s="47" t="s">
        <v>231</v>
      </c>
      <c r="J88" s="47" t="s">
        <v>231</v>
      </c>
      <c r="K88" s="47" t="s">
        <v>231</v>
      </c>
      <c r="L88" s="47" t="s">
        <v>231</v>
      </c>
      <c r="M88" s="35">
        <v>0.05</v>
      </c>
      <c r="N88" s="46" t="s">
        <v>231</v>
      </c>
      <c r="O88" s="35">
        <v>0.13</v>
      </c>
    </row>
    <row r="89" spans="1:15" ht="12.75" customHeight="1" x14ac:dyDescent="0.2">
      <c r="C89" s="44"/>
      <c r="D89" s="45"/>
      <c r="E89" s="45"/>
    </row>
    <row r="90" spans="1:15" s="40" customFormat="1" ht="15" x14ac:dyDescent="0.25">
      <c r="A90" s="39" t="s">
        <v>96</v>
      </c>
      <c r="C90" s="41">
        <v>21.89</v>
      </c>
      <c r="D90" s="41">
        <v>34.629999999999995</v>
      </c>
      <c r="E90" s="41">
        <v>21.58</v>
      </c>
      <c r="F90" s="41">
        <v>17.899999999999999</v>
      </c>
      <c r="G90" s="41">
        <v>45.25</v>
      </c>
      <c r="H90" s="57">
        <v>16.940000000000001</v>
      </c>
      <c r="I90" s="57">
        <v>19.989999999999998</v>
      </c>
      <c r="J90" s="57">
        <v>47.24</v>
      </c>
      <c r="K90" s="57">
        <v>19.73</v>
      </c>
      <c r="L90" s="57">
        <v>33.840000000000003</v>
      </c>
      <c r="M90" s="57">
        <v>20.11</v>
      </c>
      <c r="N90" s="43">
        <v>34.01</v>
      </c>
      <c r="O90" s="57">
        <v>333.10999999999996</v>
      </c>
    </row>
    <row r="91" spans="1:15" x14ac:dyDescent="0.2">
      <c r="B91" s="34" t="s">
        <v>97</v>
      </c>
      <c r="C91" s="44">
        <v>17.36</v>
      </c>
      <c r="D91" s="45">
        <v>25.7</v>
      </c>
      <c r="E91" s="45">
        <v>15.12</v>
      </c>
      <c r="F91" s="34">
        <v>11.19</v>
      </c>
      <c r="G91" s="34">
        <v>35.18</v>
      </c>
      <c r="H91" s="35">
        <v>10.9</v>
      </c>
      <c r="I91" s="35">
        <v>13.51</v>
      </c>
      <c r="J91" s="35">
        <v>40.99</v>
      </c>
      <c r="K91" s="35">
        <v>11.66</v>
      </c>
      <c r="L91" s="35">
        <v>24.95</v>
      </c>
      <c r="M91" s="35">
        <v>15.15</v>
      </c>
      <c r="N91" s="46">
        <v>28.19</v>
      </c>
      <c r="O91" s="35">
        <v>249.9</v>
      </c>
    </row>
    <row r="92" spans="1:15" x14ac:dyDescent="0.2">
      <c r="B92" s="34" t="s">
        <v>98</v>
      </c>
      <c r="C92" s="44">
        <v>0.34</v>
      </c>
      <c r="D92" s="45">
        <v>0.66</v>
      </c>
      <c r="E92" s="45">
        <v>0.4</v>
      </c>
      <c r="F92" s="34">
        <v>0.59</v>
      </c>
      <c r="G92" s="34">
        <v>0.63</v>
      </c>
      <c r="H92" s="35">
        <v>0.5</v>
      </c>
      <c r="I92" s="35">
        <v>0.35</v>
      </c>
      <c r="J92" s="35">
        <v>0.45</v>
      </c>
      <c r="K92" s="35">
        <v>0.61</v>
      </c>
      <c r="L92" s="35">
        <v>0.59</v>
      </c>
      <c r="M92" s="47">
        <v>0.46</v>
      </c>
      <c r="N92" s="46">
        <v>0.31</v>
      </c>
      <c r="O92" s="35">
        <v>5.89</v>
      </c>
    </row>
    <row r="93" spans="1:15" x14ac:dyDescent="0.2">
      <c r="B93" s="34" t="s">
        <v>99</v>
      </c>
      <c r="C93" s="44">
        <v>4.1900000000000004</v>
      </c>
      <c r="D93" s="45">
        <v>8.27</v>
      </c>
      <c r="E93" s="45">
        <v>6.06</v>
      </c>
      <c r="F93" s="34">
        <v>6.12</v>
      </c>
      <c r="G93" s="34">
        <v>9.44</v>
      </c>
      <c r="H93" s="35">
        <v>5.54</v>
      </c>
      <c r="I93" s="35">
        <v>6.13</v>
      </c>
      <c r="J93" s="35">
        <v>5.8</v>
      </c>
      <c r="K93" s="35">
        <v>7.39</v>
      </c>
      <c r="L93" s="35">
        <v>8.3000000000000007</v>
      </c>
      <c r="M93" s="35">
        <v>4.5</v>
      </c>
      <c r="N93" s="46">
        <v>5.51</v>
      </c>
      <c r="O93" s="35">
        <v>77.25</v>
      </c>
    </row>
    <row r="94" spans="1:15" x14ac:dyDescent="0.2">
      <c r="B94" s="34" t="s">
        <v>100</v>
      </c>
      <c r="C94" s="44">
        <v>0</v>
      </c>
      <c r="D94" s="47" t="s">
        <v>231</v>
      </c>
      <c r="E94" s="47" t="s">
        <v>231</v>
      </c>
      <c r="F94" s="47" t="s">
        <v>231</v>
      </c>
      <c r="G94" s="47" t="s">
        <v>231</v>
      </c>
      <c r="H94" s="47" t="s">
        <v>231</v>
      </c>
      <c r="I94" s="47" t="s">
        <v>231</v>
      </c>
      <c r="J94" s="47" t="s">
        <v>231</v>
      </c>
      <c r="K94" s="35">
        <v>7.0000000000000007E-2</v>
      </c>
      <c r="L94" s="47" t="s">
        <v>231</v>
      </c>
      <c r="M94" s="47" t="s">
        <v>231</v>
      </c>
      <c r="N94" s="46" t="s">
        <v>231</v>
      </c>
      <c r="O94" s="35">
        <v>7.0000000000000007E-2</v>
      </c>
    </row>
    <row r="95" spans="1:15" ht="12.75" customHeight="1" x14ac:dyDescent="0.2">
      <c r="C95" s="44"/>
      <c r="D95" s="45"/>
      <c r="E95" s="45"/>
    </row>
    <row r="96" spans="1:15" s="40" customFormat="1" ht="15" x14ac:dyDescent="0.25">
      <c r="A96" s="39" t="s">
        <v>102</v>
      </c>
      <c r="C96" s="41">
        <v>1.42</v>
      </c>
      <c r="D96" s="41">
        <v>4.08</v>
      </c>
      <c r="E96" s="41">
        <v>6.09</v>
      </c>
      <c r="F96" s="41">
        <v>6.58</v>
      </c>
      <c r="G96" s="41">
        <v>6.65</v>
      </c>
      <c r="H96" s="57">
        <v>5.25</v>
      </c>
      <c r="I96" s="57">
        <v>1.4100000000000001</v>
      </c>
      <c r="J96" s="57">
        <v>1.1400000000000001</v>
      </c>
      <c r="K96" s="57">
        <v>6.07</v>
      </c>
      <c r="L96" s="57">
        <v>9.91</v>
      </c>
      <c r="M96" s="57">
        <v>3.13</v>
      </c>
      <c r="N96" s="43">
        <v>2.7229999999999999</v>
      </c>
      <c r="O96" s="57">
        <v>54.453000000000003</v>
      </c>
    </row>
    <row r="97" spans="1:15" x14ac:dyDescent="0.2">
      <c r="B97" s="34" t="s">
        <v>103</v>
      </c>
      <c r="C97" s="44">
        <v>0.19</v>
      </c>
      <c r="D97" s="45">
        <v>2.0699999999999998</v>
      </c>
      <c r="E97" s="45">
        <v>1.1499999999999999</v>
      </c>
      <c r="F97" s="45">
        <v>0.92</v>
      </c>
      <c r="G97" s="45">
        <v>2.31</v>
      </c>
      <c r="H97" s="45">
        <v>0.83</v>
      </c>
      <c r="I97" s="45">
        <v>0.5</v>
      </c>
      <c r="J97" s="45">
        <v>0.23</v>
      </c>
      <c r="K97" s="45">
        <v>1.01</v>
      </c>
      <c r="L97" s="45">
        <v>1.72</v>
      </c>
      <c r="M97" s="45">
        <v>0.24</v>
      </c>
      <c r="N97" s="46">
        <v>0.31</v>
      </c>
      <c r="O97" s="35">
        <v>11.480000000000002</v>
      </c>
    </row>
    <row r="98" spans="1:15" x14ac:dyDescent="0.2">
      <c r="B98" s="34" t="s">
        <v>104</v>
      </c>
      <c r="C98" s="47" t="s">
        <v>231</v>
      </c>
      <c r="D98" s="45">
        <v>0.01</v>
      </c>
      <c r="E98" s="45">
        <v>0.01</v>
      </c>
      <c r="F98" s="45">
        <v>0.23</v>
      </c>
      <c r="G98" s="45">
        <v>0.55000000000000004</v>
      </c>
      <c r="H98" s="45">
        <v>1.34</v>
      </c>
      <c r="I98" s="45">
        <v>0.23</v>
      </c>
      <c r="J98" s="45">
        <v>0.02</v>
      </c>
      <c r="K98" s="45">
        <v>0.02</v>
      </c>
      <c r="L98" s="45">
        <v>0.01</v>
      </c>
      <c r="M98" s="45">
        <v>1.33</v>
      </c>
      <c r="N98" s="46">
        <v>1.81</v>
      </c>
      <c r="O98" s="35">
        <v>5.5600000000000005</v>
      </c>
    </row>
    <row r="99" spans="1:15" x14ac:dyDescent="0.2">
      <c r="B99" s="34" t="s">
        <v>105</v>
      </c>
      <c r="C99" s="44">
        <v>0.94</v>
      </c>
      <c r="D99" s="45">
        <v>1.0900000000000001</v>
      </c>
      <c r="E99" s="45">
        <v>4.54</v>
      </c>
      <c r="F99" s="45">
        <v>5.08</v>
      </c>
      <c r="G99" s="45">
        <v>2.58</v>
      </c>
      <c r="H99" s="45">
        <v>2.66</v>
      </c>
      <c r="I99" s="45">
        <v>0.28000000000000003</v>
      </c>
      <c r="J99" s="45">
        <v>0.39</v>
      </c>
      <c r="K99" s="45">
        <v>3.85</v>
      </c>
      <c r="L99" s="45">
        <v>7.3</v>
      </c>
      <c r="M99" s="45">
        <v>0.56000000000000005</v>
      </c>
      <c r="N99" s="46">
        <v>0.223</v>
      </c>
      <c r="O99" s="35">
        <v>29.493000000000002</v>
      </c>
    </row>
    <row r="100" spans="1:15" x14ac:dyDescent="0.2">
      <c r="B100" s="34" t="s">
        <v>106</v>
      </c>
      <c r="C100" s="44">
        <v>0.28999999999999998</v>
      </c>
      <c r="D100" s="45">
        <v>0.91</v>
      </c>
      <c r="E100" s="45">
        <v>0.39</v>
      </c>
      <c r="F100" s="45">
        <v>0.35</v>
      </c>
      <c r="G100" s="45">
        <v>1.21</v>
      </c>
      <c r="H100" s="45">
        <v>0.42</v>
      </c>
      <c r="I100" s="45">
        <v>0.4</v>
      </c>
      <c r="J100" s="45">
        <v>0.5</v>
      </c>
      <c r="K100" s="45">
        <v>1.19</v>
      </c>
      <c r="L100" s="45">
        <v>0.88</v>
      </c>
      <c r="M100" s="45">
        <v>1</v>
      </c>
      <c r="N100" s="46">
        <v>0.38</v>
      </c>
      <c r="O100" s="35">
        <v>7.92</v>
      </c>
    </row>
    <row r="101" spans="1:15" ht="12.75" customHeight="1" x14ac:dyDescent="0.2">
      <c r="C101" s="44"/>
      <c r="D101" s="45"/>
      <c r="E101" s="45"/>
    </row>
    <row r="102" spans="1:15" s="40" customFormat="1" ht="15" x14ac:dyDescent="0.25">
      <c r="A102" s="39" t="s">
        <v>107</v>
      </c>
      <c r="C102" s="41">
        <v>474.99</v>
      </c>
      <c r="D102" s="41">
        <v>726.56999999999994</v>
      </c>
      <c r="E102" s="41">
        <v>711.42</v>
      </c>
      <c r="F102" s="41">
        <v>669.41</v>
      </c>
      <c r="G102" s="57">
        <v>1041.26</v>
      </c>
      <c r="H102" s="57">
        <v>673.1</v>
      </c>
      <c r="I102" s="57">
        <v>567.07000000000005</v>
      </c>
      <c r="J102" s="57">
        <v>678.72</v>
      </c>
      <c r="K102" s="57">
        <v>717.97</v>
      </c>
      <c r="L102" s="57">
        <v>841.93</v>
      </c>
      <c r="M102" s="57">
        <v>586.74</v>
      </c>
      <c r="N102" s="43">
        <v>679.65</v>
      </c>
      <c r="O102" s="57">
        <v>8368.83</v>
      </c>
    </row>
    <row r="103" spans="1:15" x14ac:dyDescent="0.2">
      <c r="B103" s="34" t="s">
        <v>108</v>
      </c>
      <c r="C103" s="44">
        <v>3.84</v>
      </c>
      <c r="D103" s="45">
        <v>7.78</v>
      </c>
      <c r="E103" s="45">
        <v>7.41</v>
      </c>
      <c r="F103" s="34">
        <v>6.65</v>
      </c>
      <c r="G103" s="44">
        <v>7.7</v>
      </c>
      <c r="H103" s="35">
        <v>6.19</v>
      </c>
      <c r="I103" s="35">
        <v>4.79</v>
      </c>
      <c r="J103" s="35">
        <v>5.73</v>
      </c>
      <c r="K103" s="35">
        <v>6.41</v>
      </c>
      <c r="L103" s="35">
        <v>5.74</v>
      </c>
      <c r="M103" s="35">
        <v>3.23</v>
      </c>
      <c r="N103" s="46">
        <v>4.17</v>
      </c>
      <c r="O103" s="35">
        <v>69.64</v>
      </c>
    </row>
    <row r="104" spans="1:15" x14ac:dyDescent="0.2">
      <c r="B104" s="34" t="s">
        <v>109</v>
      </c>
      <c r="C104" s="44">
        <v>0.06</v>
      </c>
      <c r="D104" s="45">
        <v>0.02</v>
      </c>
      <c r="E104" s="45">
        <v>0.1</v>
      </c>
      <c r="F104" s="34">
        <v>0.04</v>
      </c>
      <c r="G104" s="34">
        <v>0.19</v>
      </c>
      <c r="H104" s="35">
        <v>0.2</v>
      </c>
      <c r="I104" s="35">
        <v>0.01</v>
      </c>
      <c r="J104" s="35">
        <v>0.7</v>
      </c>
      <c r="K104" s="35">
        <v>0.13</v>
      </c>
      <c r="L104" s="35">
        <v>0.02</v>
      </c>
      <c r="M104" s="35">
        <v>0.14000000000000001</v>
      </c>
      <c r="N104" s="46">
        <v>0.05</v>
      </c>
      <c r="O104" s="35">
        <v>1.6600000000000004</v>
      </c>
    </row>
    <row r="105" spans="1:15" x14ac:dyDescent="0.2">
      <c r="B105" s="34" t="s">
        <v>110</v>
      </c>
      <c r="C105" s="44">
        <v>167.04</v>
      </c>
      <c r="D105" s="45">
        <v>309.43</v>
      </c>
      <c r="E105" s="45">
        <v>293.94</v>
      </c>
      <c r="F105" s="34">
        <v>228.5</v>
      </c>
      <c r="G105" s="44">
        <v>418.8</v>
      </c>
      <c r="H105" s="35">
        <v>207.64</v>
      </c>
      <c r="I105" s="35">
        <v>190.28</v>
      </c>
      <c r="J105" s="35">
        <v>249.4</v>
      </c>
      <c r="K105" s="35">
        <v>267.8</v>
      </c>
      <c r="L105" s="35">
        <v>282.31</v>
      </c>
      <c r="M105" s="35">
        <v>166.92</v>
      </c>
      <c r="N105" s="46">
        <v>211.92</v>
      </c>
      <c r="O105" s="35">
        <v>2993.98</v>
      </c>
    </row>
    <row r="106" spans="1:15" x14ac:dyDescent="0.2">
      <c r="B106" s="34" t="s">
        <v>111</v>
      </c>
      <c r="C106" s="44">
        <v>280</v>
      </c>
      <c r="D106" s="45">
        <v>351.8</v>
      </c>
      <c r="E106" s="45">
        <v>338.61</v>
      </c>
      <c r="F106" s="34">
        <v>390.96</v>
      </c>
      <c r="G106" s="44">
        <v>538.9</v>
      </c>
      <c r="H106" s="35">
        <v>398.75</v>
      </c>
      <c r="I106" s="35">
        <v>340.02</v>
      </c>
      <c r="J106" s="35">
        <v>368.19</v>
      </c>
      <c r="K106" s="35">
        <v>388.11</v>
      </c>
      <c r="L106" s="35">
        <v>499.31</v>
      </c>
      <c r="M106" s="35">
        <v>381.91</v>
      </c>
      <c r="N106" s="46">
        <v>410.86</v>
      </c>
      <c r="O106" s="35">
        <v>4687.42</v>
      </c>
    </row>
    <row r="107" spans="1:15" x14ac:dyDescent="0.2">
      <c r="B107" s="34" t="s">
        <v>112</v>
      </c>
      <c r="C107" s="44">
        <v>24.05</v>
      </c>
      <c r="D107" s="45">
        <v>57.54</v>
      </c>
      <c r="E107" s="45">
        <v>71.36</v>
      </c>
      <c r="F107" s="34">
        <v>43.26</v>
      </c>
      <c r="G107" s="44">
        <v>75.67</v>
      </c>
      <c r="H107" s="35">
        <v>60.32</v>
      </c>
      <c r="I107" s="35">
        <v>31.97</v>
      </c>
      <c r="J107" s="35">
        <v>54.7</v>
      </c>
      <c r="K107" s="35">
        <v>55.52</v>
      </c>
      <c r="L107" s="35">
        <v>54.55</v>
      </c>
      <c r="M107" s="35">
        <v>34.54</v>
      </c>
      <c r="N107" s="46">
        <v>52.65</v>
      </c>
      <c r="O107" s="35">
        <v>616.12999999999988</v>
      </c>
    </row>
    <row r="108" spans="1:15" x14ac:dyDescent="0.2">
      <c r="C108" s="44"/>
      <c r="D108" s="45"/>
      <c r="E108" s="45"/>
    </row>
    <row r="109" spans="1:15" s="40" customFormat="1" ht="15" x14ac:dyDescent="0.25">
      <c r="A109" s="39" t="s">
        <v>113</v>
      </c>
      <c r="C109" s="41">
        <v>42.82</v>
      </c>
      <c r="D109" s="41">
        <v>66.86999999999999</v>
      </c>
      <c r="E109" s="41">
        <v>56.02</v>
      </c>
      <c r="F109" s="41">
        <v>408.31</v>
      </c>
      <c r="G109" s="41">
        <v>91.15</v>
      </c>
      <c r="H109" s="57">
        <v>58.830000000000005</v>
      </c>
      <c r="I109" s="57">
        <v>53.85</v>
      </c>
      <c r="J109" s="57">
        <v>53.099999999999994</v>
      </c>
      <c r="K109" s="57">
        <v>78.650000000000006</v>
      </c>
      <c r="L109" s="57">
        <v>63.529999999999994</v>
      </c>
      <c r="M109" s="57">
        <v>36.199999999999996</v>
      </c>
      <c r="N109" s="43">
        <v>52.12</v>
      </c>
      <c r="O109" s="57">
        <v>1061.45</v>
      </c>
    </row>
    <row r="110" spans="1:15" x14ac:dyDescent="0.2">
      <c r="B110" s="34" t="s">
        <v>108</v>
      </c>
      <c r="C110" s="44">
        <v>11.24</v>
      </c>
      <c r="D110" s="45">
        <v>16.02</v>
      </c>
      <c r="E110" s="45">
        <v>19.72</v>
      </c>
      <c r="F110" s="34">
        <v>373.24</v>
      </c>
      <c r="G110" s="34">
        <v>39.200000000000003</v>
      </c>
      <c r="H110" s="35">
        <v>25.82</v>
      </c>
      <c r="I110" s="35">
        <v>22.87</v>
      </c>
      <c r="J110" s="35">
        <v>26.13</v>
      </c>
      <c r="K110" s="35">
        <v>47.09</v>
      </c>
      <c r="L110" s="35">
        <v>31.04</v>
      </c>
      <c r="M110" s="35">
        <v>18.079999999999998</v>
      </c>
      <c r="N110" s="46">
        <v>29.47</v>
      </c>
      <c r="O110" s="35">
        <v>659.92000000000007</v>
      </c>
    </row>
    <row r="111" spans="1:15" x14ac:dyDescent="0.2">
      <c r="B111" s="34" t="s">
        <v>114</v>
      </c>
      <c r="C111" s="44">
        <v>0.01</v>
      </c>
      <c r="D111" s="45">
        <v>0</v>
      </c>
      <c r="E111" s="45">
        <v>0.01</v>
      </c>
      <c r="F111" s="47" t="s">
        <v>231</v>
      </c>
      <c r="G111" s="34">
        <v>0.02</v>
      </c>
      <c r="H111" s="35">
        <v>0</v>
      </c>
      <c r="I111" s="35">
        <v>0.01</v>
      </c>
      <c r="J111" s="35">
        <v>0</v>
      </c>
      <c r="K111" s="35">
        <v>0</v>
      </c>
      <c r="L111" s="35">
        <v>0</v>
      </c>
      <c r="M111" s="35">
        <v>0</v>
      </c>
      <c r="N111" s="46">
        <v>0</v>
      </c>
      <c r="O111" s="35">
        <v>0.05</v>
      </c>
    </row>
    <row r="112" spans="1:15" x14ac:dyDescent="0.2">
      <c r="B112" s="34" t="s">
        <v>115</v>
      </c>
      <c r="C112" s="44">
        <v>0.04</v>
      </c>
      <c r="D112" s="45">
        <v>0.45</v>
      </c>
      <c r="E112" s="45">
        <v>0.04</v>
      </c>
      <c r="F112" s="34">
        <v>0.17</v>
      </c>
      <c r="G112" s="34">
        <v>0.25</v>
      </c>
      <c r="H112" s="35">
        <v>0.13</v>
      </c>
      <c r="I112" s="35">
        <v>0.08</v>
      </c>
      <c r="J112" s="35">
        <v>0.13</v>
      </c>
      <c r="K112" s="35">
        <v>0.22</v>
      </c>
      <c r="L112" s="35">
        <v>0.08</v>
      </c>
      <c r="M112" s="35">
        <v>0.1</v>
      </c>
      <c r="N112" s="46">
        <v>0.06</v>
      </c>
      <c r="O112" s="35">
        <v>1.7500000000000002</v>
      </c>
    </row>
    <row r="113" spans="1:15" x14ac:dyDescent="0.2">
      <c r="B113" s="34" t="s">
        <v>116</v>
      </c>
      <c r="C113" s="44">
        <v>0</v>
      </c>
      <c r="D113" s="45">
        <v>0</v>
      </c>
      <c r="E113" s="45">
        <v>0</v>
      </c>
      <c r="F113" s="44">
        <v>0</v>
      </c>
      <c r="G113" s="47" t="s">
        <v>231</v>
      </c>
      <c r="H113" s="47" t="s">
        <v>231</v>
      </c>
      <c r="I113" s="35">
        <v>0.01</v>
      </c>
      <c r="J113" s="35">
        <v>0</v>
      </c>
      <c r="K113" s="35">
        <v>0.03</v>
      </c>
      <c r="L113" s="47" t="s">
        <v>231</v>
      </c>
      <c r="M113" s="47" t="s">
        <v>231</v>
      </c>
      <c r="N113" s="46">
        <v>0</v>
      </c>
      <c r="O113" s="35">
        <v>0.04</v>
      </c>
    </row>
    <row r="114" spans="1:15" ht="12.75" customHeight="1" x14ac:dyDescent="0.2">
      <c r="B114" s="34" t="s">
        <v>117</v>
      </c>
      <c r="C114" s="47" t="s">
        <v>231</v>
      </c>
      <c r="D114" s="47" t="s">
        <v>231</v>
      </c>
      <c r="E114" s="47" t="s">
        <v>231</v>
      </c>
      <c r="F114" s="47" t="s">
        <v>231</v>
      </c>
      <c r="G114" s="34">
        <v>0.42</v>
      </c>
      <c r="H114" s="47" t="s">
        <v>231</v>
      </c>
      <c r="I114" s="35">
        <v>30.03</v>
      </c>
      <c r="J114" s="35">
        <v>0</v>
      </c>
      <c r="K114" s="35">
        <v>0.12</v>
      </c>
      <c r="L114" s="47" t="s">
        <v>231</v>
      </c>
      <c r="M114" s="47" t="s">
        <v>231</v>
      </c>
      <c r="N114" s="46" t="s">
        <v>231</v>
      </c>
      <c r="O114" s="35">
        <v>30.570000000000004</v>
      </c>
    </row>
    <row r="115" spans="1:15" x14ac:dyDescent="0.2">
      <c r="B115" s="34" t="s">
        <v>118</v>
      </c>
      <c r="C115" s="44">
        <v>31.17</v>
      </c>
      <c r="D115" s="45">
        <v>49.83</v>
      </c>
      <c r="E115" s="45">
        <v>34.119999999999997</v>
      </c>
      <c r="F115" s="34">
        <v>33.11</v>
      </c>
      <c r="G115" s="34">
        <v>45.91</v>
      </c>
      <c r="H115" s="35">
        <v>29.66</v>
      </c>
      <c r="I115" s="47" t="s">
        <v>231</v>
      </c>
      <c r="J115" s="35">
        <v>23.36</v>
      </c>
      <c r="K115" s="35">
        <v>29.32</v>
      </c>
      <c r="L115" s="35">
        <v>30.36</v>
      </c>
      <c r="M115" s="35">
        <v>17.100000000000001</v>
      </c>
      <c r="N115" s="46">
        <v>20.92</v>
      </c>
      <c r="O115" s="35">
        <v>344.86000000000007</v>
      </c>
    </row>
    <row r="116" spans="1:15" ht="12.75" customHeight="1" x14ac:dyDescent="0.2">
      <c r="B116" s="34" t="s">
        <v>119</v>
      </c>
      <c r="C116" s="44">
        <v>0.35</v>
      </c>
      <c r="D116" s="45">
        <v>0.44</v>
      </c>
      <c r="E116" s="45">
        <v>2</v>
      </c>
      <c r="F116" s="34">
        <v>1.7</v>
      </c>
      <c r="G116" s="34">
        <v>5.19</v>
      </c>
      <c r="H116" s="35">
        <v>3.13</v>
      </c>
      <c r="I116" s="35">
        <v>0.79</v>
      </c>
      <c r="J116" s="35">
        <v>3.37</v>
      </c>
      <c r="K116" s="35">
        <v>1.81</v>
      </c>
      <c r="L116" s="35">
        <v>1.98</v>
      </c>
      <c r="M116" s="35">
        <v>0.91</v>
      </c>
      <c r="N116" s="46">
        <v>1.48</v>
      </c>
      <c r="O116" s="35">
        <v>23.15</v>
      </c>
    </row>
    <row r="117" spans="1:15" ht="12.75" customHeight="1" x14ac:dyDescent="0.2">
      <c r="B117" s="34" t="s">
        <v>120</v>
      </c>
      <c r="C117" s="44">
        <v>0.01</v>
      </c>
      <c r="D117" s="45">
        <v>0.13</v>
      </c>
      <c r="E117" s="45">
        <v>0.13</v>
      </c>
      <c r="F117" s="34">
        <v>0.09</v>
      </c>
      <c r="G117" s="34">
        <v>0.16</v>
      </c>
      <c r="H117" s="35">
        <v>0.09</v>
      </c>
      <c r="I117" s="35">
        <v>0.06</v>
      </c>
      <c r="J117" s="35">
        <v>0.11</v>
      </c>
      <c r="K117" s="35">
        <v>0.06</v>
      </c>
      <c r="L117" s="35">
        <v>7.0000000000000007E-2</v>
      </c>
      <c r="M117" s="35">
        <v>0.01</v>
      </c>
      <c r="N117" s="46">
        <v>0.19</v>
      </c>
      <c r="O117" s="35">
        <v>1.1099999999999999</v>
      </c>
    </row>
    <row r="118" spans="1:15" ht="12.75" customHeight="1" x14ac:dyDescent="0.2">
      <c r="C118" s="44"/>
      <c r="D118" s="45"/>
      <c r="E118" s="45"/>
    </row>
    <row r="119" spans="1:15" s="40" customFormat="1" ht="12.75" customHeight="1" x14ac:dyDescent="0.25">
      <c r="A119" s="39" t="s">
        <v>121</v>
      </c>
      <c r="C119" s="41">
        <v>1.7</v>
      </c>
      <c r="D119" s="41">
        <v>1.65</v>
      </c>
      <c r="E119" s="41">
        <v>0</v>
      </c>
      <c r="F119" s="41">
        <v>1.96</v>
      </c>
      <c r="G119" s="41">
        <v>3.13</v>
      </c>
      <c r="H119" s="57">
        <v>2.34</v>
      </c>
      <c r="I119" s="57">
        <v>2.4500000000000002</v>
      </c>
      <c r="J119" s="57">
        <v>0</v>
      </c>
      <c r="K119" s="57">
        <v>2.69</v>
      </c>
      <c r="L119" s="57">
        <v>1.48</v>
      </c>
      <c r="M119" s="57">
        <v>0.98</v>
      </c>
      <c r="N119" s="43">
        <v>1.34</v>
      </c>
      <c r="O119" s="57">
        <v>19.72</v>
      </c>
    </row>
    <row r="120" spans="1:15" ht="12.75" customHeight="1" x14ac:dyDescent="0.2">
      <c r="B120" s="34" t="s">
        <v>108</v>
      </c>
      <c r="C120" s="44">
        <v>1.7</v>
      </c>
      <c r="D120" s="45">
        <v>1.65</v>
      </c>
      <c r="E120" s="45">
        <v>0</v>
      </c>
      <c r="F120" s="34">
        <v>1.96</v>
      </c>
      <c r="G120" s="34">
        <v>3.13</v>
      </c>
      <c r="H120" s="35">
        <v>2.34</v>
      </c>
      <c r="I120" s="35">
        <v>2.4500000000000002</v>
      </c>
      <c r="J120" s="47" t="s">
        <v>231</v>
      </c>
      <c r="K120" s="35">
        <v>2.69</v>
      </c>
      <c r="L120" s="35">
        <v>1.48</v>
      </c>
      <c r="M120" s="35">
        <v>0.98</v>
      </c>
      <c r="N120" s="46">
        <v>1.34</v>
      </c>
      <c r="O120" s="35">
        <v>19.72</v>
      </c>
    </row>
    <row r="121" spans="1:15" ht="12.75" customHeight="1" x14ac:dyDescent="0.2">
      <c r="C121" s="44"/>
      <c r="D121" s="45"/>
      <c r="E121" s="45"/>
    </row>
    <row r="122" spans="1:15" s="40" customFormat="1" ht="15" x14ac:dyDescent="0.25">
      <c r="A122" s="39" t="s">
        <v>122</v>
      </c>
      <c r="C122" s="41">
        <v>48.12</v>
      </c>
      <c r="D122" s="41">
        <v>61.74</v>
      </c>
      <c r="E122" s="41">
        <v>54.71</v>
      </c>
      <c r="F122" s="41">
        <v>74.31</v>
      </c>
      <c r="G122" s="41">
        <v>82.77</v>
      </c>
      <c r="H122" s="57">
        <v>103.02</v>
      </c>
      <c r="I122" s="57">
        <v>74.400000000000006</v>
      </c>
      <c r="J122" s="57">
        <v>64.289999999999992</v>
      </c>
      <c r="K122" s="57">
        <v>71.88</v>
      </c>
      <c r="L122" s="57">
        <v>78.59</v>
      </c>
      <c r="M122" s="57">
        <v>58.42</v>
      </c>
      <c r="N122" s="43">
        <v>31.3</v>
      </c>
      <c r="O122" s="57">
        <v>803.75999999999976</v>
      </c>
    </row>
    <row r="123" spans="1:15" x14ac:dyDescent="0.2">
      <c r="B123" s="34" t="s">
        <v>123</v>
      </c>
      <c r="C123" s="44">
        <v>0.04</v>
      </c>
      <c r="D123" s="45">
        <v>0.06</v>
      </c>
      <c r="E123" s="47" t="s">
        <v>231</v>
      </c>
      <c r="F123" s="47" t="s">
        <v>231</v>
      </c>
      <c r="G123" s="34">
        <v>0.05</v>
      </c>
      <c r="H123" s="35">
        <v>0</v>
      </c>
      <c r="I123" s="35">
        <v>0</v>
      </c>
      <c r="J123" s="47" t="s">
        <v>231</v>
      </c>
      <c r="K123" s="47" t="s">
        <v>231</v>
      </c>
      <c r="L123" s="47" t="s">
        <v>231</v>
      </c>
      <c r="M123" s="47" t="s">
        <v>231</v>
      </c>
      <c r="N123" s="46" t="s">
        <v>231</v>
      </c>
      <c r="O123" s="35">
        <v>0.15000000000000002</v>
      </c>
    </row>
    <row r="124" spans="1:15" x14ac:dyDescent="0.2">
      <c r="B124" s="34" t="s">
        <v>124</v>
      </c>
      <c r="C124" s="44">
        <v>48.05</v>
      </c>
      <c r="D124" s="45">
        <v>61.66</v>
      </c>
      <c r="E124" s="45">
        <v>54.69</v>
      </c>
      <c r="F124" s="34">
        <v>74.13</v>
      </c>
      <c r="G124" s="34">
        <v>82.7</v>
      </c>
      <c r="H124" s="35">
        <v>103.02</v>
      </c>
      <c r="I124" s="35">
        <v>74.39</v>
      </c>
      <c r="J124" s="35">
        <v>64.27</v>
      </c>
      <c r="K124" s="35">
        <v>71.760000000000005</v>
      </c>
      <c r="L124" s="35">
        <v>78.180000000000007</v>
      </c>
      <c r="M124" s="35">
        <v>58.4</v>
      </c>
      <c r="N124" s="46">
        <v>31.25</v>
      </c>
      <c r="O124" s="35">
        <v>802.49999999999989</v>
      </c>
    </row>
    <row r="125" spans="1:15" s="59" customFormat="1" x14ac:dyDescent="0.2">
      <c r="B125" s="53" t="s">
        <v>125</v>
      </c>
      <c r="C125" s="60"/>
      <c r="D125" s="61"/>
      <c r="E125" s="61"/>
      <c r="F125" s="62"/>
      <c r="H125" s="63"/>
      <c r="I125" s="63"/>
      <c r="J125" s="63"/>
      <c r="K125" s="63"/>
      <c r="L125" s="63"/>
      <c r="M125" s="63"/>
      <c r="N125" s="64">
        <v>0.02</v>
      </c>
      <c r="O125" s="35">
        <v>0.02</v>
      </c>
    </row>
    <row r="126" spans="1:15" x14ac:dyDescent="0.2">
      <c r="B126" s="34" t="s">
        <v>126</v>
      </c>
      <c r="C126" s="44">
        <v>0.03</v>
      </c>
      <c r="D126" s="45">
        <v>0.02</v>
      </c>
      <c r="E126" s="45">
        <v>0.02</v>
      </c>
      <c r="F126" s="34">
        <v>0.18</v>
      </c>
      <c r="G126" s="34">
        <v>0.02</v>
      </c>
      <c r="H126" s="35">
        <v>0</v>
      </c>
      <c r="I126" s="35">
        <v>0.01</v>
      </c>
      <c r="J126" s="35">
        <v>0.02</v>
      </c>
      <c r="K126" s="35">
        <v>0.02</v>
      </c>
      <c r="L126" s="35">
        <v>0.41</v>
      </c>
      <c r="M126" s="35">
        <v>0.02</v>
      </c>
      <c r="N126" s="46">
        <v>0.03</v>
      </c>
      <c r="O126" s="35">
        <v>0.78</v>
      </c>
    </row>
    <row r="127" spans="1:15" x14ac:dyDescent="0.2">
      <c r="B127" s="34" t="s">
        <v>127</v>
      </c>
      <c r="C127" s="47" t="s">
        <v>231</v>
      </c>
      <c r="D127" s="47" t="s">
        <v>231</v>
      </c>
      <c r="E127" s="47" t="s">
        <v>231</v>
      </c>
      <c r="F127" s="47" t="s">
        <v>231</v>
      </c>
      <c r="G127" s="44">
        <v>0.2</v>
      </c>
      <c r="H127" s="47" t="s">
        <v>231</v>
      </c>
      <c r="I127" s="35">
        <v>0.01</v>
      </c>
      <c r="J127" s="47" t="s">
        <v>231</v>
      </c>
      <c r="K127" s="35">
        <v>0.1</v>
      </c>
      <c r="L127" s="47" t="s">
        <v>231</v>
      </c>
      <c r="M127" s="47" t="s">
        <v>231</v>
      </c>
      <c r="N127" s="46" t="s">
        <v>231</v>
      </c>
      <c r="O127" s="35">
        <v>0.31000000000000005</v>
      </c>
    </row>
    <row r="128" spans="1:15" x14ac:dyDescent="0.2">
      <c r="C128" s="44"/>
      <c r="D128" s="45"/>
      <c r="E128" s="45"/>
    </row>
    <row r="129" spans="1:15" s="40" customFormat="1" ht="15" x14ac:dyDescent="0.25">
      <c r="A129" s="39" t="s">
        <v>128</v>
      </c>
      <c r="C129" s="41">
        <v>38.04</v>
      </c>
      <c r="D129" s="41">
        <v>83.350000000000009</v>
      </c>
      <c r="E129" s="41">
        <v>62.900000000000006</v>
      </c>
      <c r="F129" s="41">
        <v>51.96</v>
      </c>
      <c r="G129" s="41">
        <v>109.32</v>
      </c>
      <c r="H129" s="57">
        <v>61.779999999999994</v>
      </c>
      <c r="I129" s="57">
        <v>61.459999999999994</v>
      </c>
      <c r="J129" s="57">
        <v>114.86999999999975</v>
      </c>
      <c r="K129" s="57">
        <v>67.420000000000016</v>
      </c>
      <c r="L129" s="57">
        <v>136.53</v>
      </c>
      <c r="M129" s="57">
        <v>36.099999999999994</v>
      </c>
      <c r="N129" s="43">
        <v>46.95</v>
      </c>
      <c r="O129" s="57">
        <v>870.67999999999961</v>
      </c>
    </row>
    <row r="130" spans="1:15" x14ac:dyDescent="0.2">
      <c r="B130" s="34" t="s">
        <v>129</v>
      </c>
      <c r="C130" s="44">
        <v>0</v>
      </c>
      <c r="D130" s="47" t="s">
        <v>231</v>
      </c>
      <c r="E130" s="47" t="s">
        <v>231</v>
      </c>
      <c r="F130" s="47" t="s">
        <v>231</v>
      </c>
      <c r="G130" s="47" t="s">
        <v>231</v>
      </c>
      <c r="H130" s="47" t="s">
        <v>231</v>
      </c>
      <c r="I130" s="47" t="s">
        <v>231</v>
      </c>
      <c r="J130" s="47" t="s">
        <v>231</v>
      </c>
      <c r="K130" s="47" t="s">
        <v>231</v>
      </c>
      <c r="L130" s="47" t="s">
        <v>231</v>
      </c>
      <c r="M130" s="47" t="s">
        <v>231</v>
      </c>
      <c r="N130" s="46" t="s">
        <v>231</v>
      </c>
      <c r="O130" s="35">
        <v>0</v>
      </c>
    </row>
    <row r="131" spans="1:15" x14ac:dyDescent="0.2">
      <c r="B131" s="34" t="s">
        <v>130</v>
      </c>
      <c r="C131" s="44">
        <v>34.18</v>
      </c>
      <c r="D131" s="45">
        <v>72.77</v>
      </c>
      <c r="E131" s="45">
        <v>53.93</v>
      </c>
      <c r="F131" s="34">
        <v>43.76</v>
      </c>
      <c r="G131" s="34">
        <v>99.82</v>
      </c>
      <c r="H131" s="35">
        <v>57.69</v>
      </c>
      <c r="I131" s="35">
        <v>54.58</v>
      </c>
      <c r="J131" s="35">
        <v>106.52999999999975</v>
      </c>
      <c r="K131" s="35">
        <v>56.06</v>
      </c>
      <c r="L131" s="35">
        <v>88.92</v>
      </c>
      <c r="M131" s="35">
        <v>32.549999999999997</v>
      </c>
      <c r="N131" s="46">
        <v>42.75</v>
      </c>
      <c r="O131" s="35">
        <v>743.53999999999962</v>
      </c>
    </row>
    <row r="132" spans="1:15" x14ac:dyDescent="0.2">
      <c r="B132" s="34" t="s">
        <v>131</v>
      </c>
      <c r="C132" s="44">
        <v>3.84</v>
      </c>
      <c r="D132" s="45">
        <v>10.57</v>
      </c>
      <c r="E132" s="45">
        <v>8.8800000000000008</v>
      </c>
      <c r="F132" s="44">
        <v>7.91</v>
      </c>
      <c r="G132" s="44">
        <v>7.84</v>
      </c>
      <c r="H132" s="35">
        <v>4.01</v>
      </c>
      <c r="I132" s="35">
        <v>6.82</v>
      </c>
      <c r="J132" s="35">
        <v>7.97</v>
      </c>
      <c r="K132" s="35">
        <v>11.33</v>
      </c>
      <c r="L132" s="35">
        <v>47.58</v>
      </c>
      <c r="M132" s="35">
        <v>3.44</v>
      </c>
      <c r="N132" s="46">
        <v>4.2</v>
      </c>
      <c r="O132" s="35">
        <v>124.39</v>
      </c>
    </row>
    <row r="133" spans="1:15" x14ac:dyDescent="0.2">
      <c r="B133" s="34" t="s">
        <v>132</v>
      </c>
      <c r="C133" s="44">
        <v>0</v>
      </c>
      <c r="D133" s="47" t="s">
        <v>231</v>
      </c>
      <c r="E133" s="47" t="s">
        <v>231</v>
      </c>
      <c r="F133" s="47" t="s">
        <v>231</v>
      </c>
      <c r="G133" s="47" t="s">
        <v>231</v>
      </c>
      <c r="H133" s="47" t="s">
        <v>231</v>
      </c>
      <c r="I133" s="47" t="s">
        <v>231</v>
      </c>
      <c r="J133" s="47" t="s">
        <v>231</v>
      </c>
      <c r="K133" s="47" t="s">
        <v>231</v>
      </c>
      <c r="L133" s="47" t="s">
        <v>231</v>
      </c>
      <c r="M133" s="47" t="s">
        <v>231</v>
      </c>
      <c r="N133" s="46" t="s">
        <v>231</v>
      </c>
      <c r="O133" s="35">
        <v>0</v>
      </c>
    </row>
    <row r="134" spans="1:15" x14ac:dyDescent="0.2">
      <c r="B134" s="34" t="s">
        <v>133</v>
      </c>
      <c r="C134" s="44">
        <v>0</v>
      </c>
      <c r="D134" s="47" t="s">
        <v>231</v>
      </c>
      <c r="E134" s="47" t="s">
        <v>231</v>
      </c>
      <c r="F134" s="47" t="s">
        <v>231</v>
      </c>
      <c r="G134" s="47" t="s">
        <v>231</v>
      </c>
      <c r="H134" s="47" t="s">
        <v>231</v>
      </c>
      <c r="I134" s="47" t="s">
        <v>231</v>
      </c>
      <c r="J134" s="47" t="s">
        <v>231</v>
      </c>
      <c r="K134" s="47" t="s">
        <v>231</v>
      </c>
      <c r="L134" s="47" t="s">
        <v>231</v>
      </c>
      <c r="M134" s="47" t="s">
        <v>231</v>
      </c>
      <c r="N134" s="46" t="s">
        <v>231</v>
      </c>
      <c r="O134" s="35">
        <v>0</v>
      </c>
    </row>
    <row r="135" spans="1:15" x14ac:dyDescent="0.2">
      <c r="B135" s="34" t="s">
        <v>134</v>
      </c>
      <c r="C135" s="44">
        <v>0</v>
      </c>
      <c r="D135" s="47" t="s">
        <v>231</v>
      </c>
      <c r="E135" s="47" t="s">
        <v>231</v>
      </c>
      <c r="F135" s="47" t="s">
        <v>231</v>
      </c>
      <c r="G135" s="47" t="s">
        <v>231</v>
      </c>
      <c r="H135" s="47" t="s">
        <v>231</v>
      </c>
      <c r="I135" s="47" t="s">
        <v>231</v>
      </c>
      <c r="J135" s="47" t="s">
        <v>231</v>
      </c>
      <c r="K135" s="47" t="s">
        <v>231</v>
      </c>
      <c r="L135" s="47" t="s">
        <v>231</v>
      </c>
      <c r="M135" s="47" t="s">
        <v>231</v>
      </c>
      <c r="N135" s="46" t="s">
        <v>231</v>
      </c>
      <c r="O135" s="35">
        <v>0</v>
      </c>
    </row>
    <row r="136" spans="1:15" x14ac:dyDescent="0.2">
      <c r="B136" s="34" t="s">
        <v>135</v>
      </c>
      <c r="C136" s="44">
        <v>0</v>
      </c>
      <c r="D136" s="47" t="s">
        <v>231</v>
      </c>
      <c r="E136" s="45">
        <v>0.03</v>
      </c>
      <c r="F136" s="34">
        <v>0.04</v>
      </c>
      <c r="G136" s="34">
        <v>0.03</v>
      </c>
      <c r="H136" s="47" t="s">
        <v>231</v>
      </c>
      <c r="I136" s="35">
        <v>0.01</v>
      </c>
      <c r="J136" s="35">
        <v>0</v>
      </c>
      <c r="K136" s="35">
        <v>0.01</v>
      </c>
      <c r="L136" s="65">
        <v>0.01</v>
      </c>
      <c r="M136" s="35">
        <v>0.01</v>
      </c>
      <c r="N136" s="46">
        <v>0</v>
      </c>
      <c r="O136" s="35">
        <v>0.14000000000000001</v>
      </c>
    </row>
    <row r="137" spans="1:15" x14ac:dyDescent="0.2">
      <c r="B137" s="34" t="s">
        <v>136</v>
      </c>
      <c r="C137" s="44">
        <v>0</v>
      </c>
      <c r="D137" s="47" t="s">
        <v>231</v>
      </c>
      <c r="E137" s="47" t="s">
        <v>231</v>
      </c>
      <c r="F137" s="47" t="s">
        <v>231</v>
      </c>
      <c r="G137" s="47" t="s">
        <v>231</v>
      </c>
      <c r="H137" s="47" t="s">
        <v>231</v>
      </c>
      <c r="I137" s="47" t="s">
        <v>231</v>
      </c>
      <c r="J137" s="47" t="s">
        <v>231</v>
      </c>
      <c r="K137" s="47" t="s">
        <v>231</v>
      </c>
      <c r="L137" s="47" t="s">
        <v>231</v>
      </c>
      <c r="M137" s="47" t="s">
        <v>231</v>
      </c>
      <c r="N137" s="46" t="s">
        <v>231</v>
      </c>
      <c r="O137" s="35">
        <v>0</v>
      </c>
    </row>
    <row r="138" spans="1:15" x14ac:dyDescent="0.2">
      <c r="B138" s="34" t="s">
        <v>137</v>
      </c>
      <c r="C138" s="44">
        <v>0.02</v>
      </c>
      <c r="D138" s="45">
        <v>0.01</v>
      </c>
      <c r="E138" s="45">
        <v>0</v>
      </c>
      <c r="F138" s="44">
        <v>0</v>
      </c>
      <c r="G138" s="44">
        <v>0</v>
      </c>
      <c r="H138" s="35">
        <v>0.01</v>
      </c>
      <c r="I138" s="47" t="s">
        <v>231</v>
      </c>
      <c r="J138" s="35">
        <v>0.01</v>
      </c>
      <c r="K138" s="35">
        <v>0.01</v>
      </c>
      <c r="L138" s="44">
        <v>0</v>
      </c>
      <c r="M138" s="35">
        <v>0.1</v>
      </c>
      <c r="N138" s="46" t="s">
        <v>231</v>
      </c>
      <c r="O138" s="35">
        <v>0.16</v>
      </c>
    </row>
    <row r="139" spans="1:15" x14ac:dyDescent="0.2">
      <c r="B139" s="34" t="s">
        <v>138</v>
      </c>
      <c r="C139" s="44">
        <v>0</v>
      </c>
      <c r="D139" s="47" t="s">
        <v>231</v>
      </c>
      <c r="E139" s="45">
        <v>0.06</v>
      </c>
      <c r="F139" s="47" t="s">
        <v>231</v>
      </c>
      <c r="G139" s="34">
        <v>1.63</v>
      </c>
      <c r="H139" s="35">
        <v>7.0000000000000007E-2</v>
      </c>
      <c r="I139" s="35">
        <v>0.05</v>
      </c>
      <c r="J139" s="35">
        <v>0.23</v>
      </c>
      <c r="K139" s="35">
        <v>0.01</v>
      </c>
      <c r="L139" s="44">
        <v>0.02</v>
      </c>
      <c r="N139" s="46">
        <v>0</v>
      </c>
      <c r="O139" s="35">
        <v>2.0699999999999998</v>
      </c>
    </row>
    <row r="140" spans="1:15" x14ac:dyDescent="0.2">
      <c r="B140" s="34" t="s">
        <v>139</v>
      </c>
      <c r="C140" s="47" t="s">
        <v>231</v>
      </c>
      <c r="D140" s="47" t="s">
        <v>231</v>
      </c>
      <c r="E140" s="47" t="s">
        <v>231</v>
      </c>
      <c r="F140" s="34">
        <v>0.25</v>
      </c>
      <c r="G140" s="47" t="s">
        <v>231</v>
      </c>
      <c r="H140" s="47" t="s">
        <v>231</v>
      </c>
      <c r="I140" s="47" t="s">
        <v>231</v>
      </c>
      <c r="J140" s="35">
        <v>0.13</v>
      </c>
      <c r="K140" s="47" t="s">
        <v>231</v>
      </c>
      <c r="L140" s="44">
        <v>0</v>
      </c>
      <c r="N140" s="46" t="s">
        <v>231</v>
      </c>
      <c r="O140" s="35">
        <v>0.38</v>
      </c>
    </row>
    <row r="141" spans="1:15" ht="12.75" customHeight="1" x14ac:dyDescent="0.25">
      <c r="A141" s="38"/>
      <c r="B141" s="38"/>
      <c r="C141" s="38"/>
      <c r="D141" s="45"/>
      <c r="E141" s="45"/>
    </row>
    <row r="142" spans="1:15" s="40" customFormat="1" ht="15" x14ac:dyDescent="0.25">
      <c r="A142" s="39" t="s">
        <v>140</v>
      </c>
      <c r="C142" s="41">
        <v>14.290000000000003</v>
      </c>
      <c r="D142" s="41">
        <v>44.95000000000001</v>
      </c>
      <c r="E142" s="41">
        <v>17.309999999999995</v>
      </c>
      <c r="F142" s="41">
        <v>17.62</v>
      </c>
      <c r="G142" s="41">
        <v>29.560000000000006</v>
      </c>
      <c r="H142" s="57">
        <v>22.42</v>
      </c>
      <c r="I142" s="57">
        <v>16.849999999999998</v>
      </c>
      <c r="J142" s="57">
        <v>317.66000000000003</v>
      </c>
      <c r="K142" s="57">
        <v>21.080000000000002</v>
      </c>
      <c r="L142" s="57">
        <v>17.14</v>
      </c>
      <c r="M142" s="57">
        <v>17.110000000000003</v>
      </c>
      <c r="N142" s="43">
        <v>15.1</v>
      </c>
      <c r="O142" s="57">
        <v>551.09</v>
      </c>
    </row>
    <row r="143" spans="1:15" x14ac:dyDescent="0.2">
      <c r="B143" s="34" t="s">
        <v>141</v>
      </c>
      <c r="C143" s="44">
        <v>4.4800000000000004</v>
      </c>
      <c r="D143" s="45">
        <v>18.75</v>
      </c>
      <c r="E143" s="45">
        <v>8.9600000000000009</v>
      </c>
      <c r="F143" s="34">
        <v>7.11</v>
      </c>
      <c r="G143" s="34">
        <v>16.28</v>
      </c>
      <c r="H143" s="35">
        <v>14.6</v>
      </c>
      <c r="I143" s="35">
        <v>9.15</v>
      </c>
      <c r="J143" s="35">
        <v>8.94</v>
      </c>
      <c r="K143" s="35">
        <v>9.1</v>
      </c>
      <c r="L143" s="35">
        <v>6.05</v>
      </c>
      <c r="M143" s="35">
        <v>8.59</v>
      </c>
      <c r="N143" s="46">
        <v>6.43</v>
      </c>
      <c r="O143" s="35">
        <v>118.44</v>
      </c>
    </row>
    <row r="144" spans="1:15" x14ac:dyDescent="0.2">
      <c r="B144" s="34" t="s">
        <v>142</v>
      </c>
      <c r="C144" s="44">
        <v>2.14</v>
      </c>
      <c r="D144" s="45">
        <v>14.75</v>
      </c>
      <c r="E144" s="47" t="s">
        <v>231</v>
      </c>
      <c r="F144" s="34">
        <v>0.83</v>
      </c>
      <c r="G144" s="34">
        <v>0.26</v>
      </c>
      <c r="H144" s="35">
        <v>0.42</v>
      </c>
      <c r="I144" s="35">
        <v>0.28999999999999998</v>
      </c>
      <c r="J144" s="35">
        <v>0</v>
      </c>
      <c r="K144" s="35">
        <v>0.94</v>
      </c>
      <c r="L144" s="35">
        <v>0.35</v>
      </c>
      <c r="M144" s="35">
        <v>0.96</v>
      </c>
      <c r="N144" s="46">
        <v>0.01</v>
      </c>
      <c r="O144" s="35">
        <v>20.950000000000006</v>
      </c>
    </row>
    <row r="145" spans="2:15" x14ac:dyDescent="0.2">
      <c r="B145" s="34" t="s">
        <v>143</v>
      </c>
      <c r="C145" s="44">
        <v>0.23</v>
      </c>
      <c r="D145" s="45">
        <v>0.28000000000000003</v>
      </c>
      <c r="E145" s="45">
        <v>0.28999999999999998</v>
      </c>
      <c r="F145" s="34">
        <v>0.16</v>
      </c>
      <c r="G145" s="34">
        <v>0.52</v>
      </c>
      <c r="H145" s="35">
        <v>0.39</v>
      </c>
      <c r="I145" s="35">
        <v>0.28999999999999998</v>
      </c>
      <c r="J145" s="35">
        <v>0.26</v>
      </c>
      <c r="K145" s="35">
        <v>0.18</v>
      </c>
      <c r="L145" s="35">
        <v>0.23</v>
      </c>
      <c r="M145" s="35">
        <v>0.4</v>
      </c>
      <c r="N145" s="46">
        <v>0.16</v>
      </c>
      <c r="O145" s="35">
        <v>3.39</v>
      </c>
    </row>
    <row r="146" spans="2:15" x14ac:dyDescent="0.2">
      <c r="B146" s="34" t="s">
        <v>144</v>
      </c>
      <c r="C146" s="44">
        <v>7.0000000000000007E-2</v>
      </c>
      <c r="D146" s="45">
        <v>0.34</v>
      </c>
      <c r="E146" s="45">
        <v>0.36</v>
      </c>
      <c r="F146" s="34">
        <v>0.55000000000000004</v>
      </c>
      <c r="G146" s="34">
        <v>0.68</v>
      </c>
      <c r="H146" s="35">
        <v>0.33</v>
      </c>
      <c r="I146" s="35">
        <v>0.6</v>
      </c>
      <c r="J146" s="35">
        <v>0.05</v>
      </c>
      <c r="K146" s="35">
        <v>0.18</v>
      </c>
      <c r="L146" s="35">
        <v>0.27</v>
      </c>
      <c r="M146" s="35">
        <v>0.31</v>
      </c>
      <c r="N146" s="46">
        <v>0.11</v>
      </c>
      <c r="O146" s="35">
        <v>3.85</v>
      </c>
    </row>
    <row r="147" spans="2:15" x14ac:dyDescent="0.2">
      <c r="B147" s="34" t="s">
        <v>145</v>
      </c>
      <c r="C147" s="44">
        <v>1.04</v>
      </c>
      <c r="D147" s="45">
        <v>2.92</v>
      </c>
      <c r="E147" s="45">
        <v>1.99</v>
      </c>
      <c r="F147" s="34">
        <v>2.48</v>
      </c>
      <c r="G147" s="34">
        <v>3.05</v>
      </c>
      <c r="H147" s="35">
        <v>1.65</v>
      </c>
      <c r="I147" s="35">
        <v>1.31</v>
      </c>
      <c r="J147" s="35">
        <v>2.5499999999999998</v>
      </c>
      <c r="K147" s="35">
        <v>3.6</v>
      </c>
      <c r="L147" s="35">
        <v>2.68</v>
      </c>
      <c r="M147" s="35">
        <v>2.5</v>
      </c>
      <c r="N147" s="46">
        <v>2.4</v>
      </c>
      <c r="O147" s="35">
        <v>28.17</v>
      </c>
    </row>
    <row r="148" spans="2:15" x14ac:dyDescent="0.2">
      <c r="B148" s="34" t="s">
        <v>146</v>
      </c>
      <c r="C148" s="44">
        <v>1.58</v>
      </c>
      <c r="D148" s="45">
        <v>2.57</v>
      </c>
      <c r="E148" s="45">
        <v>2.21</v>
      </c>
      <c r="F148" s="34">
        <v>2.5499999999999998</v>
      </c>
      <c r="G148" s="34">
        <v>3.12</v>
      </c>
      <c r="H148" s="35">
        <v>2.19</v>
      </c>
      <c r="I148" s="35">
        <v>1.79</v>
      </c>
      <c r="J148" s="35">
        <v>2.2400000000000002</v>
      </c>
      <c r="K148" s="35">
        <v>3.51</v>
      </c>
      <c r="L148" s="35">
        <v>3.66</v>
      </c>
      <c r="M148" s="35">
        <v>1.6</v>
      </c>
      <c r="N148" s="46">
        <v>1.8</v>
      </c>
      <c r="O148" s="35">
        <v>28.82</v>
      </c>
    </row>
    <row r="149" spans="2:15" x14ac:dyDescent="0.2">
      <c r="B149" s="34" t="s">
        <v>147</v>
      </c>
      <c r="C149" s="44">
        <v>0.01</v>
      </c>
      <c r="D149" s="45">
        <v>0.02</v>
      </c>
      <c r="E149" s="45">
        <v>0.01</v>
      </c>
      <c r="F149" s="44">
        <v>0</v>
      </c>
      <c r="G149" s="44">
        <v>0</v>
      </c>
      <c r="H149" s="47" t="s">
        <v>231</v>
      </c>
      <c r="I149" s="47" t="s">
        <v>231</v>
      </c>
      <c r="J149" s="47" t="s">
        <v>231</v>
      </c>
      <c r="K149" s="35">
        <v>0.03</v>
      </c>
      <c r="L149" s="35">
        <v>0.05</v>
      </c>
      <c r="M149" s="35">
        <v>0.02</v>
      </c>
      <c r="N149" s="46">
        <v>0.02</v>
      </c>
      <c r="O149" s="35">
        <v>0.16</v>
      </c>
    </row>
    <row r="150" spans="2:15" x14ac:dyDescent="0.2">
      <c r="B150" s="34" t="s">
        <v>148</v>
      </c>
      <c r="C150" s="44">
        <v>0.74</v>
      </c>
      <c r="D150" s="45">
        <v>0.94</v>
      </c>
      <c r="E150" s="45">
        <v>0.42</v>
      </c>
      <c r="F150" s="44">
        <v>0.8</v>
      </c>
      <c r="G150" s="44">
        <v>1.76</v>
      </c>
      <c r="H150" s="35">
        <v>0.52</v>
      </c>
      <c r="I150" s="35">
        <v>0.33</v>
      </c>
      <c r="J150" s="35">
        <v>301.3</v>
      </c>
      <c r="K150" s="35">
        <v>0.64</v>
      </c>
      <c r="L150" s="35">
        <v>0.89</v>
      </c>
      <c r="M150" s="35">
        <v>0.47</v>
      </c>
      <c r="N150" s="46">
        <v>0.81</v>
      </c>
      <c r="O150" s="35">
        <v>309.62</v>
      </c>
    </row>
    <row r="151" spans="2:15" x14ac:dyDescent="0.2">
      <c r="B151" s="34" t="s">
        <v>232</v>
      </c>
      <c r="C151" s="44">
        <v>0</v>
      </c>
      <c r="D151" s="47" t="s">
        <v>231</v>
      </c>
      <c r="E151" s="47" t="s">
        <v>231</v>
      </c>
      <c r="F151" s="47" t="s">
        <v>231</v>
      </c>
      <c r="G151" s="47" t="s">
        <v>231</v>
      </c>
      <c r="H151" s="47" t="s">
        <v>231</v>
      </c>
      <c r="I151" s="47" t="s">
        <v>231</v>
      </c>
      <c r="J151" s="47" t="s">
        <v>231</v>
      </c>
      <c r="K151" s="47" t="s">
        <v>231</v>
      </c>
      <c r="L151" s="47" t="s">
        <v>231</v>
      </c>
      <c r="M151" s="47" t="s">
        <v>231</v>
      </c>
      <c r="N151" s="46" t="s">
        <v>231</v>
      </c>
      <c r="O151" s="35">
        <v>0</v>
      </c>
    </row>
    <row r="152" spans="2:15" x14ac:dyDescent="0.2">
      <c r="B152" s="34" t="s">
        <v>150</v>
      </c>
      <c r="C152" s="44">
        <v>3.73</v>
      </c>
      <c r="D152" s="45">
        <v>3.87</v>
      </c>
      <c r="E152" s="45">
        <v>2.68</v>
      </c>
      <c r="F152" s="34">
        <v>2.85</v>
      </c>
      <c r="G152" s="34">
        <v>3.43</v>
      </c>
      <c r="H152" s="35">
        <v>1.65</v>
      </c>
      <c r="I152" s="35">
        <v>1.57</v>
      </c>
      <c r="J152" s="35">
        <v>2.11</v>
      </c>
      <c r="K152" s="35">
        <v>2.29</v>
      </c>
      <c r="L152" s="35">
        <v>2.17</v>
      </c>
      <c r="M152" s="35">
        <v>2</v>
      </c>
      <c r="N152" s="46">
        <v>3.16</v>
      </c>
      <c r="O152" s="35">
        <v>31.509999999999994</v>
      </c>
    </row>
    <row r="153" spans="2:15" x14ac:dyDescent="0.2">
      <c r="B153" s="34" t="s">
        <v>151</v>
      </c>
      <c r="C153" s="44">
        <v>0.26</v>
      </c>
      <c r="D153" s="45">
        <v>0.45</v>
      </c>
      <c r="E153" s="45">
        <v>0.27</v>
      </c>
      <c r="F153" s="34">
        <v>0.25</v>
      </c>
      <c r="G153" s="34">
        <v>0.38</v>
      </c>
      <c r="H153" s="35">
        <v>0.28000000000000003</v>
      </c>
      <c r="I153" s="35">
        <v>1.39</v>
      </c>
      <c r="J153" s="35">
        <v>0.17</v>
      </c>
      <c r="K153" s="35">
        <v>0.55000000000000004</v>
      </c>
      <c r="L153" s="35">
        <v>0.77</v>
      </c>
      <c r="M153" s="35">
        <v>0.25</v>
      </c>
      <c r="N153" s="46">
        <v>0.17</v>
      </c>
      <c r="O153" s="35">
        <v>5.1899999999999995</v>
      </c>
    </row>
    <row r="154" spans="2:15" x14ac:dyDescent="0.2">
      <c r="B154" s="34" t="s">
        <v>152</v>
      </c>
      <c r="C154" s="44">
        <v>0</v>
      </c>
      <c r="D154" s="45">
        <v>0.03</v>
      </c>
      <c r="E154" s="45">
        <v>0.04</v>
      </c>
      <c r="F154" s="44">
        <v>0</v>
      </c>
      <c r="G154" s="44">
        <v>0</v>
      </c>
      <c r="H154" s="35">
        <v>0</v>
      </c>
      <c r="J154" s="35">
        <v>0.02</v>
      </c>
      <c r="K154" s="35">
        <v>0</v>
      </c>
      <c r="L154" s="35">
        <v>0</v>
      </c>
      <c r="M154" s="35">
        <v>0</v>
      </c>
      <c r="N154" s="46">
        <v>0</v>
      </c>
      <c r="O154" s="35">
        <v>9.0000000000000011E-2</v>
      </c>
    </row>
    <row r="155" spans="2:15" x14ac:dyDescent="0.2">
      <c r="B155" s="34" t="s">
        <v>153</v>
      </c>
      <c r="C155" s="44">
        <v>0</v>
      </c>
      <c r="D155" s="47" t="s">
        <v>231</v>
      </c>
      <c r="E155" s="47" t="s">
        <v>231</v>
      </c>
      <c r="F155" s="47" t="s">
        <v>231</v>
      </c>
      <c r="G155" s="47" t="s">
        <v>231</v>
      </c>
      <c r="H155" s="47" t="s">
        <v>231</v>
      </c>
      <c r="I155" s="47" t="s">
        <v>231</v>
      </c>
      <c r="J155" s="47" t="s">
        <v>231</v>
      </c>
      <c r="K155" s="47" t="s">
        <v>231</v>
      </c>
      <c r="L155" s="47" t="s">
        <v>231</v>
      </c>
      <c r="M155" s="47" t="s">
        <v>231</v>
      </c>
      <c r="N155" s="46" t="s">
        <v>231</v>
      </c>
      <c r="O155" s="35">
        <v>0</v>
      </c>
    </row>
    <row r="156" spans="2:15" x14ac:dyDescent="0.2">
      <c r="B156" s="34" t="s">
        <v>154</v>
      </c>
      <c r="C156" s="44">
        <v>0</v>
      </c>
      <c r="D156" s="47" t="s">
        <v>231</v>
      </c>
      <c r="E156" s="47" t="s">
        <v>231</v>
      </c>
      <c r="F156" s="47" t="s">
        <v>231</v>
      </c>
      <c r="G156" s="47" t="s">
        <v>231</v>
      </c>
      <c r="H156" s="47" t="s">
        <v>231</v>
      </c>
      <c r="I156" s="47" t="s">
        <v>231</v>
      </c>
      <c r="J156" s="47" t="s">
        <v>231</v>
      </c>
      <c r="K156" s="47" t="s">
        <v>231</v>
      </c>
      <c r="L156" s="47" t="s">
        <v>231</v>
      </c>
      <c r="M156" s="47" t="s">
        <v>231</v>
      </c>
      <c r="N156" s="46" t="s">
        <v>231</v>
      </c>
      <c r="O156" s="35">
        <v>0</v>
      </c>
    </row>
    <row r="157" spans="2:15" x14ac:dyDescent="0.2">
      <c r="B157" s="34" t="s">
        <v>155</v>
      </c>
      <c r="C157" s="44">
        <v>0.01</v>
      </c>
      <c r="D157" s="45">
        <v>0.02</v>
      </c>
      <c r="E157" s="45">
        <v>0</v>
      </c>
      <c r="F157" s="34">
        <v>0.02</v>
      </c>
      <c r="G157" s="34">
        <v>7.0000000000000007E-2</v>
      </c>
      <c r="H157" s="35">
        <v>0.38</v>
      </c>
      <c r="I157" s="35">
        <v>0.05</v>
      </c>
      <c r="J157" s="35">
        <v>0.02</v>
      </c>
      <c r="K157" s="35">
        <v>0.02</v>
      </c>
      <c r="L157" s="35">
        <v>0.02</v>
      </c>
      <c r="M157" s="35">
        <v>0.01</v>
      </c>
      <c r="N157" s="46">
        <v>0.02</v>
      </c>
      <c r="O157" s="35">
        <v>0.64000000000000012</v>
      </c>
    </row>
    <row r="158" spans="2:15" x14ac:dyDescent="0.2">
      <c r="B158" s="34" t="s">
        <v>156</v>
      </c>
      <c r="C158" s="47" t="s">
        <v>231</v>
      </c>
      <c r="D158" s="47" t="s">
        <v>231</v>
      </c>
      <c r="E158" s="47" t="s">
        <v>231</v>
      </c>
      <c r="F158" s="47" t="s">
        <v>231</v>
      </c>
      <c r="G158" s="47" t="s">
        <v>231</v>
      </c>
      <c r="H158" s="47" t="s">
        <v>231</v>
      </c>
      <c r="I158" s="47" t="s">
        <v>231</v>
      </c>
      <c r="J158" s="47" t="s">
        <v>231</v>
      </c>
      <c r="K158" s="35">
        <v>0.03</v>
      </c>
      <c r="L158" s="47" t="s">
        <v>231</v>
      </c>
      <c r="M158" s="47" t="s">
        <v>231</v>
      </c>
      <c r="N158" s="46" t="s">
        <v>231</v>
      </c>
      <c r="O158" s="35">
        <v>0.03</v>
      </c>
    </row>
    <row r="159" spans="2:15" x14ac:dyDescent="0.2">
      <c r="B159" s="34" t="s">
        <v>157</v>
      </c>
      <c r="C159" s="44">
        <v>0</v>
      </c>
      <c r="D159" s="47" t="s">
        <v>231</v>
      </c>
      <c r="E159" s="47" t="s">
        <v>231</v>
      </c>
      <c r="F159" s="47" t="s">
        <v>231</v>
      </c>
      <c r="G159" s="47" t="s">
        <v>231</v>
      </c>
      <c r="H159" s="47" t="s">
        <v>231</v>
      </c>
      <c r="I159" s="47" t="s">
        <v>231</v>
      </c>
      <c r="J159" s="47" t="s">
        <v>231</v>
      </c>
      <c r="K159" s="47" t="s">
        <v>231</v>
      </c>
      <c r="L159" s="47" t="s">
        <v>231</v>
      </c>
      <c r="M159" s="47" t="s">
        <v>231</v>
      </c>
      <c r="N159" s="46" t="s">
        <v>231</v>
      </c>
      <c r="O159" s="35">
        <v>0</v>
      </c>
    </row>
    <row r="160" spans="2:15" x14ac:dyDescent="0.2">
      <c r="B160" s="34" t="s">
        <v>158</v>
      </c>
      <c r="C160" s="44">
        <v>0</v>
      </c>
      <c r="D160" s="45">
        <v>0.01</v>
      </c>
      <c r="E160" s="45">
        <v>0.08</v>
      </c>
      <c r="F160" s="34">
        <v>0.02</v>
      </c>
      <c r="G160" s="34">
        <v>0.01</v>
      </c>
      <c r="H160" s="35">
        <v>0.01</v>
      </c>
      <c r="I160" s="35">
        <v>0.08</v>
      </c>
      <c r="J160" s="47" t="s">
        <v>231</v>
      </c>
      <c r="K160" s="35">
        <v>0.01</v>
      </c>
      <c r="L160" s="47" t="s">
        <v>231</v>
      </c>
      <c r="M160" s="35">
        <v>0</v>
      </c>
      <c r="N160" s="46">
        <v>0.01</v>
      </c>
      <c r="O160" s="35">
        <v>0.23000000000000004</v>
      </c>
    </row>
    <row r="161" spans="1:15" ht="12.75" customHeight="1" x14ac:dyDescent="0.2">
      <c r="C161" s="44"/>
      <c r="D161" s="45"/>
      <c r="E161" s="45"/>
    </row>
    <row r="162" spans="1:15" s="40" customFormat="1" ht="15" x14ac:dyDescent="0.25">
      <c r="A162" s="39" t="s">
        <v>159</v>
      </c>
      <c r="C162" s="41">
        <v>1.89</v>
      </c>
      <c r="D162" s="41">
        <v>3.37</v>
      </c>
      <c r="E162" s="41">
        <v>2.06</v>
      </c>
      <c r="F162" s="41">
        <v>4.37</v>
      </c>
      <c r="G162" s="41">
        <v>9.16</v>
      </c>
      <c r="H162" s="57">
        <v>2.27</v>
      </c>
      <c r="I162" s="57">
        <v>9.43</v>
      </c>
      <c r="J162" s="57">
        <v>4.75</v>
      </c>
      <c r="K162" s="57">
        <v>13.75</v>
      </c>
      <c r="L162" s="57">
        <v>2.67</v>
      </c>
      <c r="M162" s="57">
        <v>1.5</v>
      </c>
      <c r="N162" s="43">
        <v>3.68</v>
      </c>
      <c r="O162" s="57">
        <v>58.9</v>
      </c>
    </row>
    <row r="163" spans="1:15" x14ac:dyDescent="0.2">
      <c r="B163" s="34" t="s">
        <v>93</v>
      </c>
      <c r="C163" s="44">
        <v>1.89</v>
      </c>
      <c r="D163" s="45">
        <v>3.37</v>
      </c>
      <c r="E163" s="45">
        <v>2.06</v>
      </c>
      <c r="F163" s="34">
        <v>4.37</v>
      </c>
      <c r="G163" s="34">
        <v>9.16</v>
      </c>
      <c r="H163" s="35">
        <v>2.27</v>
      </c>
      <c r="I163" s="35">
        <v>9.43</v>
      </c>
      <c r="J163" s="35">
        <v>4.75</v>
      </c>
      <c r="K163" s="35">
        <v>13.75</v>
      </c>
      <c r="L163" s="35">
        <v>2.67</v>
      </c>
      <c r="M163" s="35">
        <v>1.5</v>
      </c>
      <c r="N163" s="46">
        <v>3.68</v>
      </c>
      <c r="O163" s="35">
        <v>58.9</v>
      </c>
    </row>
    <row r="164" spans="1:15" ht="12.75" customHeight="1" x14ac:dyDescent="0.2">
      <c r="C164" s="44"/>
      <c r="D164" s="45"/>
      <c r="E164" s="45"/>
    </row>
    <row r="165" spans="1:15" s="40" customFormat="1" ht="15" x14ac:dyDescent="0.25">
      <c r="A165" s="39" t="s">
        <v>161</v>
      </c>
      <c r="C165" s="41">
        <v>3.47</v>
      </c>
      <c r="D165" s="41">
        <v>8.7100000000000009</v>
      </c>
      <c r="E165" s="41">
        <v>6.9799999999999995</v>
      </c>
      <c r="F165" s="41">
        <v>2.98</v>
      </c>
      <c r="G165" s="41">
        <v>6.08</v>
      </c>
      <c r="H165" s="57">
        <v>3.87</v>
      </c>
      <c r="I165" s="57">
        <v>5.07</v>
      </c>
      <c r="J165" s="57">
        <v>3.6799999999999997</v>
      </c>
      <c r="K165" s="57">
        <v>12.47</v>
      </c>
      <c r="L165" s="57">
        <v>7.7299999999999995</v>
      </c>
      <c r="M165" s="57">
        <v>3.21</v>
      </c>
      <c r="N165" s="43">
        <v>5.61</v>
      </c>
      <c r="O165" s="57">
        <v>69.86</v>
      </c>
    </row>
    <row r="166" spans="1:15" x14ac:dyDescent="0.2">
      <c r="B166" s="34" t="s">
        <v>162</v>
      </c>
      <c r="C166" s="44">
        <v>0.03</v>
      </c>
      <c r="D166" s="45">
        <v>0.13</v>
      </c>
      <c r="E166" s="45">
        <v>0.03</v>
      </c>
      <c r="F166" s="34">
        <v>0.02</v>
      </c>
      <c r="G166" s="34">
        <v>0.08</v>
      </c>
      <c r="H166" s="35">
        <v>0.13</v>
      </c>
      <c r="I166" s="35">
        <v>0.49</v>
      </c>
      <c r="J166" s="35">
        <v>1.59</v>
      </c>
      <c r="K166" s="35">
        <v>0.23</v>
      </c>
      <c r="L166" s="35">
        <v>0.3</v>
      </c>
      <c r="M166" s="35">
        <v>0.28000000000000003</v>
      </c>
      <c r="N166" s="46">
        <v>0.21</v>
      </c>
      <c r="O166" s="35">
        <v>3.5199999999999996</v>
      </c>
    </row>
    <row r="167" spans="1:15" x14ac:dyDescent="0.2">
      <c r="B167" s="34" t="s">
        <v>163</v>
      </c>
      <c r="C167" s="44">
        <v>0.03</v>
      </c>
      <c r="D167" s="45">
        <v>0</v>
      </c>
      <c r="E167" s="45">
        <v>0.03</v>
      </c>
      <c r="F167" s="47" t="s">
        <v>231</v>
      </c>
      <c r="G167" s="44">
        <v>0</v>
      </c>
      <c r="H167" s="35">
        <v>0.02</v>
      </c>
      <c r="I167" s="47" t="s">
        <v>231</v>
      </c>
      <c r="J167" s="47" t="s">
        <v>231</v>
      </c>
      <c r="K167" s="47" t="s">
        <v>231</v>
      </c>
      <c r="L167" s="35">
        <v>0</v>
      </c>
      <c r="M167" s="35">
        <v>0</v>
      </c>
      <c r="N167" s="46">
        <v>0</v>
      </c>
      <c r="O167" s="35">
        <v>0.08</v>
      </c>
    </row>
    <row r="168" spans="1:15" x14ac:dyDescent="0.2">
      <c r="B168" s="34" t="s">
        <v>165</v>
      </c>
      <c r="C168" s="44">
        <v>3.41</v>
      </c>
      <c r="D168" s="45">
        <v>8.58</v>
      </c>
      <c r="E168" s="45">
        <v>6.92</v>
      </c>
      <c r="F168" s="34">
        <v>2.96</v>
      </c>
      <c r="G168" s="44">
        <v>6</v>
      </c>
      <c r="H168" s="35">
        <v>3.72</v>
      </c>
      <c r="I168" s="35">
        <v>4.58</v>
      </c>
      <c r="J168" s="35">
        <v>2.09</v>
      </c>
      <c r="K168" s="35">
        <v>12.24</v>
      </c>
      <c r="L168" s="35">
        <v>7.43</v>
      </c>
      <c r="M168" s="35">
        <v>2.93</v>
      </c>
      <c r="N168" s="46">
        <v>5.4</v>
      </c>
      <c r="O168" s="35">
        <v>66.260000000000005</v>
      </c>
    </row>
    <row r="169" spans="1:15" x14ac:dyDescent="0.2">
      <c r="C169" s="44"/>
      <c r="D169" s="45"/>
      <c r="E169" s="45"/>
    </row>
    <row r="170" spans="1:15" s="40" customFormat="1" ht="15" x14ac:dyDescent="0.25">
      <c r="A170" s="39" t="s">
        <v>166</v>
      </c>
      <c r="C170" s="41">
        <v>25.150000000000002</v>
      </c>
      <c r="D170" s="41">
        <v>47.28</v>
      </c>
      <c r="E170" s="41">
        <v>31.619999999999997</v>
      </c>
      <c r="F170" s="41">
        <v>26.11</v>
      </c>
      <c r="G170" s="41">
        <v>59.719999999999992</v>
      </c>
      <c r="H170" s="57">
        <v>28.68</v>
      </c>
      <c r="I170" s="57">
        <v>28.58</v>
      </c>
      <c r="J170" s="57">
        <v>26.429999999999996</v>
      </c>
      <c r="K170" s="57">
        <v>40.25</v>
      </c>
      <c r="L170" s="57">
        <v>34.289999999999992</v>
      </c>
      <c r="M170" s="57">
        <v>19.349999999999998</v>
      </c>
      <c r="N170" s="43">
        <v>18.680000000000003</v>
      </c>
      <c r="O170" s="57">
        <v>386.13999999999993</v>
      </c>
    </row>
    <row r="171" spans="1:15" x14ac:dyDescent="0.2">
      <c r="B171" s="34" t="s">
        <v>167</v>
      </c>
      <c r="C171" s="44">
        <v>21.84</v>
      </c>
      <c r="D171" s="45">
        <v>42.96</v>
      </c>
      <c r="E171" s="45">
        <v>27.31</v>
      </c>
      <c r="F171" s="34">
        <v>21.34</v>
      </c>
      <c r="G171" s="34">
        <v>50.87</v>
      </c>
      <c r="H171" s="35">
        <v>24.97</v>
      </c>
      <c r="I171" s="35">
        <v>21.79</v>
      </c>
      <c r="J171" s="35">
        <v>21.72</v>
      </c>
      <c r="K171" s="35">
        <v>27.25</v>
      </c>
      <c r="L171" s="35">
        <v>28.65</v>
      </c>
      <c r="M171" s="35">
        <v>15.24</v>
      </c>
      <c r="N171" s="46">
        <v>14.64</v>
      </c>
      <c r="O171" s="35">
        <v>318.57999999999993</v>
      </c>
    </row>
    <row r="172" spans="1:15" x14ac:dyDescent="0.2">
      <c r="B172" s="34" t="s">
        <v>168</v>
      </c>
      <c r="C172" s="44">
        <v>2.78</v>
      </c>
      <c r="D172" s="45">
        <v>2.96</v>
      </c>
      <c r="E172" s="45">
        <v>2.38</v>
      </c>
      <c r="F172" s="34">
        <v>4.3</v>
      </c>
      <c r="G172" s="34">
        <v>7.05</v>
      </c>
      <c r="H172" s="35">
        <v>3.11</v>
      </c>
      <c r="I172" s="35">
        <v>5.77</v>
      </c>
      <c r="J172" s="35">
        <v>4.32</v>
      </c>
      <c r="K172" s="35">
        <v>12.67</v>
      </c>
      <c r="L172" s="35">
        <v>5.07</v>
      </c>
      <c r="M172" s="35">
        <v>3.24</v>
      </c>
      <c r="N172" s="46">
        <v>2.84</v>
      </c>
      <c r="O172" s="35">
        <v>56.490000000000009</v>
      </c>
    </row>
    <row r="173" spans="1:15" x14ac:dyDescent="0.2">
      <c r="B173" s="34" t="s">
        <v>169</v>
      </c>
      <c r="C173" s="44">
        <v>0.14000000000000001</v>
      </c>
      <c r="D173" s="45">
        <v>0.36</v>
      </c>
      <c r="E173" s="45">
        <v>0.14000000000000001</v>
      </c>
      <c r="F173" s="34">
        <v>0.09</v>
      </c>
      <c r="G173" s="34">
        <v>0.12</v>
      </c>
      <c r="H173" s="35">
        <v>0.13</v>
      </c>
      <c r="I173" s="35">
        <v>0.08</v>
      </c>
      <c r="J173" s="35">
        <v>0.08</v>
      </c>
      <c r="K173" s="35">
        <v>0.08</v>
      </c>
      <c r="L173" s="35">
        <v>0.05</v>
      </c>
      <c r="M173" s="35">
        <v>0.06</v>
      </c>
      <c r="N173" s="46">
        <v>0.05</v>
      </c>
      <c r="O173" s="35">
        <v>1.3800000000000003</v>
      </c>
    </row>
    <row r="174" spans="1:15" x14ac:dyDescent="0.2">
      <c r="B174" s="34" t="s">
        <v>170</v>
      </c>
      <c r="C174" s="44">
        <v>0</v>
      </c>
      <c r="D174" s="45">
        <v>0</v>
      </c>
      <c r="E174" s="45">
        <v>0</v>
      </c>
      <c r="F174" s="44">
        <v>0</v>
      </c>
      <c r="G174" s="47" t="s">
        <v>231</v>
      </c>
      <c r="H174" s="47" t="s">
        <v>231</v>
      </c>
      <c r="I174" s="47" t="s">
        <v>231</v>
      </c>
      <c r="J174" s="47" t="s">
        <v>231</v>
      </c>
      <c r="K174" s="47" t="s">
        <v>231</v>
      </c>
      <c r="L174" s="47" t="s">
        <v>231</v>
      </c>
      <c r="M174" s="47" t="s">
        <v>231</v>
      </c>
      <c r="N174" s="46" t="s">
        <v>231</v>
      </c>
      <c r="O174" s="35">
        <v>0</v>
      </c>
    </row>
    <row r="175" spans="1:15" x14ac:dyDescent="0.2">
      <c r="B175" s="34" t="s">
        <v>172</v>
      </c>
      <c r="C175" s="44">
        <v>0.05</v>
      </c>
      <c r="D175" s="45">
        <v>0</v>
      </c>
      <c r="E175" s="45">
        <v>0</v>
      </c>
      <c r="F175" s="44">
        <v>0</v>
      </c>
      <c r="G175" s="44">
        <v>0</v>
      </c>
      <c r="H175" s="35">
        <v>0.01</v>
      </c>
      <c r="I175" s="35">
        <v>0.05</v>
      </c>
      <c r="J175" s="35">
        <v>0</v>
      </c>
      <c r="K175" s="35">
        <v>0.01</v>
      </c>
      <c r="L175" s="35">
        <v>0.01</v>
      </c>
      <c r="M175" s="35">
        <v>0</v>
      </c>
      <c r="N175" s="46">
        <v>0.01</v>
      </c>
      <c r="O175" s="35">
        <v>0.14000000000000001</v>
      </c>
    </row>
    <row r="176" spans="1:15" x14ac:dyDescent="0.2">
      <c r="B176" s="34" t="s">
        <v>173</v>
      </c>
      <c r="C176" s="44">
        <v>0.34</v>
      </c>
      <c r="D176" s="45">
        <v>1</v>
      </c>
      <c r="E176" s="45">
        <v>1.79</v>
      </c>
      <c r="F176" s="34">
        <v>0.38</v>
      </c>
      <c r="G176" s="34">
        <v>1.68</v>
      </c>
      <c r="H176" s="35">
        <v>0.46</v>
      </c>
      <c r="I176" s="35">
        <v>0.89</v>
      </c>
      <c r="J176" s="35">
        <v>0.31</v>
      </c>
      <c r="K176" s="35">
        <v>0.24</v>
      </c>
      <c r="L176" s="35">
        <v>0.51</v>
      </c>
      <c r="M176" s="35">
        <v>0.81</v>
      </c>
      <c r="N176" s="46">
        <v>1.1399999999999999</v>
      </c>
      <c r="O176" s="35">
        <v>9.5499999999999989</v>
      </c>
    </row>
    <row r="177" spans="1:15" x14ac:dyDescent="0.2">
      <c r="C177" s="44"/>
      <c r="D177" s="45"/>
      <c r="E177" s="45"/>
    </row>
    <row r="178" spans="1:15" s="40" customFormat="1" ht="15" x14ac:dyDescent="0.25">
      <c r="A178" s="39" t="s">
        <v>174</v>
      </c>
      <c r="C178" s="41">
        <v>356.51</v>
      </c>
      <c r="D178" s="41">
        <v>936.42000000000007</v>
      </c>
      <c r="E178" s="41">
        <v>789.93</v>
      </c>
      <c r="F178" s="41">
        <v>785.85</v>
      </c>
      <c r="G178" s="57">
        <v>1211.55</v>
      </c>
      <c r="H178" s="57">
        <v>850.68</v>
      </c>
      <c r="I178" s="57">
        <v>662.74999999999989</v>
      </c>
      <c r="J178" s="57">
        <v>739.33</v>
      </c>
      <c r="K178" s="57">
        <v>851.54</v>
      </c>
      <c r="L178" s="57">
        <v>897.72</v>
      </c>
      <c r="M178" s="57">
        <v>602.89</v>
      </c>
      <c r="N178" s="43">
        <v>514.63</v>
      </c>
      <c r="O178" s="57">
        <v>9199.7999999999993</v>
      </c>
    </row>
    <row r="179" spans="1:15" x14ac:dyDescent="0.2">
      <c r="B179" s="34" t="s">
        <v>175</v>
      </c>
      <c r="C179" s="44">
        <v>12.28</v>
      </c>
      <c r="D179" s="45">
        <v>20.79</v>
      </c>
      <c r="E179" s="45">
        <v>16.16</v>
      </c>
      <c r="F179" s="34">
        <v>25.98</v>
      </c>
      <c r="G179" s="34">
        <v>25.61</v>
      </c>
      <c r="H179" s="35">
        <v>19.39</v>
      </c>
      <c r="I179" s="35">
        <v>18.29</v>
      </c>
      <c r="J179" s="35">
        <v>18.510000000000002</v>
      </c>
      <c r="K179" s="35">
        <v>25.4</v>
      </c>
      <c r="L179" s="35">
        <v>23.13</v>
      </c>
      <c r="M179" s="35">
        <v>19.09</v>
      </c>
      <c r="N179" s="46">
        <v>11.38</v>
      </c>
      <c r="O179" s="35">
        <v>236.01</v>
      </c>
    </row>
    <row r="180" spans="1:15" x14ac:dyDescent="0.2">
      <c r="B180" s="34" t="s">
        <v>176</v>
      </c>
      <c r="C180" s="44">
        <v>4.12</v>
      </c>
      <c r="D180" s="45">
        <v>57.52</v>
      </c>
      <c r="E180" s="45">
        <v>5.78</v>
      </c>
      <c r="F180" s="34">
        <v>9.27</v>
      </c>
      <c r="G180" s="34">
        <v>6.57</v>
      </c>
      <c r="H180" s="35">
        <v>25.17</v>
      </c>
      <c r="I180" s="35">
        <v>5.52</v>
      </c>
      <c r="J180" s="35">
        <v>5.21</v>
      </c>
      <c r="K180" s="35">
        <v>6.89</v>
      </c>
      <c r="L180" s="35">
        <v>6.04</v>
      </c>
      <c r="M180" s="35">
        <v>3.35</v>
      </c>
      <c r="N180" s="46">
        <v>6.38</v>
      </c>
      <c r="O180" s="35">
        <v>141.81999999999996</v>
      </c>
    </row>
    <row r="181" spans="1:15" x14ac:dyDescent="0.2">
      <c r="B181" s="34" t="s">
        <v>177</v>
      </c>
      <c r="C181" s="44">
        <v>18.54</v>
      </c>
      <c r="D181" s="45">
        <v>59.78</v>
      </c>
      <c r="E181" s="45">
        <v>49.29</v>
      </c>
      <c r="F181" s="44">
        <v>46.6</v>
      </c>
      <c r="G181" s="44">
        <v>75.75</v>
      </c>
      <c r="H181" s="35">
        <v>46.45</v>
      </c>
      <c r="I181" s="35">
        <v>37.69</v>
      </c>
      <c r="J181" s="35">
        <v>41</v>
      </c>
      <c r="K181" s="35">
        <v>53.51</v>
      </c>
      <c r="L181" s="35">
        <v>94.44</v>
      </c>
      <c r="M181" s="35">
        <v>36.450000000000003</v>
      </c>
      <c r="N181" s="46">
        <v>28.37</v>
      </c>
      <c r="O181" s="35">
        <v>587.87</v>
      </c>
    </row>
    <row r="182" spans="1:15" x14ac:dyDescent="0.2">
      <c r="B182" s="34" t="s">
        <v>178</v>
      </c>
      <c r="C182" s="44">
        <v>284.62</v>
      </c>
      <c r="D182" s="45">
        <v>711.09</v>
      </c>
      <c r="E182" s="45">
        <v>645.24</v>
      </c>
      <c r="F182" s="44">
        <v>635</v>
      </c>
      <c r="G182" s="44">
        <v>989.27</v>
      </c>
      <c r="H182" s="35">
        <v>698.53</v>
      </c>
      <c r="I182" s="35">
        <v>537.91999999999996</v>
      </c>
      <c r="J182" s="35">
        <v>609.11</v>
      </c>
      <c r="K182" s="35">
        <v>683.52</v>
      </c>
      <c r="L182" s="35">
        <v>690.68</v>
      </c>
      <c r="M182" s="35">
        <v>480.8</v>
      </c>
      <c r="N182" s="46">
        <v>393.91</v>
      </c>
      <c r="O182" s="35">
        <v>7359.69</v>
      </c>
    </row>
    <row r="183" spans="1:15" x14ac:dyDescent="0.2">
      <c r="B183" s="34" t="s">
        <v>179</v>
      </c>
      <c r="C183" s="44">
        <v>0.01</v>
      </c>
      <c r="D183" s="45">
        <v>0</v>
      </c>
      <c r="E183" s="45">
        <v>0.02</v>
      </c>
      <c r="F183" s="34">
        <v>0.01</v>
      </c>
      <c r="G183" s="34">
        <v>0.02</v>
      </c>
      <c r="H183" s="35">
        <v>0.02</v>
      </c>
      <c r="I183" s="35">
        <v>0.04</v>
      </c>
      <c r="J183" s="35">
        <v>7.0000000000000007E-2</v>
      </c>
      <c r="K183" s="35">
        <v>0.09</v>
      </c>
      <c r="L183" s="35">
        <v>0.08</v>
      </c>
      <c r="M183" s="35">
        <v>0.02</v>
      </c>
      <c r="N183" s="46">
        <v>0.04</v>
      </c>
      <c r="O183" s="35">
        <v>0.42000000000000004</v>
      </c>
    </row>
    <row r="184" spans="1:15" x14ac:dyDescent="0.2">
      <c r="B184" s="34" t="s">
        <v>180</v>
      </c>
      <c r="C184" s="44">
        <v>36.9</v>
      </c>
      <c r="D184" s="45">
        <v>78.52</v>
      </c>
      <c r="E184" s="45">
        <v>73.400000000000006</v>
      </c>
      <c r="F184" s="34">
        <v>68.98</v>
      </c>
      <c r="G184" s="34">
        <v>114.32</v>
      </c>
      <c r="H184" s="35">
        <v>61.1</v>
      </c>
      <c r="I184" s="35">
        <v>63.26</v>
      </c>
      <c r="J184" s="35">
        <v>65.400000000000006</v>
      </c>
      <c r="K184" s="35">
        <v>82.13</v>
      </c>
      <c r="L184" s="35">
        <v>83.22</v>
      </c>
      <c r="M184" s="35">
        <v>63.18</v>
      </c>
      <c r="N184" s="46">
        <v>74.55</v>
      </c>
      <c r="O184" s="35">
        <v>864.95999999999992</v>
      </c>
    </row>
    <row r="185" spans="1:15" x14ac:dyDescent="0.2">
      <c r="B185" s="34" t="s">
        <v>181</v>
      </c>
      <c r="C185" s="44">
        <v>0.04</v>
      </c>
      <c r="D185" s="45">
        <v>8.7200000000000006</v>
      </c>
      <c r="E185" s="45">
        <v>0.04</v>
      </c>
      <c r="F185" s="34">
        <v>0.01</v>
      </c>
      <c r="G185" s="34">
        <v>0.01</v>
      </c>
      <c r="H185" s="35">
        <v>0.02</v>
      </c>
      <c r="I185" s="35">
        <v>0.03</v>
      </c>
      <c r="J185" s="35">
        <v>0.03</v>
      </c>
      <c r="K185" s="35">
        <v>0</v>
      </c>
      <c r="L185" s="35">
        <v>0.13</v>
      </c>
      <c r="M185" s="35">
        <v>0</v>
      </c>
      <c r="N185" s="46">
        <v>0</v>
      </c>
      <c r="O185" s="35">
        <v>9.0299999999999976</v>
      </c>
    </row>
    <row r="186" spans="1:15" x14ac:dyDescent="0.2">
      <c r="C186" s="44"/>
      <c r="D186" s="45"/>
      <c r="E186" s="45"/>
    </row>
    <row r="187" spans="1:15" s="40" customFormat="1" ht="15" x14ac:dyDescent="0.25">
      <c r="A187" s="39" t="s">
        <v>182</v>
      </c>
      <c r="C187" s="41">
        <v>30.879999999999995</v>
      </c>
      <c r="D187" s="41">
        <v>69.47</v>
      </c>
      <c r="E187" s="41">
        <v>20.72</v>
      </c>
      <c r="F187" s="41">
        <v>47.050000000000004</v>
      </c>
      <c r="G187" s="41">
        <v>42</v>
      </c>
      <c r="H187" s="57">
        <v>18.97</v>
      </c>
      <c r="I187" s="57">
        <v>25.65</v>
      </c>
      <c r="J187" s="57">
        <v>19.469999999999995</v>
      </c>
      <c r="K187" s="57">
        <v>38.79999999999999</v>
      </c>
      <c r="L187" s="57">
        <v>23.73</v>
      </c>
      <c r="M187" s="57">
        <v>17.649999999999999</v>
      </c>
      <c r="N187" s="43">
        <v>70.800000000000011</v>
      </c>
      <c r="O187" s="57">
        <v>425.19</v>
      </c>
    </row>
    <row r="188" spans="1:15" x14ac:dyDescent="0.2">
      <c r="B188" s="34" t="s">
        <v>183</v>
      </c>
      <c r="C188" s="44">
        <v>0.01</v>
      </c>
      <c r="D188" s="45">
        <v>0</v>
      </c>
      <c r="E188" s="47" t="s">
        <v>231</v>
      </c>
      <c r="F188" s="44">
        <v>0</v>
      </c>
      <c r="G188" s="47" t="s">
        <v>231</v>
      </c>
      <c r="H188" s="47" t="s">
        <v>231</v>
      </c>
      <c r="I188" s="47" t="s">
        <v>231</v>
      </c>
      <c r="J188" s="35">
        <v>0</v>
      </c>
      <c r="K188" s="35">
        <v>0</v>
      </c>
      <c r="L188" s="47" t="s">
        <v>231</v>
      </c>
      <c r="M188" s="35">
        <v>0</v>
      </c>
      <c r="N188" s="46" t="s">
        <v>231</v>
      </c>
      <c r="O188" s="35">
        <v>0.01</v>
      </c>
    </row>
    <row r="189" spans="1:15" x14ac:dyDescent="0.2">
      <c r="B189" s="34" t="s">
        <v>184</v>
      </c>
      <c r="C189" s="47" t="s">
        <v>231</v>
      </c>
      <c r="D189" s="47" t="s">
        <v>231</v>
      </c>
      <c r="E189" s="45">
        <v>0.03</v>
      </c>
      <c r="F189" s="47" t="s">
        <v>231</v>
      </c>
      <c r="G189" s="34">
        <v>0.02</v>
      </c>
      <c r="H189" s="47" t="s">
        <v>231</v>
      </c>
      <c r="I189" s="35">
        <v>0.01</v>
      </c>
      <c r="J189" s="35">
        <v>0.02</v>
      </c>
      <c r="K189" s="35">
        <v>0.01</v>
      </c>
      <c r="L189" s="35">
        <v>0.02</v>
      </c>
      <c r="M189" s="47" t="s">
        <v>231</v>
      </c>
      <c r="N189" s="46" t="s">
        <v>231</v>
      </c>
      <c r="O189" s="35">
        <v>0.11</v>
      </c>
    </row>
    <row r="190" spans="1:15" x14ac:dyDescent="0.2">
      <c r="B190" s="34" t="s">
        <v>185</v>
      </c>
      <c r="C190" s="44">
        <v>0</v>
      </c>
      <c r="D190" s="45">
        <v>0</v>
      </c>
      <c r="E190" s="45">
        <v>0</v>
      </c>
      <c r="F190" s="44">
        <v>0</v>
      </c>
      <c r="G190" s="44">
        <v>0.02</v>
      </c>
      <c r="H190" s="47" t="s">
        <v>231</v>
      </c>
      <c r="I190" s="47" t="s">
        <v>231</v>
      </c>
      <c r="J190" s="47" t="s">
        <v>231</v>
      </c>
      <c r="K190" s="47" t="s">
        <v>231</v>
      </c>
      <c r="L190" s="35">
        <v>0</v>
      </c>
      <c r="M190" s="35">
        <v>0</v>
      </c>
      <c r="N190" s="46">
        <v>0</v>
      </c>
      <c r="O190" s="35">
        <v>0.02</v>
      </c>
    </row>
    <row r="191" spans="1:15" x14ac:dyDescent="0.2">
      <c r="B191" s="34" t="s">
        <v>186</v>
      </c>
      <c r="C191" s="44">
        <v>0</v>
      </c>
      <c r="D191" s="47" t="s">
        <v>231</v>
      </c>
      <c r="E191" s="47" t="s">
        <v>231</v>
      </c>
      <c r="F191" s="34">
        <v>0.92</v>
      </c>
      <c r="G191" s="47" t="s">
        <v>231</v>
      </c>
      <c r="H191" s="47" t="s">
        <v>231</v>
      </c>
      <c r="I191" s="47" t="s">
        <v>231</v>
      </c>
      <c r="J191" s="47" t="s">
        <v>231</v>
      </c>
      <c r="K191" s="35">
        <v>0</v>
      </c>
      <c r="M191" s="47" t="s">
        <v>231</v>
      </c>
      <c r="N191" s="46" t="s">
        <v>231</v>
      </c>
      <c r="O191" s="35">
        <v>0.92</v>
      </c>
    </row>
    <row r="192" spans="1:15" x14ac:dyDescent="0.2">
      <c r="B192" s="34" t="s">
        <v>187</v>
      </c>
      <c r="C192" s="44">
        <v>11.12</v>
      </c>
      <c r="D192" s="45">
        <v>47.58</v>
      </c>
      <c r="E192" s="45">
        <v>1.66</v>
      </c>
      <c r="F192" s="34">
        <v>7.44</v>
      </c>
      <c r="G192" s="34">
        <v>8.6300000000000008</v>
      </c>
      <c r="H192" s="47" t="s">
        <v>231</v>
      </c>
      <c r="I192" s="35">
        <v>0.5</v>
      </c>
      <c r="J192" s="47" t="s">
        <v>231</v>
      </c>
      <c r="K192" s="35">
        <v>18.489999999999998</v>
      </c>
      <c r="L192" s="35">
        <v>5.96</v>
      </c>
      <c r="M192" s="65">
        <v>8.36</v>
      </c>
      <c r="N192" s="46">
        <v>43.74</v>
      </c>
      <c r="O192" s="35">
        <v>153.47999999999999</v>
      </c>
    </row>
    <row r="193" spans="2:15" x14ac:dyDescent="0.2">
      <c r="B193" s="34" t="s">
        <v>188</v>
      </c>
      <c r="C193" s="44">
        <v>0</v>
      </c>
      <c r="D193" s="45">
        <v>0.01</v>
      </c>
      <c r="E193" s="45">
        <v>0.02</v>
      </c>
      <c r="F193" s="47" t="s">
        <v>231</v>
      </c>
      <c r="G193" s="34">
        <v>0.06</v>
      </c>
      <c r="H193" s="35">
        <v>0.01</v>
      </c>
      <c r="I193" s="35">
        <v>0.02</v>
      </c>
      <c r="J193" s="47" t="s">
        <v>231</v>
      </c>
      <c r="K193" s="35">
        <v>0.02</v>
      </c>
      <c r="L193" s="35">
        <v>0</v>
      </c>
      <c r="M193" s="35">
        <v>0</v>
      </c>
      <c r="N193" s="46">
        <v>0.01</v>
      </c>
      <c r="O193" s="35">
        <v>0.15</v>
      </c>
    </row>
    <row r="194" spans="2:15" x14ac:dyDescent="0.2">
      <c r="B194" s="34" t="s">
        <v>189</v>
      </c>
      <c r="C194" s="47" t="s">
        <v>231</v>
      </c>
      <c r="D194" s="47" t="s">
        <v>231</v>
      </c>
      <c r="E194" s="47" t="s">
        <v>231</v>
      </c>
      <c r="F194" s="47" t="s">
        <v>231</v>
      </c>
      <c r="G194" s="47" t="s">
        <v>231</v>
      </c>
      <c r="H194" s="47" t="s">
        <v>231</v>
      </c>
      <c r="I194" s="47" t="s">
        <v>231</v>
      </c>
      <c r="J194" s="47" t="s">
        <v>231</v>
      </c>
      <c r="K194" s="47" t="s">
        <v>231</v>
      </c>
      <c r="L194" s="35">
        <v>0.01</v>
      </c>
      <c r="M194" s="47" t="s">
        <v>231</v>
      </c>
      <c r="N194" s="46">
        <v>0.01</v>
      </c>
      <c r="O194" s="35">
        <v>0.02</v>
      </c>
    </row>
    <row r="195" spans="2:15" x14ac:dyDescent="0.2">
      <c r="B195" s="34" t="s">
        <v>190</v>
      </c>
      <c r="C195" s="44">
        <v>4.03</v>
      </c>
      <c r="D195" s="45">
        <v>4.29</v>
      </c>
      <c r="E195" s="45">
        <v>5.09</v>
      </c>
      <c r="F195" s="34">
        <v>6.97</v>
      </c>
      <c r="G195" s="34">
        <v>11.13</v>
      </c>
      <c r="H195" s="35">
        <v>8.8000000000000007</v>
      </c>
      <c r="I195" s="35">
        <v>13.32</v>
      </c>
      <c r="J195" s="35">
        <v>9.02</v>
      </c>
      <c r="K195" s="35">
        <v>7.38</v>
      </c>
      <c r="L195" s="35">
        <v>8.2200000000000006</v>
      </c>
      <c r="M195" s="35">
        <v>3.96</v>
      </c>
      <c r="N195" s="46">
        <v>4.25</v>
      </c>
      <c r="O195" s="35">
        <v>86.46</v>
      </c>
    </row>
    <row r="196" spans="2:15" x14ac:dyDescent="0.2">
      <c r="B196" s="34" t="s">
        <v>191</v>
      </c>
      <c r="C196" s="44">
        <v>0.01</v>
      </c>
      <c r="D196" s="45">
        <v>0</v>
      </c>
      <c r="E196" s="47" t="s">
        <v>231</v>
      </c>
      <c r="F196" s="47" t="s">
        <v>231</v>
      </c>
      <c r="G196" s="47" t="s">
        <v>231</v>
      </c>
      <c r="H196" s="35">
        <v>0</v>
      </c>
      <c r="I196" s="47" t="s">
        <v>231</v>
      </c>
      <c r="J196" s="35">
        <v>0.01</v>
      </c>
      <c r="K196" s="47" t="s">
        <v>231</v>
      </c>
      <c r="M196" s="47" t="s">
        <v>231</v>
      </c>
      <c r="N196" s="46" t="s">
        <v>231</v>
      </c>
      <c r="O196" s="35">
        <v>0.02</v>
      </c>
    </row>
    <row r="197" spans="2:15" x14ac:dyDescent="0.2">
      <c r="B197" s="34" t="s">
        <v>192</v>
      </c>
      <c r="C197" s="44">
        <v>0</v>
      </c>
      <c r="D197" s="47" t="s">
        <v>231</v>
      </c>
      <c r="E197" s="47" t="s">
        <v>231</v>
      </c>
      <c r="F197" s="47" t="s">
        <v>231</v>
      </c>
      <c r="G197" s="47" t="s">
        <v>231</v>
      </c>
      <c r="H197" s="35">
        <v>0</v>
      </c>
      <c r="I197" s="47" t="s">
        <v>231</v>
      </c>
      <c r="J197" s="47" t="s">
        <v>231</v>
      </c>
      <c r="K197" s="47" t="s">
        <v>231</v>
      </c>
      <c r="M197" s="47" t="s">
        <v>231</v>
      </c>
      <c r="N197" s="46" t="s">
        <v>231</v>
      </c>
      <c r="O197" s="35">
        <v>0</v>
      </c>
    </row>
    <row r="198" spans="2:15" x14ac:dyDescent="0.2">
      <c r="B198" s="34" t="s">
        <v>193</v>
      </c>
      <c r="C198" s="44">
        <v>0</v>
      </c>
      <c r="D198" s="47" t="s">
        <v>231</v>
      </c>
      <c r="E198" s="47" t="s">
        <v>231</v>
      </c>
      <c r="F198" s="47" t="s">
        <v>231</v>
      </c>
      <c r="G198" s="47" t="s">
        <v>231</v>
      </c>
      <c r="H198" s="47" t="s">
        <v>231</v>
      </c>
      <c r="I198" s="47" t="s">
        <v>231</v>
      </c>
      <c r="J198" s="47" t="s">
        <v>231</v>
      </c>
      <c r="K198" s="47" t="s">
        <v>231</v>
      </c>
      <c r="M198" s="47" t="s">
        <v>231</v>
      </c>
      <c r="N198" s="46" t="s">
        <v>231</v>
      </c>
      <c r="O198" s="35">
        <v>0</v>
      </c>
    </row>
    <row r="199" spans="2:15" x14ac:dyDescent="0.2">
      <c r="B199" s="34" t="s">
        <v>194</v>
      </c>
      <c r="C199" s="44">
        <v>7.0000000000000007E-2</v>
      </c>
      <c r="D199" s="45">
        <v>0.03</v>
      </c>
      <c r="E199" s="45">
        <v>7.0000000000000007E-2</v>
      </c>
      <c r="F199" s="47" t="s">
        <v>231</v>
      </c>
      <c r="G199" s="34">
        <v>0.04</v>
      </c>
      <c r="H199" s="35">
        <v>0.04</v>
      </c>
      <c r="I199" s="47" t="s">
        <v>231</v>
      </c>
      <c r="J199" s="35">
        <v>0.02</v>
      </c>
      <c r="K199" s="47" t="s">
        <v>231</v>
      </c>
      <c r="L199" s="35">
        <v>0.02</v>
      </c>
      <c r="M199" s="35">
        <v>0.03</v>
      </c>
      <c r="N199" s="46" t="s">
        <v>231</v>
      </c>
      <c r="O199" s="35">
        <v>0.32000000000000006</v>
      </c>
    </row>
    <row r="200" spans="2:15" x14ac:dyDescent="0.2">
      <c r="B200" s="34" t="s">
        <v>195</v>
      </c>
      <c r="C200" s="44">
        <v>0.02</v>
      </c>
      <c r="D200" s="45">
        <v>0.35</v>
      </c>
      <c r="E200" s="45">
        <v>0.09</v>
      </c>
      <c r="F200" s="34">
        <v>0.02</v>
      </c>
      <c r="G200" s="34">
        <v>0.04</v>
      </c>
      <c r="H200" s="35">
        <v>0.08</v>
      </c>
      <c r="I200" s="35">
        <v>0.16</v>
      </c>
      <c r="J200" s="35">
        <v>0.31</v>
      </c>
      <c r="K200" s="35">
        <v>0.19</v>
      </c>
      <c r="L200" s="35">
        <v>0.16</v>
      </c>
      <c r="M200" s="35">
        <v>1.0900000000000001</v>
      </c>
      <c r="N200" s="46">
        <v>0.39</v>
      </c>
      <c r="O200" s="35">
        <v>2.9</v>
      </c>
    </row>
    <row r="201" spans="2:15" x14ac:dyDescent="0.2">
      <c r="B201" s="34" t="s">
        <v>196</v>
      </c>
      <c r="C201" s="44">
        <v>0</v>
      </c>
      <c r="D201" s="47" t="s">
        <v>231</v>
      </c>
      <c r="E201" s="47" t="s">
        <v>231</v>
      </c>
      <c r="F201" s="44">
        <v>0</v>
      </c>
      <c r="G201" s="47" t="s">
        <v>231</v>
      </c>
      <c r="H201" s="47" t="s">
        <v>231</v>
      </c>
      <c r="I201" s="47" t="s">
        <v>231</v>
      </c>
      <c r="J201" s="47" t="s">
        <v>231</v>
      </c>
      <c r="K201" s="47" t="s">
        <v>231</v>
      </c>
      <c r="L201" s="47" t="s">
        <v>231</v>
      </c>
      <c r="M201" s="47" t="s">
        <v>231</v>
      </c>
      <c r="N201" s="46" t="s">
        <v>231</v>
      </c>
      <c r="O201" s="35">
        <v>0</v>
      </c>
    </row>
    <row r="202" spans="2:15" x14ac:dyDescent="0.2">
      <c r="B202" s="34" t="s">
        <v>197</v>
      </c>
      <c r="C202" s="44">
        <v>0</v>
      </c>
      <c r="D202" s="47" t="s">
        <v>231</v>
      </c>
      <c r="E202" s="47" t="s">
        <v>231</v>
      </c>
      <c r="F202" s="47" t="s">
        <v>231</v>
      </c>
      <c r="G202" s="47" t="s">
        <v>231</v>
      </c>
      <c r="H202" s="47" t="s">
        <v>231</v>
      </c>
      <c r="I202" s="47" t="s">
        <v>231</v>
      </c>
      <c r="J202" s="47" t="s">
        <v>231</v>
      </c>
      <c r="K202" s="47" t="s">
        <v>231</v>
      </c>
      <c r="L202" s="47" t="s">
        <v>231</v>
      </c>
      <c r="M202" s="35">
        <v>0.01</v>
      </c>
      <c r="N202" s="46" t="s">
        <v>231</v>
      </c>
      <c r="O202" s="35">
        <v>0.01</v>
      </c>
    </row>
    <row r="203" spans="2:15" x14ac:dyDescent="0.2">
      <c r="B203" s="34" t="s">
        <v>198</v>
      </c>
      <c r="C203" s="44">
        <v>0</v>
      </c>
      <c r="D203" s="47" t="s">
        <v>231</v>
      </c>
      <c r="E203" s="47" t="s">
        <v>231</v>
      </c>
      <c r="F203" s="47" t="s">
        <v>231</v>
      </c>
      <c r="G203" s="34">
        <v>0.04</v>
      </c>
      <c r="H203" s="47" t="s">
        <v>231</v>
      </c>
      <c r="I203" s="47" t="s">
        <v>231</v>
      </c>
      <c r="J203" s="47" t="s">
        <v>231</v>
      </c>
      <c r="K203" s="47" t="s">
        <v>231</v>
      </c>
      <c r="L203" s="47" t="s">
        <v>231</v>
      </c>
      <c r="M203" s="47" t="s">
        <v>231</v>
      </c>
      <c r="N203" s="46" t="s">
        <v>231</v>
      </c>
      <c r="O203" s="35">
        <v>0.04</v>
      </c>
    </row>
    <row r="204" spans="2:15" x14ac:dyDescent="0.2">
      <c r="B204" s="34" t="s">
        <v>199</v>
      </c>
      <c r="C204" s="44">
        <v>10.029999999999999</v>
      </c>
      <c r="D204" s="47" t="s">
        <v>231</v>
      </c>
      <c r="E204" s="45">
        <v>0.28999999999999998</v>
      </c>
      <c r="F204" s="34">
        <v>0.02</v>
      </c>
      <c r="G204" s="34">
        <v>0.28000000000000003</v>
      </c>
      <c r="H204" s="35">
        <v>0.04</v>
      </c>
      <c r="I204" s="35">
        <v>0.05</v>
      </c>
      <c r="J204" s="35">
        <v>0.03</v>
      </c>
      <c r="K204" s="35">
        <v>2.38</v>
      </c>
      <c r="L204" s="35">
        <v>0.01</v>
      </c>
      <c r="M204" s="44">
        <v>0.03</v>
      </c>
      <c r="N204" s="46">
        <v>16.079999999999998</v>
      </c>
      <c r="O204" s="35">
        <v>29.239999999999995</v>
      </c>
    </row>
    <row r="205" spans="2:15" x14ac:dyDescent="0.2">
      <c r="B205" s="34" t="s">
        <v>200</v>
      </c>
      <c r="C205" s="44">
        <v>0</v>
      </c>
      <c r="D205" s="45">
        <v>0</v>
      </c>
      <c r="E205" s="45">
        <v>0</v>
      </c>
      <c r="F205" s="34">
        <v>0.06</v>
      </c>
      <c r="G205" s="34">
        <v>0.02</v>
      </c>
      <c r="H205" s="35">
        <v>0.02</v>
      </c>
      <c r="I205" s="35">
        <v>0.01</v>
      </c>
      <c r="J205" s="35">
        <v>2.0699999999999998</v>
      </c>
      <c r="K205" s="35">
        <v>0.02</v>
      </c>
      <c r="L205" s="35">
        <v>0.01</v>
      </c>
      <c r="M205" s="35">
        <v>0.01</v>
      </c>
      <c r="N205" s="46">
        <v>2.4</v>
      </c>
      <c r="O205" s="35">
        <v>4.6199999999999992</v>
      </c>
    </row>
    <row r="206" spans="2:15" x14ac:dyDescent="0.2">
      <c r="B206" s="34" t="s">
        <v>201</v>
      </c>
      <c r="C206" s="44">
        <v>0</v>
      </c>
      <c r="D206" s="47" t="s">
        <v>231</v>
      </c>
      <c r="E206" s="47" t="s">
        <v>231</v>
      </c>
      <c r="F206" s="47" t="s">
        <v>231</v>
      </c>
      <c r="G206" s="47" t="s">
        <v>231</v>
      </c>
      <c r="H206" s="47" t="s">
        <v>231</v>
      </c>
      <c r="I206" s="47" t="s">
        <v>231</v>
      </c>
      <c r="J206" s="47" t="s">
        <v>231</v>
      </c>
      <c r="K206" s="47" t="s">
        <v>231</v>
      </c>
      <c r="M206" s="47" t="s">
        <v>231</v>
      </c>
      <c r="N206" s="46" t="s">
        <v>231</v>
      </c>
      <c r="O206" s="35">
        <v>0</v>
      </c>
    </row>
    <row r="207" spans="2:15" x14ac:dyDescent="0.2">
      <c r="B207" s="34" t="s">
        <v>202</v>
      </c>
      <c r="C207" s="47" t="s">
        <v>231</v>
      </c>
      <c r="D207" s="47" t="s">
        <v>231</v>
      </c>
      <c r="E207" s="47" t="s">
        <v>231</v>
      </c>
      <c r="F207" s="47" t="s">
        <v>231</v>
      </c>
      <c r="G207" s="47" t="s">
        <v>231</v>
      </c>
      <c r="H207" s="47" t="s">
        <v>231</v>
      </c>
      <c r="I207" s="47" t="s">
        <v>231</v>
      </c>
      <c r="J207" s="47" t="s">
        <v>231</v>
      </c>
      <c r="K207" s="47" t="s">
        <v>231</v>
      </c>
      <c r="L207" s="35">
        <v>0.03</v>
      </c>
      <c r="M207" s="47" t="s">
        <v>231</v>
      </c>
      <c r="N207" s="46" t="s">
        <v>231</v>
      </c>
      <c r="O207" s="35">
        <v>0.03</v>
      </c>
    </row>
    <row r="208" spans="2:15" x14ac:dyDescent="0.2">
      <c r="B208" s="34" t="s">
        <v>203</v>
      </c>
      <c r="C208" s="44">
        <v>0</v>
      </c>
      <c r="D208" s="47" t="s">
        <v>231</v>
      </c>
      <c r="E208" s="47" t="s">
        <v>231</v>
      </c>
      <c r="F208" s="47" t="s">
        <v>231</v>
      </c>
      <c r="G208" s="34">
        <v>0.06</v>
      </c>
      <c r="H208" s="35">
        <v>0.05</v>
      </c>
      <c r="I208" s="35">
        <v>0.04</v>
      </c>
      <c r="J208" s="35">
        <v>0.02</v>
      </c>
      <c r="K208" s="47" t="s">
        <v>231</v>
      </c>
      <c r="L208" s="35">
        <v>0</v>
      </c>
      <c r="M208" s="47" t="s">
        <v>231</v>
      </c>
      <c r="N208" s="46" t="s">
        <v>231</v>
      </c>
      <c r="O208" s="35">
        <v>0.16999999999999998</v>
      </c>
    </row>
    <row r="209" spans="2:15" x14ac:dyDescent="0.2">
      <c r="B209" s="34" t="s">
        <v>204</v>
      </c>
      <c r="C209" s="44">
        <v>0</v>
      </c>
      <c r="D209" s="47" t="s">
        <v>231</v>
      </c>
      <c r="E209" s="47" t="s">
        <v>231</v>
      </c>
      <c r="F209" s="44">
        <v>0</v>
      </c>
      <c r="G209" s="47" t="s">
        <v>231</v>
      </c>
      <c r="H209" s="47" t="s">
        <v>231</v>
      </c>
      <c r="I209" s="47" t="s">
        <v>231</v>
      </c>
      <c r="J209" s="35">
        <v>0</v>
      </c>
      <c r="K209" s="47" t="s">
        <v>231</v>
      </c>
      <c r="M209" s="47" t="s">
        <v>231</v>
      </c>
      <c r="N209" s="46" t="s">
        <v>231</v>
      </c>
      <c r="O209" s="35">
        <v>0</v>
      </c>
    </row>
    <row r="210" spans="2:15" x14ac:dyDescent="0.2">
      <c r="B210" s="34" t="s">
        <v>205</v>
      </c>
      <c r="C210" s="44">
        <v>0.01</v>
      </c>
      <c r="D210" s="45">
        <v>0.01</v>
      </c>
      <c r="E210" s="45">
        <v>0.02</v>
      </c>
      <c r="F210" s="47" t="s">
        <v>231</v>
      </c>
      <c r="G210" s="34">
        <v>0.19</v>
      </c>
      <c r="H210" s="47" t="s">
        <v>231</v>
      </c>
      <c r="I210" s="35">
        <v>0.2</v>
      </c>
      <c r="J210" s="47" t="s">
        <v>231</v>
      </c>
      <c r="K210" s="47" t="s">
        <v>231</v>
      </c>
      <c r="M210" s="47" t="s">
        <v>231</v>
      </c>
      <c r="N210" s="46" t="s">
        <v>231</v>
      </c>
      <c r="O210" s="35">
        <v>0.43000000000000005</v>
      </c>
    </row>
    <row r="211" spans="2:15" x14ac:dyDescent="0.2">
      <c r="B211" s="34" t="s">
        <v>228</v>
      </c>
      <c r="C211" s="44">
        <v>0.06</v>
      </c>
      <c r="D211" s="45">
        <v>0.21</v>
      </c>
      <c r="E211" s="45">
        <v>0.09</v>
      </c>
      <c r="F211" s="34">
        <v>0.15</v>
      </c>
      <c r="G211" s="34">
        <v>0.16</v>
      </c>
      <c r="H211" s="35">
        <v>0.1</v>
      </c>
      <c r="I211" s="35">
        <v>7.0000000000000007E-2</v>
      </c>
      <c r="J211" s="35">
        <v>0.12</v>
      </c>
      <c r="K211" s="35">
        <v>0.11</v>
      </c>
      <c r="L211" s="35">
        <v>0.17</v>
      </c>
      <c r="M211" s="35">
        <v>0.09</v>
      </c>
      <c r="N211" s="46">
        <v>0.08</v>
      </c>
      <c r="O211" s="35">
        <v>1.4100000000000001</v>
      </c>
    </row>
    <row r="212" spans="2:15" x14ac:dyDescent="0.2">
      <c r="B212" s="34" t="s">
        <v>207</v>
      </c>
      <c r="C212" s="44">
        <v>0</v>
      </c>
      <c r="D212" s="47" t="s">
        <v>231</v>
      </c>
      <c r="E212" s="47" t="s">
        <v>231</v>
      </c>
      <c r="F212" s="47" t="s">
        <v>231</v>
      </c>
      <c r="G212" s="34">
        <v>0.59</v>
      </c>
      <c r="H212" s="47" t="s">
        <v>231</v>
      </c>
      <c r="I212" s="35">
        <v>0</v>
      </c>
      <c r="J212" s="47" t="s">
        <v>231</v>
      </c>
      <c r="K212" s="47" t="s">
        <v>231</v>
      </c>
      <c r="M212" s="47" t="s">
        <v>231</v>
      </c>
      <c r="N212" s="46" t="s">
        <v>231</v>
      </c>
      <c r="O212" s="35">
        <v>0.59</v>
      </c>
    </row>
    <row r="213" spans="2:15" x14ac:dyDescent="0.2">
      <c r="B213" s="34" t="s">
        <v>208</v>
      </c>
      <c r="C213" s="47" t="s">
        <v>231</v>
      </c>
      <c r="D213" s="47" t="s">
        <v>231</v>
      </c>
      <c r="E213" s="47" t="s">
        <v>231</v>
      </c>
      <c r="F213" s="47" t="s">
        <v>231</v>
      </c>
      <c r="G213" s="47" t="s">
        <v>231</v>
      </c>
      <c r="H213" s="47" t="s">
        <v>231</v>
      </c>
      <c r="I213" s="47" t="s">
        <v>231</v>
      </c>
      <c r="J213" s="35">
        <v>0.01</v>
      </c>
      <c r="K213" s="47" t="s">
        <v>231</v>
      </c>
      <c r="L213" s="47" t="s">
        <v>231</v>
      </c>
      <c r="M213" s="35">
        <v>0</v>
      </c>
      <c r="N213" s="46" t="s">
        <v>231</v>
      </c>
      <c r="O213" s="35">
        <v>0.01</v>
      </c>
    </row>
    <row r="214" spans="2:15" x14ac:dyDescent="0.2">
      <c r="B214" s="34" t="s">
        <v>210</v>
      </c>
      <c r="C214" s="44">
        <v>0</v>
      </c>
      <c r="D214" s="47" t="s">
        <v>231</v>
      </c>
      <c r="E214" s="47" t="s">
        <v>231</v>
      </c>
      <c r="F214" s="47" t="s">
        <v>231</v>
      </c>
      <c r="G214" s="47" t="s">
        <v>231</v>
      </c>
      <c r="H214" s="35">
        <v>2.63</v>
      </c>
      <c r="I214" s="35">
        <v>0</v>
      </c>
      <c r="J214" s="47" t="s">
        <v>231</v>
      </c>
      <c r="K214" s="35">
        <v>0.01</v>
      </c>
      <c r="M214" s="47" t="s">
        <v>231</v>
      </c>
      <c r="N214" s="46" t="s">
        <v>231</v>
      </c>
      <c r="O214" s="35">
        <v>2.6399999999999997</v>
      </c>
    </row>
    <row r="215" spans="2:15" x14ac:dyDescent="0.2">
      <c r="B215" s="34" t="s">
        <v>211</v>
      </c>
      <c r="C215" s="47" t="s">
        <v>231</v>
      </c>
      <c r="D215" s="47" t="s">
        <v>231</v>
      </c>
      <c r="E215" s="47" t="s">
        <v>231</v>
      </c>
      <c r="F215" s="34">
        <v>0.02</v>
      </c>
      <c r="G215" s="47" t="s">
        <v>231</v>
      </c>
      <c r="H215" s="35">
        <v>0.18</v>
      </c>
      <c r="I215" s="47" t="s">
        <v>231</v>
      </c>
      <c r="J215" s="47" t="s">
        <v>231</v>
      </c>
      <c r="K215" s="47" t="s">
        <v>231</v>
      </c>
      <c r="M215" s="47" t="s">
        <v>231</v>
      </c>
      <c r="N215" s="46" t="s">
        <v>231</v>
      </c>
      <c r="O215" s="35">
        <v>0.19999999999999998</v>
      </c>
    </row>
    <row r="216" spans="2:15" x14ac:dyDescent="0.2">
      <c r="B216" s="34" t="s">
        <v>212</v>
      </c>
      <c r="C216" s="47" t="s">
        <v>231</v>
      </c>
      <c r="D216" s="47" t="s">
        <v>231</v>
      </c>
      <c r="E216" s="47" t="s">
        <v>231</v>
      </c>
      <c r="F216" s="47" t="s">
        <v>231</v>
      </c>
      <c r="G216" s="58">
        <v>0</v>
      </c>
      <c r="H216" s="35">
        <v>0</v>
      </c>
      <c r="I216" s="35">
        <v>0</v>
      </c>
      <c r="J216" s="35">
        <v>0</v>
      </c>
      <c r="K216" s="35">
        <v>0</v>
      </c>
      <c r="L216" s="35">
        <v>0</v>
      </c>
      <c r="M216" s="35">
        <v>0</v>
      </c>
      <c r="N216" s="46">
        <v>0</v>
      </c>
      <c r="O216" s="35">
        <v>0</v>
      </c>
    </row>
    <row r="217" spans="2:15" x14ac:dyDescent="0.2">
      <c r="B217" s="34" t="s">
        <v>213</v>
      </c>
      <c r="C217" s="44">
        <v>0.06</v>
      </c>
      <c r="D217" s="47" t="s">
        <v>231</v>
      </c>
      <c r="E217" s="47" t="s">
        <v>231</v>
      </c>
      <c r="F217" s="47" t="s">
        <v>231</v>
      </c>
      <c r="G217" s="34">
        <v>0.19</v>
      </c>
      <c r="H217" s="35">
        <v>0.04</v>
      </c>
      <c r="I217" s="35">
        <v>0.04</v>
      </c>
      <c r="J217" s="47" t="s">
        <v>231</v>
      </c>
      <c r="K217" s="47" t="s">
        <v>231</v>
      </c>
      <c r="L217" s="47" t="s">
        <v>231</v>
      </c>
      <c r="M217" s="35">
        <v>0.04</v>
      </c>
      <c r="N217" s="46">
        <v>0.01</v>
      </c>
      <c r="O217" s="35">
        <v>0.37999999999999995</v>
      </c>
    </row>
    <row r="218" spans="2:15" x14ac:dyDescent="0.2">
      <c r="B218" s="34" t="s">
        <v>233</v>
      </c>
      <c r="C218" s="44">
        <v>0.01</v>
      </c>
      <c r="D218" s="45">
        <v>0.02</v>
      </c>
      <c r="E218" s="45">
        <v>0.03</v>
      </c>
      <c r="F218" s="34">
        <v>0.03</v>
      </c>
      <c r="G218" s="58">
        <v>0</v>
      </c>
      <c r="H218" s="35">
        <v>0.13</v>
      </c>
      <c r="I218" s="47" t="s">
        <v>231</v>
      </c>
      <c r="J218" s="47" t="s">
        <v>231</v>
      </c>
      <c r="K218" s="35">
        <v>0.01</v>
      </c>
      <c r="L218" s="35">
        <v>0.1</v>
      </c>
      <c r="M218" s="35">
        <v>0</v>
      </c>
      <c r="N218" s="46">
        <v>0.03</v>
      </c>
      <c r="O218" s="35">
        <v>0.36</v>
      </c>
    </row>
    <row r="219" spans="2:15" x14ac:dyDescent="0.2">
      <c r="B219" s="34" t="s">
        <v>217</v>
      </c>
      <c r="C219" s="44">
        <v>2.2599999999999998</v>
      </c>
      <c r="D219" s="45">
        <v>5.91</v>
      </c>
      <c r="E219" s="45">
        <v>5.05</v>
      </c>
      <c r="F219" s="34">
        <v>8.84</v>
      </c>
      <c r="G219" s="34">
        <v>5.33</v>
      </c>
      <c r="H219" s="35">
        <v>2.79</v>
      </c>
      <c r="I219" s="35">
        <v>3.2</v>
      </c>
      <c r="J219" s="35">
        <v>5.18</v>
      </c>
      <c r="K219" s="35">
        <v>8.0399999999999991</v>
      </c>
      <c r="L219" s="35">
        <v>4.1100000000000003</v>
      </c>
      <c r="M219" s="35">
        <v>2.25</v>
      </c>
      <c r="N219" s="46">
        <v>1.9</v>
      </c>
      <c r="O219" s="35">
        <v>54.86</v>
      </c>
    </row>
    <row r="220" spans="2:15" x14ac:dyDescent="0.2">
      <c r="B220" s="34" t="s">
        <v>218</v>
      </c>
      <c r="C220" s="44">
        <v>0.39</v>
      </c>
      <c r="D220" s="45">
        <v>0.1</v>
      </c>
      <c r="E220" s="45">
        <v>0.7</v>
      </c>
      <c r="F220" s="34">
        <v>0.27</v>
      </c>
      <c r="G220" s="44">
        <v>0.1</v>
      </c>
      <c r="H220" s="35">
        <v>0.02</v>
      </c>
      <c r="I220" s="35">
        <v>0.03</v>
      </c>
      <c r="J220" s="35">
        <v>0.12</v>
      </c>
      <c r="K220" s="35">
        <v>0.33</v>
      </c>
      <c r="L220" s="35">
        <v>0.81</v>
      </c>
      <c r="M220" s="35">
        <v>0.01</v>
      </c>
      <c r="N220" s="46">
        <v>0.06</v>
      </c>
      <c r="O220" s="35">
        <v>2.94</v>
      </c>
    </row>
    <row r="221" spans="2:15" x14ac:dyDescent="0.2">
      <c r="B221" s="34" t="s">
        <v>220</v>
      </c>
      <c r="C221" s="44">
        <v>0.28999999999999998</v>
      </c>
      <c r="D221" s="45">
        <v>6.95</v>
      </c>
      <c r="E221" s="45">
        <v>6.16</v>
      </c>
      <c r="F221" s="34">
        <v>21.32</v>
      </c>
      <c r="G221" s="34">
        <v>12.8</v>
      </c>
      <c r="H221" s="35">
        <v>3.26</v>
      </c>
      <c r="I221" s="35">
        <v>6.33</v>
      </c>
      <c r="J221" s="35">
        <v>1.25</v>
      </c>
      <c r="K221" s="35">
        <v>0.69</v>
      </c>
      <c r="L221" s="35">
        <v>2.35</v>
      </c>
      <c r="M221" s="35">
        <v>1.01</v>
      </c>
      <c r="N221" s="46">
        <v>0.65</v>
      </c>
      <c r="O221" s="35">
        <v>63.059999999999988</v>
      </c>
    </row>
    <row r="222" spans="2:15" x14ac:dyDescent="0.2">
      <c r="B222" s="34" t="s">
        <v>221</v>
      </c>
      <c r="C222" s="44">
        <v>2.5099999999999998</v>
      </c>
      <c r="D222" s="45">
        <v>4.01</v>
      </c>
      <c r="E222" s="45">
        <v>1.42</v>
      </c>
      <c r="F222" s="34">
        <v>0.99</v>
      </c>
      <c r="G222" s="44">
        <v>2.2999999999999998</v>
      </c>
      <c r="H222" s="35">
        <v>0.78</v>
      </c>
      <c r="I222" s="35">
        <v>1.67</v>
      </c>
      <c r="J222" s="35">
        <v>1.29</v>
      </c>
      <c r="K222" s="35">
        <v>1.1200000000000001</v>
      </c>
      <c r="L222" s="35">
        <v>1.75</v>
      </c>
      <c r="M222" s="35">
        <v>0.76</v>
      </c>
      <c r="N222" s="46">
        <v>1.19</v>
      </c>
      <c r="O222" s="35">
        <v>19.790000000000003</v>
      </c>
    </row>
    <row r="223" spans="2:15" x14ac:dyDescent="0.2">
      <c r="C223" s="44"/>
      <c r="D223" s="45"/>
      <c r="E223" s="45"/>
      <c r="G223" s="44"/>
      <c r="N223" s="46"/>
    </row>
    <row r="224" spans="2:15" ht="15" x14ac:dyDescent="0.25">
      <c r="B224" s="33" t="s">
        <v>222</v>
      </c>
      <c r="C224" s="66">
        <v>1736.0299999999997</v>
      </c>
      <c r="D224" s="66">
        <v>3710.369999999999</v>
      </c>
      <c r="E224" s="66">
        <v>2596.1499999999996</v>
      </c>
      <c r="F224" s="66">
        <v>3264.95</v>
      </c>
      <c r="G224" s="66">
        <v>4090.7199999999993</v>
      </c>
      <c r="H224" s="66">
        <v>2562.4899999999998</v>
      </c>
      <c r="I224" s="66">
        <v>2358.4</v>
      </c>
      <c r="J224" s="66">
        <v>3230.5499999999993</v>
      </c>
      <c r="K224" s="66">
        <v>2987.3399999999997</v>
      </c>
      <c r="L224" s="66">
        <v>5519.869999999999</v>
      </c>
      <c r="M224" s="66">
        <v>2188.3629999999998</v>
      </c>
      <c r="N224" s="66">
        <v>2160.8429999999998</v>
      </c>
      <c r="O224" s="66">
        <v>36406.286</v>
      </c>
    </row>
    <row r="225" spans="1:14" ht="12.75" customHeight="1" x14ac:dyDescent="0.2"/>
    <row r="226" spans="1:14" ht="12.75" customHeight="1" x14ac:dyDescent="0.25">
      <c r="E226" s="66"/>
      <c r="F226" s="66"/>
      <c r="G226" s="66"/>
      <c r="H226" s="66"/>
      <c r="I226" s="66"/>
      <c r="J226" s="66"/>
      <c r="K226" s="66"/>
      <c r="L226" s="66"/>
      <c r="M226" s="66"/>
      <c r="N226" s="66"/>
    </row>
    <row r="227" spans="1:14" ht="12.75" customHeight="1" x14ac:dyDescent="0.2"/>
    <row r="228" spans="1:14" ht="12" customHeight="1" x14ac:dyDescent="0.2">
      <c r="B228" s="37" t="s">
        <v>225</v>
      </c>
    </row>
    <row r="229" spans="1:14" ht="12" customHeight="1" x14ac:dyDescent="0.2">
      <c r="C229" s="35"/>
    </row>
    <row r="230" spans="1:14" ht="12" customHeight="1" x14ac:dyDescent="0.25">
      <c r="A230" s="37" t="s">
        <v>226</v>
      </c>
      <c r="C230" s="116"/>
      <c r="D230" s="116"/>
      <c r="E230" s="116"/>
      <c r="F230" s="116"/>
      <c r="G230" s="116"/>
      <c r="H230" s="116"/>
      <c r="I230" s="116"/>
      <c r="J230" s="116"/>
      <c r="K230" s="116"/>
      <c r="L230" s="116"/>
      <c r="M230" s="116"/>
      <c r="N230" s="116"/>
    </row>
    <row r="231" spans="1:14" ht="12" customHeight="1" x14ac:dyDescent="0.2"/>
    <row r="232" spans="1:14" ht="15" x14ac:dyDescent="0.25">
      <c r="C232" s="116"/>
      <c r="D232" s="116"/>
      <c r="E232" s="116"/>
      <c r="F232" s="116"/>
      <c r="G232" s="116"/>
      <c r="H232" s="116"/>
      <c r="I232" s="116"/>
      <c r="J232" s="116"/>
      <c r="K232" s="116"/>
      <c r="L232" s="116"/>
      <c r="M232" s="116"/>
      <c r="N232" s="116"/>
    </row>
    <row r="235" spans="1:14" x14ac:dyDescent="0.2">
      <c r="D235" s="34" t="s">
        <v>6</v>
      </c>
      <c r="E235" s="44"/>
    </row>
    <row r="236" spans="1:14" x14ac:dyDescent="0.2">
      <c r="D236" s="34" t="s">
        <v>6</v>
      </c>
      <c r="E236" s="67"/>
    </row>
    <row r="237" spans="1:14" x14ac:dyDescent="0.2">
      <c r="D237" s="34" t="s">
        <v>6</v>
      </c>
    </row>
    <row r="239" spans="1:14" x14ac:dyDescent="0.2">
      <c r="D239" s="34" t="s">
        <v>6</v>
      </c>
      <c r="H239" s="34"/>
      <c r="I239" s="34"/>
      <c r="J239" s="34"/>
      <c r="K239" s="34"/>
      <c r="L239" s="34"/>
      <c r="M239" s="34"/>
      <c r="N239" s="34"/>
    </row>
  </sheetData>
  <mergeCells count="2">
    <mergeCell ref="A3:C3"/>
    <mergeCell ref="A6:B7"/>
  </mergeCells>
  <printOptions horizontalCentered="1"/>
  <pageMargins left="0" right="0" top="0.74803149606299213" bottom="0.74803149606299213" header="0.31496062992125984" footer="0.31496062992125984"/>
  <pageSetup paperSize="9" scale="50" orientation="portrait" r:id="rId1"/>
  <headerFooter alignWithMargins="0">
    <oddHeader xml:space="preserve">&amp;CPage &amp;P&amp;R
</oddHeader>
  </headerFooter>
  <rowBreaks count="2" manualBreakCount="2">
    <brk id="100" max="14" man="1"/>
    <brk id="194" max="1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9"/>
  <sheetViews>
    <sheetView topLeftCell="A175" zoomScaleNormal="100" workbookViewId="0">
      <selection activeCell="A229" sqref="A229:XFD229"/>
    </sheetView>
  </sheetViews>
  <sheetFormatPr defaultColWidth="8.85546875" defaultRowHeight="14.25" x14ac:dyDescent="0.2"/>
  <cols>
    <col min="1" max="1" width="2.140625" style="2" customWidth="1"/>
    <col min="2" max="2" width="60.42578125" style="2" customWidth="1"/>
    <col min="3" max="15" width="12" style="2" customWidth="1"/>
    <col min="16" max="239" width="9.140625" style="2"/>
    <col min="240" max="240" width="2.140625" style="2" customWidth="1"/>
    <col min="241" max="241" width="50.85546875" style="2" customWidth="1"/>
    <col min="242" max="246" width="7.85546875" style="2" customWidth="1"/>
    <col min="247" max="253" width="0" style="2" hidden="1" customWidth="1"/>
    <col min="254" max="255" width="7.85546875" style="2" customWidth="1"/>
    <col min="256" max="258" width="8" style="2" customWidth="1"/>
    <col min="259" max="261" width="8.85546875" style="2" customWidth="1"/>
    <col min="262" max="264" width="9.140625" style="2"/>
    <col min="265" max="265" width="0" style="2" hidden="1" customWidth="1"/>
    <col min="266" max="266" width="9.140625" style="2"/>
    <col min="267" max="267" width="11.42578125" style="2" bestFit="1" customWidth="1"/>
    <col min="268" max="495" width="9.140625" style="2"/>
    <col min="496" max="496" width="2.140625" style="2" customWidth="1"/>
    <col min="497" max="497" width="50.85546875" style="2" customWidth="1"/>
    <col min="498" max="502" width="7.85546875" style="2" customWidth="1"/>
    <col min="503" max="509" width="0" style="2" hidden="1" customWidth="1"/>
    <col min="510" max="511" width="7.85546875" style="2" customWidth="1"/>
    <col min="512" max="514" width="8" style="2" customWidth="1"/>
    <col min="515" max="517" width="8.85546875" style="2" customWidth="1"/>
    <col min="518" max="520" width="9.140625" style="2"/>
    <col min="521" max="521" width="0" style="2" hidden="1" customWidth="1"/>
    <col min="522" max="522" width="9.140625" style="2"/>
    <col min="523" max="523" width="11.42578125" style="2" bestFit="1" customWidth="1"/>
    <col min="524" max="751" width="9.140625" style="2"/>
    <col min="752" max="752" width="2.140625" style="2" customWidth="1"/>
    <col min="753" max="753" width="50.85546875" style="2" customWidth="1"/>
    <col min="754" max="758" width="7.85546875" style="2" customWidth="1"/>
    <col min="759" max="765" width="0" style="2" hidden="1" customWidth="1"/>
    <col min="766" max="767" width="7.85546875" style="2" customWidth="1"/>
    <col min="768" max="770" width="8" style="2" customWidth="1"/>
    <col min="771" max="773" width="8.85546875" style="2" customWidth="1"/>
    <col min="774" max="776" width="9.140625" style="2"/>
    <col min="777" max="777" width="0" style="2" hidden="1" customWidth="1"/>
    <col min="778" max="778" width="9.140625" style="2"/>
    <col min="779" max="779" width="11.42578125" style="2" bestFit="1" customWidth="1"/>
    <col min="780" max="1007" width="9.140625" style="2"/>
    <col min="1008" max="1008" width="2.140625" style="2" customWidth="1"/>
    <col min="1009" max="1009" width="50.85546875" style="2" customWidth="1"/>
    <col min="1010" max="1014" width="7.85546875" style="2" customWidth="1"/>
    <col min="1015" max="1021" width="0" style="2" hidden="1" customWidth="1"/>
    <col min="1022" max="1023" width="7.85546875" style="2" customWidth="1"/>
    <col min="1024" max="1026" width="8" style="2" customWidth="1"/>
    <col min="1027" max="1029" width="8.85546875" style="2" customWidth="1"/>
    <col min="1030" max="1032" width="9.140625" style="2"/>
    <col min="1033" max="1033" width="0" style="2" hidden="1" customWidth="1"/>
    <col min="1034" max="1034" width="9.140625" style="2"/>
    <col min="1035" max="1035" width="11.42578125" style="2" bestFit="1" customWidth="1"/>
    <col min="1036" max="1263" width="9.140625" style="2"/>
    <col min="1264" max="1264" width="2.140625" style="2" customWidth="1"/>
    <col min="1265" max="1265" width="50.85546875" style="2" customWidth="1"/>
    <col min="1266" max="1270" width="7.85546875" style="2" customWidth="1"/>
    <col min="1271" max="1277" width="0" style="2" hidden="1" customWidth="1"/>
    <col min="1278" max="1279" width="7.85546875" style="2" customWidth="1"/>
    <col min="1280" max="1282" width="8" style="2" customWidth="1"/>
    <col min="1283" max="1285" width="8.85546875" style="2" customWidth="1"/>
    <col min="1286" max="1288" width="9.140625" style="2"/>
    <col min="1289" max="1289" width="0" style="2" hidden="1" customWidth="1"/>
    <col min="1290" max="1290" width="9.140625" style="2"/>
    <col min="1291" max="1291" width="11.42578125" style="2" bestFit="1" customWidth="1"/>
    <col min="1292" max="1519" width="9.140625" style="2"/>
    <col min="1520" max="1520" width="2.140625" style="2" customWidth="1"/>
    <col min="1521" max="1521" width="50.85546875" style="2" customWidth="1"/>
    <col min="1522" max="1526" width="7.85546875" style="2" customWidth="1"/>
    <col min="1527" max="1533" width="0" style="2" hidden="1" customWidth="1"/>
    <col min="1534" max="1535" width="7.85546875" style="2" customWidth="1"/>
    <col min="1536" max="1538" width="8" style="2" customWidth="1"/>
    <col min="1539" max="1541" width="8.85546875" style="2" customWidth="1"/>
    <col min="1542" max="1544" width="9.140625" style="2"/>
    <col min="1545" max="1545" width="0" style="2" hidden="1" customWidth="1"/>
    <col min="1546" max="1546" width="9.140625" style="2"/>
    <col min="1547" max="1547" width="11.42578125" style="2" bestFit="1" customWidth="1"/>
    <col min="1548" max="1775" width="9.140625" style="2"/>
    <col min="1776" max="1776" width="2.140625" style="2" customWidth="1"/>
    <col min="1777" max="1777" width="50.85546875" style="2" customWidth="1"/>
    <col min="1778" max="1782" width="7.85546875" style="2" customWidth="1"/>
    <col min="1783" max="1789" width="0" style="2" hidden="1" customWidth="1"/>
    <col min="1790" max="1791" width="7.85546875" style="2" customWidth="1"/>
    <col min="1792" max="1794" width="8" style="2" customWidth="1"/>
    <col min="1795" max="1797" width="8.85546875" style="2" customWidth="1"/>
    <col min="1798" max="1800" width="9.140625" style="2"/>
    <col min="1801" max="1801" width="0" style="2" hidden="1" customWidth="1"/>
    <col min="1802" max="1802" width="9.140625" style="2"/>
    <col min="1803" max="1803" width="11.42578125" style="2" bestFit="1" customWidth="1"/>
    <col min="1804" max="2031" width="9.140625" style="2"/>
    <col min="2032" max="2032" width="2.140625" style="2" customWidth="1"/>
    <col min="2033" max="2033" width="50.85546875" style="2" customWidth="1"/>
    <col min="2034" max="2038" width="7.85546875" style="2" customWidth="1"/>
    <col min="2039" max="2045" width="0" style="2" hidden="1" customWidth="1"/>
    <col min="2046" max="2047" width="7.85546875" style="2" customWidth="1"/>
    <col min="2048" max="2050" width="8" style="2" customWidth="1"/>
    <col min="2051" max="2053" width="8.85546875" style="2" customWidth="1"/>
    <col min="2054" max="2056" width="9.140625" style="2"/>
    <col min="2057" max="2057" width="0" style="2" hidden="1" customWidth="1"/>
    <col min="2058" max="2058" width="9.140625" style="2"/>
    <col min="2059" max="2059" width="11.42578125" style="2" bestFit="1" customWidth="1"/>
    <col min="2060" max="2287" width="9.140625" style="2"/>
    <col min="2288" max="2288" width="2.140625" style="2" customWidth="1"/>
    <col min="2289" max="2289" width="50.85546875" style="2" customWidth="1"/>
    <col min="2290" max="2294" width="7.85546875" style="2" customWidth="1"/>
    <col min="2295" max="2301" width="0" style="2" hidden="1" customWidth="1"/>
    <col min="2302" max="2303" width="7.85546875" style="2" customWidth="1"/>
    <col min="2304" max="2306" width="8" style="2" customWidth="1"/>
    <col min="2307" max="2309" width="8.85546875" style="2" customWidth="1"/>
    <col min="2310" max="2312" width="9.140625" style="2"/>
    <col min="2313" max="2313" width="0" style="2" hidden="1" customWidth="1"/>
    <col min="2314" max="2314" width="9.140625" style="2"/>
    <col min="2315" max="2315" width="11.42578125" style="2" bestFit="1" customWidth="1"/>
    <col min="2316" max="2543" width="9.140625" style="2"/>
    <col min="2544" max="2544" width="2.140625" style="2" customWidth="1"/>
    <col min="2545" max="2545" width="50.85546875" style="2" customWidth="1"/>
    <col min="2546" max="2550" width="7.85546875" style="2" customWidth="1"/>
    <col min="2551" max="2557" width="0" style="2" hidden="1" customWidth="1"/>
    <col min="2558" max="2559" width="7.85546875" style="2" customWidth="1"/>
    <col min="2560" max="2562" width="8" style="2" customWidth="1"/>
    <col min="2563" max="2565" width="8.85546875" style="2" customWidth="1"/>
    <col min="2566" max="2568" width="9.140625" style="2"/>
    <col min="2569" max="2569" width="0" style="2" hidden="1" customWidth="1"/>
    <col min="2570" max="2570" width="9.140625" style="2"/>
    <col min="2571" max="2571" width="11.42578125" style="2" bestFit="1" customWidth="1"/>
    <col min="2572" max="2799" width="9.140625" style="2"/>
    <col min="2800" max="2800" width="2.140625" style="2" customWidth="1"/>
    <col min="2801" max="2801" width="50.85546875" style="2" customWidth="1"/>
    <col min="2802" max="2806" width="7.85546875" style="2" customWidth="1"/>
    <col min="2807" max="2813" width="0" style="2" hidden="1" customWidth="1"/>
    <col min="2814" max="2815" width="7.85546875" style="2" customWidth="1"/>
    <col min="2816" max="2818" width="8" style="2" customWidth="1"/>
    <col min="2819" max="2821" width="8.85546875" style="2" customWidth="1"/>
    <col min="2822" max="2824" width="9.140625" style="2"/>
    <col min="2825" max="2825" width="0" style="2" hidden="1" customWidth="1"/>
    <col min="2826" max="2826" width="9.140625" style="2"/>
    <col min="2827" max="2827" width="11.42578125" style="2" bestFit="1" customWidth="1"/>
    <col min="2828" max="3055" width="9.140625" style="2"/>
    <col min="3056" max="3056" width="2.140625" style="2" customWidth="1"/>
    <col min="3057" max="3057" width="50.85546875" style="2" customWidth="1"/>
    <col min="3058" max="3062" width="7.85546875" style="2" customWidth="1"/>
    <col min="3063" max="3069" width="0" style="2" hidden="1" customWidth="1"/>
    <col min="3070" max="3071" width="7.85546875" style="2" customWidth="1"/>
    <col min="3072" max="3074" width="8" style="2" customWidth="1"/>
    <col min="3075" max="3077" width="8.85546875" style="2" customWidth="1"/>
    <col min="3078" max="3080" width="9.140625" style="2"/>
    <col min="3081" max="3081" width="0" style="2" hidden="1" customWidth="1"/>
    <col min="3082" max="3082" width="9.140625" style="2"/>
    <col min="3083" max="3083" width="11.42578125" style="2" bestFit="1" customWidth="1"/>
    <col min="3084" max="3311" width="9.140625" style="2"/>
    <col min="3312" max="3312" width="2.140625" style="2" customWidth="1"/>
    <col min="3313" max="3313" width="50.85546875" style="2" customWidth="1"/>
    <col min="3314" max="3318" width="7.85546875" style="2" customWidth="1"/>
    <col min="3319" max="3325" width="0" style="2" hidden="1" customWidth="1"/>
    <col min="3326" max="3327" width="7.85546875" style="2" customWidth="1"/>
    <col min="3328" max="3330" width="8" style="2" customWidth="1"/>
    <col min="3331" max="3333" width="8.85546875" style="2" customWidth="1"/>
    <col min="3334" max="3336" width="9.140625" style="2"/>
    <col min="3337" max="3337" width="0" style="2" hidden="1" customWidth="1"/>
    <col min="3338" max="3338" width="9.140625" style="2"/>
    <col min="3339" max="3339" width="11.42578125" style="2" bestFit="1" customWidth="1"/>
    <col min="3340" max="3567" width="9.140625" style="2"/>
    <col min="3568" max="3568" width="2.140625" style="2" customWidth="1"/>
    <col min="3569" max="3569" width="50.85546875" style="2" customWidth="1"/>
    <col min="3570" max="3574" width="7.85546875" style="2" customWidth="1"/>
    <col min="3575" max="3581" width="0" style="2" hidden="1" customWidth="1"/>
    <col min="3582" max="3583" width="7.85546875" style="2" customWidth="1"/>
    <col min="3584" max="3586" width="8" style="2" customWidth="1"/>
    <col min="3587" max="3589" width="8.85546875" style="2" customWidth="1"/>
    <col min="3590" max="3592" width="9.140625" style="2"/>
    <col min="3593" max="3593" width="0" style="2" hidden="1" customWidth="1"/>
    <col min="3594" max="3594" width="9.140625" style="2"/>
    <col min="3595" max="3595" width="11.42578125" style="2" bestFit="1" customWidth="1"/>
    <col min="3596" max="3823" width="9.140625" style="2"/>
    <col min="3824" max="3824" width="2.140625" style="2" customWidth="1"/>
    <col min="3825" max="3825" width="50.85546875" style="2" customWidth="1"/>
    <col min="3826" max="3830" width="7.85546875" style="2" customWidth="1"/>
    <col min="3831" max="3837" width="0" style="2" hidden="1" customWidth="1"/>
    <col min="3838" max="3839" width="7.85546875" style="2" customWidth="1"/>
    <col min="3840" max="3842" width="8" style="2" customWidth="1"/>
    <col min="3843" max="3845" width="8.85546875" style="2" customWidth="1"/>
    <col min="3846" max="3848" width="9.140625" style="2"/>
    <col min="3849" max="3849" width="0" style="2" hidden="1" customWidth="1"/>
    <col min="3850" max="3850" width="9.140625" style="2"/>
    <col min="3851" max="3851" width="11.42578125" style="2" bestFit="1" customWidth="1"/>
    <col min="3852" max="4079" width="9.140625" style="2"/>
    <col min="4080" max="4080" width="2.140625" style="2" customWidth="1"/>
    <col min="4081" max="4081" width="50.85546875" style="2" customWidth="1"/>
    <col min="4082" max="4086" width="7.85546875" style="2" customWidth="1"/>
    <col min="4087" max="4093" width="0" style="2" hidden="1" customWidth="1"/>
    <col min="4094" max="4095" width="7.85546875" style="2" customWidth="1"/>
    <col min="4096" max="4098" width="8" style="2" customWidth="1"/>
    <col min="4099" max="4101" width="8.85546875" style="2" customWidth="1"/>
    <col min="4102" max="4104" width="9.140625" style="2"/>
    <col min="4105" max="4105" width="0" style="2" hidden="1" customWidth="1"/>
    <col min="4106" max="4106" width="9.140625" style="2"/>
    <col min="4107" max="4107" width="11.42578125" style="2" bestFit="1" customWidth="1"/>
    <col min="4108" max="4335" width="9.140625" style="2"/>
    <col min="4336" max="4336" width="2.140625" style="2" customWidth="1"/>
    <col min="4337" max="4337" width="50.85546875" style="2" customWidth="1"/>
    <col min="4338" max="4342" width="7.85546875" style="2" customWidth="1"/>
    <col min="4343" max="4349" width="0" style="2" hidden="1" customWidth="1"/>
    <col min="4350" max="4351" width="7.85546875" style="2" customWidth="1"/>
    <col min="4352" max="4354" width="8" style="2" customWidth="1"/>
    <col min="4355" max="4357" width="8.85546875" style="2" customWidth="1"/>
    <col min="4358" max="4360" width="9.140625" style="2"/>
    <col min="4361" max="4361" width="0" style="2" hidden="1" customWidth="1"/>
    <col min="4362" max="4362" width="9.140625" style="2"/>
    <col min="4363" max="4363" width="11.42578125" style="2" bestFit="1" customWidth="1"/>
    <col min="4364" max="4591" width="9.140625" style="2"/>
    <col min="4592" max="4592" width="2.140625" style="2" customWidth="1"/>
    <col min="4593" max="4593" width="50.85546875" style="2" customWidth="1"/>
    <col min="4594" max="4598" width="7.85546875" style="2" customWidth="1"/>
    <col min="4599" max="4605" width="0" style="2" hidden="1" customWidth="1"/>
    <col min="4606" max="4607" width="7.85546875" style="2" customWidth="1"/>
    <col min="4608" max="4610" width="8" style="2" customWidth="1"/>
    <col min="4611" max="4613" width="8.85546875" style="2" customWidth="1"/>
    <col min="4614" max="4616" width="9.140625" style="2"/>
    <col min="4617" max="4617" width="0" style="2" hidden="1" customWidth="1"/>
    <col min="4618" max="4618" width="9.140625" style="2"/>
    <col min="4619" max="4619" width="11.42578125" style="2" bestFit="1" customWidth="1"/>
    <col min="4620" max="4847" width="9.140625" style="2"/>
    <col min="4848" max="4848" width="2.140625" style="2" customWidth="1"/>
    <col min="4849" max="4849" width="50.85546875" style="2" customWidth="1"/>
    <col min="4850" max="4854" width="7.85546875" style="2" customWidth="1"/>
    <col min="4855" max="4861" width="0" style="2" hidden="1" customWidth="1"/>
    <col min="4862" max="4863" width="7.85546875" style="2" customWidth="1"/>
    <col min="4864" max="4866" width="8" style="2" customWidth="1"/>
    <col min="4867" max="4869" width="8.85546875" style="2" customWidth="1"/>
    <col min="4870" max="4872" width="9.140625" style="2"/>
    <col min="4873" max="4873" width="0" style="2" hidden="1" customWidth="1"/>
    <col min="4874" max="4874" width="9.140625" style="2"/>
    <col min="4875" max="4875" width="11.42578125" style="2" bestFit="1" customWidth="1"/>
    <col min="4876" max="5103" width="9.140625" style="2"/>
    <col min="5104" max="5104" width="2.140625" style="2" customWidth="1"/>
    <col min="5105" max="5105" width="50.85546875" style="2" customWidth="1"/>
    <col min="5106" max="5110" width="7.85546875" style="2" customWidth="1"/>
    <col min="5111" max="5117" width="0" style="2" hidden="1" customWidth="1"/>
    <col min="5118" max="5119" width="7.85546875" style="2" customWidth="1"/>
    <col min="5120" max="5122" width="8" style="2" customWidth="1"/>
    <col min="5123" max="5125" width="8.85546875" style="2" customWidth="1"/>
    <col min="5126" max="5128" width="9.140625" style="2"/>
    <col min="5129" max="5129" width="0" style="2" hidden="1" customWidth="1"/>
    <col min="5130" max="5130" width="9.140625" style="2"/>
    <col min="5131" max="5131" width="11.42578125" style="2" bestFit="1" customWidth="1"/>
    <col min="5132" max="5359" width="9.140625" style="2"/>
    <col min="5360" max="5360" width="2.140625" style="2" customWidth="1"/>
    <col min="5361" max="5361" width="50.85546875" style="2" customWidth="1"/>
    <col min="5362" max="5366" width="7.85546875" style="2" customWidth="1"/>
    <col min="5367" max="5373" width="0" style="2" hidden="1" customWidth="1"/>
    <col min="5374" max="5375" width="7.85546875" style="2" customWidth="1"/>
    <col min="5376" max="5378" width="8" style="2" customWidth="1"/>
    <col min="5379" max="5381" width="8.85546875" style="2" customWidth="1"/>
    <col min="5382" max="5384" width="9.140625" style="2"/>
    <col min="5385" max="5385" width="0" style="2" hidden="1" customWidth="1"/>
    <col min="5386" max="5386" width="9.140625" style="2"/>
    <col min="5387" max="5387" width="11.42578125" style="2" bestFit="1" customWidth="1"/>
    <col min="5388" max="5615" width="9.140625" style="2"/>
    <col min="5616" max="5616" width="2.140625" style="2" customWidth="1"/>
    <col min="5617" max="5617" width="50.85546875" style="2" customWidth="1"/>
    <col min="5618" max="5622" width="7.85546875" style="2" customWidth="1"/>
    <col min="5623" max="5629" width="0" style="2" hidden="1" customWidth="1"/>
    <col min="5630" max="5631" width="7.85546875" style="2" customWidth="1"/>
    <col min="5632" max="5634" width="8" style="2" customWidth="1"/>
    <col min="5635" max="5637" width="8.85546875" style="2" customWidth="1"/>
    <col min="5638" max="5640" width="9.140625" style="2"/>
    <col min="5641" max="5641" width="0" style="2" hidden="1" customWidth="1"/>
    <col min="5642" max="5642" width="9.140625" style="2"/>
    <col min="5643" max="5643" width="11.42578125" style="2" bestFit="1" customWidth="1"/>
    <col min="5644" max="5871" width="9.140625" style="2"/>
    <col min="5872" max="5872" width="2.140625" style="2" customWidth="1"/>
    <col min="5873" max="5873" width="50.85546875" style="2" customWidth="1"/>
    <col min="5874" max="5878" width="7.85546875" style="2" customWidth="1"/>
    <col min="5879" max="5885" width="0" style="2" hidden="1" customWidth="1"/>
    <col min="5886" max="5887" width="7.85546875" style="2" customWidth="1"/>
    <col min="5888" max="5890" width="8" style="2" customWidth="1"/>
    <col min="5891" max="5893" width="8.85546875" style="2" customWidth="1"/>
    <col min="5894" max="5896" width="9.140625" style="2"/>
    <col min="5897" max="5897" width="0" style="2" hidden="1" customWidth="1"/>
    <col min="5898" max="5898" width="9.140625" style="2"/>
    <col min="5899" max="5899" width="11.42578125" style="2" bestFit="1" customWidth="1"/>
    <col min="5900" max="6127" width="9.140625" style="2"/>
    <col min="6128" max="6128" width="2.140625" style="2" customWidth="1"/>
    <col min="6129" max="6129" width="50.85546875" style="2" customWidth="1"/>
    <col min="6130" max="6134" width="7.85546875" style="2" customWidth="1"/>
    <col min="6135" max="6141" width="0" style="2" hidden="1" customWidth="1"/>
    <col min="6142" max="6143" width="7.85546875" style="2" customWidth="1"/>
    <col min="6144" max="6146" width="8" style="2" customWidth="1"/>
    <col min="6147" max="6149" width="8.85546875" style="2" customWidth="1"/>
    <col min="6150" max="6152" width="9.140625" style="2"/>
    <col min="6153" max="6153" width="0" style="2" hidden="1" customWidth="1"/>
    <col min="6154" max="6154" width="9.140625" style="2"/>
    <col min="6155" max="6155" width="11.42578125" style="2" bestFit="1" customWidth="1"/>
    <col min="6156" max="6383" width="9.140625" style="2"/>
    <col min="6384" max="6384" width="2.140625" style="2" customWidth="1"/>
    <col min="6385" max="6385" width="50.85546875" style="2" customWidth="1"/>
    <col min="6386" max="6390" width="7.85546875" style="2" customWidth="1"/>
    <col min="6391" max="6397" width="0" style="2" hidden="1" customWidth="1"/>
    <col min="6398" max="6399" width="7.85546875" style="2" customWidth="1"/>
    <col min="6400" max="6402" width="8" style="2" customWidth="1"/>
    <col min="6403" max="6405" width="8.85546875" style="2" customWidth="1"/>
    <col min="6406" max="6408" width="9.140625" style="2"/>
    <col min="6409" max="6409" width="0" style="2" hidden="1" customWidth="1"/>
    <col min="6410" max="6410" width="9.140625" style="2"/>
    <col min="6411" max="6411" width="11.42578125" style="2" bestFit="1" customWidth="1"/>
    <col min="6412" max="6639" width="9.140625" style="2"/>
    <col min="6640" max="6640" width="2.140625" style="2" customWidth="1"/>
    <col min="6641" max="6641" width="50.85546875" style="2" customWidth="1"/>
    <col min="6642" max="6646" width="7.85546875" style="2" customWidth="1"/>
    <col min="6647" max="6653" width="0" style="2" hidden="1" customWidth="1"/>
    <col min="6654" max="6655" width="7.85546875" style="2" customWidth="1"/>
    <col min="6656" max="6658" width="8" style="2" customWidth="1"/>
    <col min="6659" max="6661" width="8.85546875" style="2" customWidth="1"/>
    <col min="6662" max="6664" width="9.140625" style="2"/>
    <col min="6665" max="6665" width="0" style="2" hidden="1" customWidth="1"/>
    <col min="6666" max="6666" width="9.140625" style="2"/>
    <col min="6667" max="6667" width="11.42578125" style="2" bestFit="1" customWidth="1"/>
    <col min="6668" max="6895" width="9.140625" style="2"/>
    <col min="6896" max="6896" width="2.140625" style="2" customWidth="1"/>
    <col min="6897" max="6897" width="50.85546875" style="2" customWidth="1"/>
    <col min="6898" max="6902" width="7.85546875" style="2" customWidth="1"/>
    <col min="6903" max="6909" width="0" style="2" hidden="1" customWidth="1"/>
    <col min="6910" max="6911" width="7.85546875" style="2" customWidth="1"/>
    <col min="6912" max="6914" width="8" style="2" customWidth="1"/>
    <col min="6915" max="6917" width="8.85546875" style="2" customWidth="1"/>
    <col min="6918" max="6920" width="9.140625" style="2"/>
    <col min="6921" max="6921" width="0" style="2" hidden="1" customWidth="1"/>
    <col min="6922" max="6922" width="9.140625" style="2"/>
    <col min="6923" max="6923" width="11.42578125" style="2" bestFit="1" customWidth="1"/>
    <col min="6924" max="7151" width="9.140625" style="2"/>
    <col min="7152" max="7152" width="2.140625" style="2" customWidth="1"/>
    <col min="7153" max="7153" width="50.85546875" style="2" customWidth="1"/>
    <col min="7154" max="7158" width="7.85546875" style="2" customWidth="1"/>
    <col min="7159" max="7165" width="0" style="2" hidden="1" customWidth="1"/>
    <col min="7166" max="7167" width="7.85546875" style="2" customWidth="1"/>
    <col min="7168" max="7170" width="8" style="2" customWidth="1"/>
    <col min="7171" max="7173" width="8.85546875" style="2" customWidth="1"/>
    <col min="7174" max="7176" width="9.140625" style="2"/>
    <col min="7177" max="7177" width="0" style="2" hidden="1" customWidth="1"/>
    <col min="7178" max="7178" width="9.140625" style="2"/>
    <col min="7179" max="7179" width="11.42578125" style="2" bestFit="1" customWidth="1"/>
    <col min="7180" max="7407" width="9.140625" style="2"/>
    <col min="7408" max="7408" width="2.140625" style="2" customWidth="1"/>
    <col min="7409" max="7409" width="50.85546875" style="2" customWidth="1"/>
    <col min="7410" max="7414" width="7.85546875" style="2" customWidth="1"/>
    <col min="7415" max="7421" width="0" style="2" hidden="1" customWidth="1"/>
    <col min="7422" max="7423" width="7.85546875" style="2" customWidth="1"/>
    <col min="7424" max="7426" width="8" style="2" customWidth="1"/>
    <col min="7427" max="7429" width="8.85546875" style="2" customWidth="1"/>
    <col min="7430" max="7432" width="9.140625" style="2"/>
    <col min="7433" max="7433" width="0" style="2" hidden="1" customWidth="1"/>
    <col min="7434" max="7434" width="9.140625" style="2"/>
    <col min="7435" max="7435" width="11.42578125" style="2" bestFit="1" customWidth="1"/>
    <col min="7436" max="7663" width="9.140625" style="2"/>
    <col min="7664" max="7664" width="2.140625" style="2" customWidth="1"/>
    <col min="7665" max="7665" width="50.85546875" style="2" customWidth="1"/>
    <col min="7666" max="7670" width="7.85546875" style="2" customWidth="1"/>
    <col min="7671" max="7677" width="0" style="2" hidden="1" customWidth="1"/>
    <col min="7678" max="7679" width="7.85546875" style="2" customWidth="1"/>
    <col min="7680" max="7682" width="8" style="2" customWidth="1"/>
    <col min="7683" max="7685" width="8.85546875" style="2" customWidth="1"/>
    <col min="7686" max="7688" width="9.140625" style="2"/>
    <col min="7689" max="7689" width="0" style="2" hidden="1" customWidth="1"/>
    <col min="7690" max="7690" width="9.140625" style="2"/>
    <col min="7691" max="7691" width="11.42578125" style="2" bestFit="1" customWidth="1"/>
    <col min="7692" max="7919" width="9.140625" style="2"/>
    <col min="7920" max="7920" width="2.140625" style="2" customWidth="1"/>
    <col min="7921" max="7921" width="50.85546875" style="2" customWidth="1"/>
    <col min="7922" max="7926" width="7.85546875" style="2" customWidth="1"/>
    <col min="7927" max="7933" width="0" style="2" hidden="1" customWidth="1"/>
    <col min="7934" max="7935" width="7.85546875" style="2" customWidth="1"/>
    <col min="7936" max="7938" width="8" style="2" customWidth="1"/>
    <col min="7939" max="7941" width="8.85546875" style="2" customWidth="1"/>
    <col min="7942" max="7944" width="9.140625" style="2"/>
    <col min="7945" max="7945" width="0" style="2" hidden="1" customWidth="1"/>
    <col min="7946" max="7946" width="9.140625" style="2"/>
    <col min="7947" max="7947" width="11.42578125" style="2" bestFit="1" customWidth="1"/>
    <col min="7948" max="8175" width="9.140625" style="2"/>
    <col min="8176" max="8176" width="2.140625" style="2" customWidth="1"/>
    <col min="8177" max="8177" width="50.85546875" style="2" customWidth="1"/>
    <col min="8178" max="8182" width="7.85546875" style="2" customWidth="1"/>
    <col min="8183" max="8189" width="0" style="2" hidden="1" customWidth="1"/>
    <col min="8190" max="8191" width="7.85546875" style="2" customWidth="1"/>
    <col min="8192" max="8194" width="8" style="2" customWidth="1"/>
    <col min="8195" max="8197" width="8.85546875" style="2" customWidth="1"/>
    <col min="8198" max="8200" width="9.140625" style="2"/>
    <col min="8201" max="8201" width="0" style="2" hidden="1" customWidth="1"/>
    <col min="8202" max="8202" width="9.140625" style="2"/>
    <col min="8203" max="8203" width="11.42578125" style="2" bestFit="1" customWidth="1"/>
    <col min="8204" max="8431" width="9.140625" style="2"/>
    <col min="8432" max="8432" width="2.140625" style="2" customWidth="1"/>
    <col min="8433" max="8433" width="50.85546875" style="2" customWidth="1"/>
    <col min="8434" max="8438" width="7.85546875" style="2" customWidth="1"/>
    <col min="8439" max="8445" width="0" style="2" hidden="1" customWidth="1"/>
    <col min="8446" max="8447" width="7.85546875" style="2" customWidth="1"/>
    <col min="8448" max="8450" width="8" style="2" customWidth="1"/>
    <col min="8451" max="8453" width="8.85546875" style="2" customWidth="1"/>
    <col min="8454" max="8456" width="9.140625" style="2"/>
    <col min="8457" max="8457" width="0" style="2" hidden="1" customWidth="1"/>
    <col min="8458" max="8458" width="9.140625" style="2"/>
    <col min="8459" max="8459" width="11.42578125" style="2" bestFit="1" customWidth="1"/>
    <col min="8460" max="8687" width="9.140625" style="2"/>
    <col min="8688" max="8688" width="2.140625" style="2" customWidth="1"/>
    <col min="8689" max="8689" width="50.85546875" style="2" customWidth="1"/>
    <col min="8690" max="8694" width="7.85546875" style="2" customWidth="1"/>
    <col min="8695" max="8701" width="0" style="2" hidden="1" customWidth="1"/>
    <col min="8702" max="8703" width="7.85546875" style="2" customWidth="1"/>
    <col min="8704" max="8706" width="8" style="2" customWidth="1"/>
    <col min="8707" max="8709" width="8.85546875" style="2" customWidth="1"/>
    <col min="8710" max="8712" width="9.140625" style="2"/>
    <col min="8713" max="8713" width="0" style="2" hidden="1" customWidth="1"/>
    <col min="8714" max="8714" width="9.140625" style="2"/>
    <col min="8715" max="8715" width="11.42578125" style="2" bestFit="1" customWidth="1"/>
    <col min="8716" max="8943" width="9.140625" style="2"/>
    <col min="8944" max="8944" width="2.140625" style="2" customWidth="1"/>
    <col min="8945" max="8945" width="50.85546875" style="2" customWidth="1"/>
    <col min="8946" max="8950" width="7.85546875" style="2" customWidth="1"/>
    <col min="8951" max="8957" width="0" style="2" hidden="1" customWidth="1"/>
    <col min="8958" max="8959" width="7.85546875" style="2" customWidth="1"/>
    <col min="8960" max="8962" width="8" style="2" customWidth="1"/>
    <col min="8963" max="8965" width="8.85546875" style="2" customWidth="1"/>
    <col min="8966" max="8968" width="9.140625" style="2"/>
    <col min="8969" max="8969" width="0" style="2" hidden="1" customWidth="1"/>
    <col min="8970" max="8970" width="9.140625" style="2"/>
    <col min="8971" max="8971" width="11.42578125" style="2" bestFit="1" customWidth="1"/>
    <col min="8972" max="9199" width="9.140625" style="2"/>
    <col min="9200" max="9200" width="2.140625" style="2" customWidth="1"/>
    <col min="9201" max="9201" width="50.85546875" style="2" customWidth="1"/>
    <col min="9202" max="9206" width="7.85546875" style="2" customWidth="1"/>
    <col min="9207" max="9213" width="0" style="2" hidden="1" customWidth="1"/>
    <col min="9214" max="9215" width="7.85546875" style="2" customWidth="1"/>
    <col min="9216" max="9218" width="8" style="2" customWidth="1"/>
    <col min="9219" max="9221" width="8.85546875" style="2" customWidth="1"/>
    <col min="9222" max="9224" width="9.140625" style="2"/>
    <col min="9225" max="9225" width="0" style="2" hidden="1" customWidth="1"/>
    <col min="9226" max="9226" width="9.140625" style="2"/>
    <col min="9227" max="9227" width="11.42578125" style="2" bestFit="1" customWidth="1"/>
    <col min="9228" max="9455" width="9.140625" style="2"/>
    <col min="9456" max="9456" width="2.140625" style="2" customWidth="1"/>
    <col min="9457" max="9457" width="50.85546875" style="2" customWidth="1"/>
    <col min="9458" max="9462" width="7.85546875" style="2" customWidth="1"/>
    <col min="9463" max="9469" width="0" style="2" hidden="1" customWidth="1"/>
    <col min="9470" max="9471" width="7.85546875" style="2" customWidth="1"/>
    <col min="9472" max="9474" width="8" style="2" customWidth="1"/>
    <col min="9475" max="9477" width="8.85546875" style="2" customWidth="1"/>
    <col min="9478" max="9480" width="9.140625" style="2"/>
    <col min="9481" max="9481" width="0" style="2" hidden="1" customWidth="1"/>
    <col min="9482" max="9482" width="9.140625" style="2"/>
    <col min="9483" max="9483" width="11.42578125" style="2" bestFit="1" customWidth="1"/>
    <col min="9484" max="9711" width="9.140625" style="2"/>
    <col min="9712" max="9712" width="2.140625" style="2" customWidth="1"/>
    <col min="9713" max="9713" width="50.85546875" style="2" customWidth="1"/>
    <col min="9714" max="9718" width="7.85546875" style="2" customWidth="1"/>
    <col min="9719" max="9725" width="0" style="2" hidden="1" customWidth="1"/>
    <col min="9726" max="9727" width="7.85546875" style="2" customWidth="1"/>
    <col min="9728" max="9730" width="8" style="2" customWidth="1"/>
    <col min="9731" max="9733" width="8.85546875" style="2" customWidth="1"/>
    <col min="9734" max="9736" width="9.140625" style="2"/>
    <col min="9737" max="9737" width="0" style="2" hidden="1" customWidth="1"/>
    <col min="9738" max="9738" width="9.140625" style="2"/>
    <col min="9739" max="9739" width="11.42578125" style="2" bestFit="1" customWidth="1"/>
    <col min="9740" max="9967" width="9.140625" style="2"/>
    <col min="9968" max="9968" width="2.140625" style="2" customWidth="1"/>
    <col min="9969" max="9969" width="50.85546875" style="2" customWidth="1"/>
    <col min="9970" max="9974" width="7.85546875" style="2" customWidth="1"/>
    <col min="9975" max="9981" width="0" style="2" hidden="1" customWidth="1"/>
    <col min="9982" max="9983" width="7.85546875" style="2" customWidth="1"/>
    <col min="9984" max="9986" width="8" style="2" customWidth="1"/>
    <col min="9987" max="9989" width="8.85546875" style="2" customWidth="1"/>
    <col min="9990" max="9992" width="9.140625" style="2"/>
    <col min="9993" max="9993" width="0" style="2" hidden="1" customWidth="1"/>
    <col min="9994" max="9994" width="9.140625" style="2"/>
    <col min="9995" max="9995" width="11.42578125" style="2" bestFit="1" customWidth="1"/>
    <col min="9996" max="10223" width="9.140625" style="2"/>
    <col min="10224" max="10224" width="2.140625" style="2" customWidth="1"/>
    <col min="10225" max="10225" width="50.85546875" style="2" customWidth="1"/>
    <col min="10226" max="10230" width="7.85546875" style="2" customWidth="1"/>
    <col min="10231" max="10237" width="0" style="2" hidden="1" customWidth="1"/>
    <col min="10238" max="10239" width="7.85546875" style="2" customWidth="1"/>
    <col min="10240" max="10242" width="8" style="2" customWidth="1"/>
    <col min="10243" max="10245" width="8.85546875" style="2" customWidth="1"/>
    <col min="10246" max="10248" width="9.140625" style="2"/>
    <col min="10249" max="10249" width="0" style="2" hidden="1" customWidth="1"/>
    <col min="10250" max="10250" width="9.140625" style="2"/>
    <col min="10251" max="10251" width="11.42578125" style="2" bestFit="1" customWidth="1"/>
    <col min="10252" max="10479" width="9.140625" style="2"/>
    <col min="10480" max="10480" width="2.140625" style="2" customWidth="1"/>
    <col min="10481" max="10481" width="50.85546875" style="2" customWidth="1"/>
    <col min="10482" max="10486" width="7.85546875" style="2" customWidth="1"/>
    <col min="10487" max="10493" width="0" style="2" hidden="1" customWidth="1"/>
    <col min="10494" max="10495" width="7.85546875" style="2" customWidth="1"/>
    <col min="10496" max="10498" width="8" style="2" customWidth="1"/>
    <col min="10499" max="10501" width="8.85546875" style="2" customWidth="1"/>
    <col min="10502" max="10504" width="9.140625" style="2"/>
    <col min="10505" max="10505" width="0" style="2" hidden="1" customWidth="1"/>
    <col min="10506" max="10506" width="9.140625" style="2"/>
    <col min="10507" max="10507" width="11.42578125" style="2" bestFit="1" customWidth="1"/>
    <col min="10508" max="10735" width="9.140625" style="2"/>
    <col min="10736" max="10736" width="2.140625" style="2" customWidth="1"/>
    <col min="10737" max="10737" width="50.85546875" style="2" customWidth="1"/>
    <col min="10738" max="10742" width="7.85546875" style="2" customWidth="1"/>
    <col min="10743" max="10749" width="0" style="2" hidden="1" customWidth="1"/>
    <col min="10750" max="10751" width="7.85546875" style="2" customWidth="1"/>
    <col min="10752" max="10754" width="8" style="2" customWidth="1"/>
    <col min="10755" max="10757" width="8.85546875" style="2" customWidth="1"/>
    <col min="10758" max="10760" width="9.140625" style="2"/>
    <col min="10761" max="10761" width="0" style="2" hidden="1" customWidth="1"/>
    <col min="10762" max="10762" width="9.140625" style="2"/>
    <col min="10763" max="10763" width="11.42578125" style="2" bestFit="1" customWidth="1"/>
    <col min="10764" max="10991" width="9.140625" style="2"/>
    <col min="10992" max="10992" width="2.140625" style="2" customWidth="1"/>
    <col min="10993" max="10993" width="50.85546875" style="2" customWidth="1"/>
    <col min="10994" max="10998" width="7.85546875" style="2" customWidth="1"/>
    <col min="10999" max="11005" width="0" style="2" hidden="1" customWidth="1"/>
    <col min="11006" max="11007" width="7.85546875" style="2" customWidth="1"/>
    <col min="11008" max="11010" width="8" style="2" customWidth="1"/>
    <col min="11011" max="11013" width="8.85546875" style="2" customWidth="1"/>
    <col min="11014" max="11016" width="9.140625" style="2"/>
    <col min="11017" max="11017" width="0" style="2" hidden="1" customWidth="1"/>
    <col min="11018" max="11018" width="9.140625" style="2"/>
    <col min="11019" max="11019" width="11.42578125" style="2" bestFit="1" customWidth="1"/>
    <col min="11020" max="11247" width="9.140625" style="2"/>
    <col min="11248" max="11248" width="2.140625" style="2" customWidth="1"/>
    <col min="11249" max="11249" width="50.85546875" style="2" customWidth="1"/>
    <col min="11250" max="11254" width="7.85546875" style="2" customWidth="1"/>
    <col min="11255" max="11261" width="0" style="2" hidden="1" customWidth="1"/>
    <col min="11262" max="11263" width="7.85546875" style="2" customWidth="1"/>
    <col min="11264" max="11266" width="8" style="2" customWidth="1"/>
    <col min="11267" max="11269" width="8.85546875" style="2" customWidth="1"/>
    <col min="11270" max="11272" width="9.140625" style="2"/>
    <col min="11273" max="11273" width="0" style="2" hidden="1" customWidth="1"/>
    <col min="11274" max="11274" width="9.140625" style="2"/>
    <col min="11275" max="11275" width="11.42578125" style="2" bestFit="1" customWidth="1"/>
    <col min="11276" max="11503" width="9.140625" style="2"/>
    <col min="11504" max="11504" width="2.140625" style="2" customWidth="1"/>
    <col min="11505" max="11505" width="50.85546875" style="2" customWidth="1"/>
    <col min="11506" max="11510" width="7.85546875" style="2" customWidth="1"/>
    <col min="11511" max="11517" width="0" style="2" hidden="1" customWidth="1"/>
    <col min="11518" max="11519" width="7.85546875" style="2" customWidth="1"/>
    <col min="11520" max="11522" width="8" style="2" customWidth="1"/>
    <col min="11523" max="11525" width="8.85546875" style="2" customWidth="1"/>
    <col min="11526" max="11528" width="9.140625" style="2"/>
    <col min="11529" max="11529" width="0" style="2" hidden="1" customWidth="1"/>
    <col min="11530" max="11530" width="9.140625" style="2"/>
    <col min="11531" max="11531" width="11.42578125" style="2" bestFit="1" customWidth="1"/>
    <col min="11532" max="11759" width="9.140625" style="2"/>
    <col min="11760" max="11760" width="2.140625" style="2" customWidth="1"/>
    <col min="11761" max="11761" width="50.85546875" style="2" customWidth="1"/>
    <col min="11762" max="11766" width="7.85546875" style="2" customWidth="1"/>
    <col min="11767" max="11773" width="0" style="2" hidden="1" customWidth="1"/>
    <col min="11774" max="11775" width="7.85546875" style="2" customWidth="1"/>
    <col min="11776" max="11778" width="8" style="2" customWidth="1"/>
    <col min="11779" max="11781" width="8.85546875" style="2" customWidth="1"/>
    <col min="11782" max="11784" width="9.140625" style="2"/>
    <col min="11785" max="11785" width="0" style="2" hidden="1" customWidth="1"/>
    <col min="11786" max="11786" width="9.140625" style="2"/>
    <col min="11787" max="11787" width="11.42578125" style="2" bestFit="1" customWidth="1"/>
    <col min="11788" max="12015" width="9.140625" style="2"/>
    <col min="12016" max="12016" width="2.140625" style="2" customWidth="1"/>
    <col min="12017" max="12017" width="50.85546875" style="2" customWidth="1"/>
    <col min="12018" max="12022" width="7.85546875" style="2" customWidth="1"/>
    <col min="12023" max="12029" width="0" style="2" hidden="1" customWidth="1"/>
    <col min="12030" max="12031" width="7.85546875" style="2" customWidth="1"/>
    <col min="12032" max="12034" width="8" style="2" customWidth="1"/>
    <col min="12035" max="12037" width="8.85546875" style="2" customWidth="1"/>
    <col min="12038" max="12040" width="9.140625" style="2"/>
    <col min="12041" max="12041" width="0" style="2" hidden="1" customWidth="1"/>
    <col min="12042" max="12042" width="9.140625" style="2"/>
    <col min="12043" max="12043" width="11.42578125" style="2" bestFit="1" customWidth="1"/>
    <col min="12044" max="12271" width="9.140625" style="2"/>
    <col min="12272" max="12272" width="2.140625" style="2" customWidth="1"/>
    <col min="12273" max="12273" width="50.85546875" style="2" customWidth="1"/>
    <col min="12274" max="12278" width="7.85546875" style="2" customWidth="1"/>
    <col min="12279" max="12285" width="0" style="2" hidden="1" customWidth="1"/>
    <col min="12286" max="12287" width="7.85546875" style="2" customWidth="1"/>
    <col min="12288" max="12290" width="8" style="2" customWidth="1"/>
    <col min="12291" max="12293" width="8.85546875" style="2" customWidth="1"/>
    <col min="12294" max="12296" width="9.140625" style="2"/>
    <col min="12297" max="12297" width="0" style="2" hidden="1" customWidth="1"/>
    <col min="12298" max="12298" width="9.140625" style="2"/>
    <col min="12299" max="12299" width="11.42578125" style="2" bestFit="1" customWidth="1"/>
    <col min="12300" max="12527" width="9.140625" style="2"/>
    <col min="12528" max="12528" width="2.140625" style="2" customWidth="1"/>
    <col min="12529" max="12529" width="50.85546875" style="2" customWidth="1"/>
    <col min="12530" max="12534" width="7.85546875" style="2" customWidth="1"/>
    <col min="12535" max="12541" width="0" style="2" hidden="1" customWidth="1"/>
    <col min="12542" max="12543" width="7.85546875" style="2" customWidth="1"/>
    <col min="12544" max="12546" width="8" style="2" customWidth="1"/>
    <col min="12547" max="12549" width="8.85546875" style="2" customWidth="1"/>
    <col min="12550" max="12552" width="9.140625" style="2"/>
    <col min="12553" max="12553" width="0" style="2" hidden="1" customWidth="1"/>
    <col min="12554" max="12554" width="9.140625" style="2"/>
    <col min="12555" max="12555" width="11.42578125" style="2" bestFit="1" customWidth="1"/>
    <col min="12556" max="12783" width="9.140625" style="2"/>
    <col min="12784" max="12784" width="2.140625" style="2" customWidth="1"/>
    <col min="12785" max="12785" width="50.85546875" style="2" customWidth="1"/>
    <col min="12786" max="12790" width="7.85546875" style="2" customWidth="1"/>
    <col min="12791" max="12797" width="0" style="2" hidden="1" customWidth="1"/>
    <col min="12798" max="12799" width="7.85546875" style="2" customWidth="1"/>
    <col min="12800" max="12802" width="8" style="2" customWidth="1"/>
    <col min="12803" max="12805" width="8.85546875" style="2" customWidth="1"/>
    <col min="12806" max="12808" width="9.140625" style="2"/>
    <col min="12809" max="12809" width="0" style="2" hidden="1" customWidth="1"/>
    <col min="12810" max="12810" width="9.140625" style="2"/>
    <col min="12811" max="12811" width="11.42578125" style="2" bestFit="1" customWidth="1"/>
    <col min="12812" max="13039" width="9.140625" style="2"/>
    <col min="13040" max="13040" width="2.140625" style="2" customWidth="1"/>
    <col min="13041" max="13041" width="50.85546875" style="2" customWidth="1"/>
    <col min="13042" max="13046" width="7.85546875" style="2" customWidth="1"/>
    <col min="13047" max="13053" width="0" style="2" hidden="1" customWidth="1"/>
    <col min="13054" max="13055" width="7.85546875" style="2" customWidth="1"/>
    <col min="13056" max="13058" width="8" style="2" customWidth="1"/>
    <col min="13059" max="13061" width="8.85546875" style="2" customWidth="1"/>
    <col min="13062" max="13064" width="9.140625" style="2"/>
    <col min="13065" max="13065" width="0" style="2" hidden="1" customWidth="1"/>
    <col min="13066" max="13066" width="9.140625" style="2"/>
    <col min="13067" max="13067" width="11.42578125" style="2" bestFit="1" customWidth="1"/>
    <col min="13068" max="13295" width="9.140625" style="2"/>
    <col min="13296" max="13296" width="2.140625" style="2" customWidth="1"/>
    <col min="13297" max="13297" width="50.85546875" style="2" customWidth="1"/>
    <col min="13298" max="13302" width="7.85546875" style="2" customWidth="1"/>
    <col min="13303" max="13309" width="0" style="2" hidden="1" customWidth="1"/>
    <col min="13310" max="13311" width="7.85546875" style="2" customWidth="1"/>
    <col min="13312" max="13314" width="8" style="2" customWidth="1"/>
    <col min="13315" max="13317" width="8.85546875" style="2" customWidth="1"/>
    <col min="13318" max="13320" width="9.140625" style="2"/>
    <col min="13321" max="13321" width="0" style="2" hidden="1" customWidth="1"/>
    <col min="13322" max="13322" width="9.140625" style="2"/>
    <col min="13323" max="13323" width="11.42578125" style="2" bestFit="1" customWidth="1"/>
    <col min="13324" max="13551" width="9.140625" style="2"/>
    <col min="13552" max="13552" width="2.140625" style="2" customWidth="1"/>
    <col min="13553" max="13553" width="50.85546875" style="2" customWidth="1"/>
    <col min="13554" max="13558" width="7.85546875" style="2" customWidth="1"/>
    <col min="13559" max="13565" width="0" style="2" hidden="1" customWidth="1"/>
    <col min="13566" max="13567" width="7.85546875" style="2" customWidth="1"/>
    <col min="13568" max="13570" width="8" style="2" customWidth="1"/>
    <col min="13571" max="13573" width="8.85546875" style="2" customWidth="1"/>
    <col min="13574" max="13576" width="9.140625" style="2"/>
    <col min="13577" max="13577" width="0" style="2" hidden="1" customWidth="1"/>
    <col min="13578" max="13578" width="9.140625" style="2"/>
    <col min="13579" max="13579" width="11.42578125" style="2" bestFit="1" customWidth="1"/>
    <col min="13580" max="13807" width="9.140625" style="2"/>
    <col min="13808" max="13808" width="2.140625" style="2" customWidth="1"/>
    <col min="13809" max="13809" width="50.85546875" style="2" customWidth="1"/>
    <col min="13810" max="13814" width="7.85546875" style="2" customWidth="1"/>
    <col min="13815" max="13821" width="0" style="2" hidden="1" customWidth="1"/>
    <col min="13822" max="13823" width="7.85546875" style="2" customWidth="1"/>
    <col min="13824" max="13826" width="8" style="2" customWidth="1"/>
    <col min="13827" max="13829" width="8.85546875" style="2" customWidth="1"/>
    <col min="13830" max="13832" width="9.140625" style="2"/>
    <col min="13833" max="13833" width="0" style="2" hidden="1" customWidth="1"/>
    <col min="13834" max="13834" width="9.140625" style="2"/>
    <col min="13835" max="13835" width="11.42578125" style="2" bestFit="1" customWidth="1"/>
    <col min="13836" max="14063" width="9.140625" style="2"/>
    <col min="14064" max="14064" width="2.140625" style="2" customWidth="1"/>
    <col min="14065" max="14065" width="50.85546875" style="2" customWidth="1"/>
    <col min="14066" max="14070" width="7.85546875" style="2" customWidth="1"/>
    <col min="14071" max="14077" width="0" style="2" hidden="1" customWidth="1"/>
    <col min="14078" max="14079" width="7.85546875" style="2" customWidth="1"/>
    <col min="14080" max="14082" width="8" style="2" customWidth="1"/>
    <col min="14083" max="14085" width="8.85546875" style="2" customWidth="1"/>
    <col min="14086" max="14088" width="9.140625" style="2"/>
    <col min="14089" max="14089" width="0" style="2" hidden="1" customWidth="1"/>
    <col min="14090" max="14090" width="9.140625" style="2"/>
    <col min="14091" max="14091" width="11.42578125" style="2" bestFit="1" customWidth="1"/>
    <col min="14092" max="14319" width="9.140625" style="2"/>
    <col min="14320" max="14320" width="2.140625" style="2" customWidth="1"/>
    <col min="14321" max="14321" width="50.85546875" style="2" customWidth="1"/>
    <col min="14322" max="14326" width="7.85546875" style="2" customWidth="1"/>
    <col min="14327" max="14333" width="0" style="2" hidden="1" customWidth="1"/>
    <col min="14334" max="14335" width="7.85546875" style="2" customWidth="1"/>
    <col min="14336" max="14338" width="8" style="2" customWidth="1"/>
    <col min="14339" max="14341" width="8.85546875" style="2" customWidth="1"/>
    <col min="14342" max="14344" width="9.140625" style="2"/>
    <col min="14345" max="14345" width="0" style="2" hidden="1" customWidth="1"/>
    <col min="14346" max="14346" width="9.140625" style="2"/>
    <col min="14347" max="14347" width="11.42578125" style="2" bestFit="1" customWidth="1"/>
    <col min="14348" max="14575" width="9.140625" style="2"/>
    <col min="14576" max="14576" width="2.140625" style="2" customWidth="1"/>
    <col min="14577" max="14577" width="50.85546875" style="2" customWidth="1"/>
    <col min="14578" max="14582" width="7.85546875" style="2" customWidth="1"/>
    <col min="14583" max="14589" width="0" style="2" hidden="1" customWidth="1"/>
    <col min="14590" max="14591" width="7.85546875" style="2" customWidth="1"/>
    <col min="14592" max="14594" width="8" style="2" customWidth="1"/>
    <col min="14595" max="14597" width="8.85546875" style="2" customWidth="1"/>
    <col min="14598" max="14600" width="9.140625" style="2"/>
    <col min="14601" max="14601" width="0" style="2" hidden="1" customWidth="1"/>
    <col min="14602" max="14602" width="9.140625" style="2"/>
    <col min="14603" max="14603" width="11.42578125" style="2" bestFit="1" customWidth="1"/>
    <col min="14604" max="14831" width="9.140625" style="2"/>
    <col min="14832" max="14832" width="2.140625" style="2" customWidth="1"/>
    <col min="14833" max="14833" width="50.85546875" style="2" customWidth="1"/>
    <col min="14834" max="14838" width="7.85546875" style="2" customWidth="1"/>
    <col min="14839" max="14845" width="0" style="2" hidden="1" customWidth="1"/>
    <col min="14846" max="14847" width="7.85546875" style="2" customWidth="1"/>
    <col min="14848" max="14850" width="8" style="2" customWidth="1"/>
    <col min="14851" max="14853" width="8.85546875" style="2" customWidth="1"/>
    <col min="14854" max="14856" width="9.140625" style="2"/>
    <col min="14857" max="14857" width="0" style="2" hidden="1" customWidth="1"/>
    <col min="14858" max="14858" width="9.140625" style="2"/>
    <col min="14859" max="14859" width="11.42578125" style="2" bestFit="1" customWidth="1"/>
    <col min="14860" max="15087" width="9.140625" style="2"/>
    <col min="15088" max="15088" width="2.140625" style="2" customWidth="1"/>
    <col min="15089" max="15089" width="50.85546875" style="2" customWidth="1"/>
    <col min="15090" max="15094" width="7.85546875" style="2" customWidth="1"/>
    <col min="15095" max="15101" width="0" style="2" hidden="1" customWidth="1"/>
    <col min="15102" max="15103" width="7.85546875" style="2" customWidth="1"/>
    <col min="15104" max="15106" width="8" style="2" customWidth="1"/>
    <col min="15107" max="15109" width="8.85546875" style="2" customWidth="1"/>
    <col min="15110" max="15112" width="9.140625" style="2"/>
    <col min="15113" max="15113" width="0" style="2" hidden="1" customWidth="1"/>
    <col min="15114" max="15114" width="9.140625" style="2"/>
    <col min="15115" max="15115" width="11.42578125" style="2" bestFit="1" customWidth="1"/>
    <col min="15116" max="15343" width="9.140625" style="2"/>
    <col min="15344" max="15344" width="2.140625" style="2" customWidth="1"/>
    <col min="15345" max="15345" width="50.85546875" style="2" customWidth="1"/>
    <col min="15346" max="15350" width="7.85546875" style="2" customWidth="1"/>
    <col min="15351" max="15357" width="0" style="2" hidden="1" customWidth="1"/>
    <col min="15358" max="15359" width="7.85546875" style="2" customWidth="1"/>
    <col min="15360" max="15362" width="8" style="2" customWidth="1"/>
    <col min="15363" max="15365" width="8.85546875" style="2" customWidth="1"/>
    <col min="15366" max="15368" width="9.140625" style="2"/>
    <col min="15369" max="15369" width="0" style="2" hidden="1" customWidth="1"/>
    <col min="15370" max="15370" width="9.140625" style="2"/>
    <col min="15371" max="15371" width="11.42578125" style="2" bestFit="1" customWidth="1"/>
    <col min="15372" max="15599" width="9.140625" style="2"/>
    <col min="15600" max="15600" width="2.140625" style="2" customWidth="1"/>
    <col min="15601" max="15601" width="50.85546875" style="2" customWidth="1"/>
    <col min="15602" max="15606" width="7.85546875" style="2" customWidth="1"/>
    <col min="15607" max="15613" width="0" style="2" hidden="1" customWidth="1"/>
    <col min="15614" max="15615" width="7.85546875" style="2" customWidth="1"/>
    <col min="15616" max="15618" width="8" style="2" customWidth="1"/>
    <col min="15619" max="15621" width="8.85546875" style="2" customWidth="1"/>
    <col min="15622" max="15624" width="9.140625" style="2"/>
    <col min="15625" max="15625" width="0" style="2" hidden="1" customWidth="1"/>
    <col min="15626" max="15626" width="9.140625" style="2"/>
    <col min="15627" max="15627" width="11.42578125" style="2" bestFit="1" customWidth="1"/>
    <col min="15628" max="15855" width="9.140625" style="2"/>
    <col min="15856" max="15856" width="2.140625" style="2" customWidth="1"/>
    <col min="15857" max="15857" width="50.85546875" style="2" customWidth="1"/>
    <col min="15858" max="15862" width="7.85546875" style="2" customWidth="1"/>
    <col min="15863" max="15869" width="0" style="2" hidden="1" customWidth="1"/>
    <col min="15870" max="15871" width="7.85546875" style="2" customWidth="1"/>
    <col min="15872" max="15874" width="8" style="2" customWidth="1"/>
    <col min="15875" max="15877" width="8.85546875" style="2" customWidth="1"/>
    <col min="15878" max="15880" width="9.140625" style="2"/>
    <col min="15881" max="15881" width="0" style="2" hidden="1" customWidth="1"/>
    <col min="15882" max="15882" width="9.140625" style="2"/>
    <col min="15883" max="15883" width="11.42578125" style="2" bestFit="1" customWidth="1"/>
    <col min="15884" max="16111" width="9.140625" style="2"/>
    <col min="16112" max="16112" width="2.140625" style="2" customWidth="1"/>
    <col min="16113" max="16113" width="50.85546875" style="2" customWidth="1"/>
    <col min="16114" max="16118" width="7.85546875" style="2" customWidth="1"/>
    <col min="16119" max="16125" width="0" style="2" hidden="1" customWidth="1"/>
    <col min="16126" max="16127" width="7.85546875" style="2" customWidth="1"/>
    <col min="16128" max="16130" width="8" style="2" customWidth="1"/>
    <col min="16131" max="16133" width="8.85546875" style="2" customWidth="1"/>
    <col min="16134" max="16136" width="9.140625" style="2"/>
    <col min="16137" max="16137" width="0" style="2" hidden="1" customWidth="1"/>
    <col min="16138" max="16138" width="9.140625" style="2"/>
    <col min="16139" max="16139" width="11.42578125" style="2" bestFit="1" customWidth="1"/>
    <col min="16140" max="16384" width="9.140625" style="2"/>
  </cols>
  <sheetData>
    <row r="1" spans="1:15" ht="15.75" customHeight="1" x14ac:dyDescent="0.25">
      <c r="A1" s="1" t="s">
        <v>0</v>
      </c>
      <c r="B1" s="1"/>
      <c r="C1" s="1"/>
    </row>
    <row r="2" spans="1:15" ht="16.5" customHeight="1" x14ac:dyDescent="0.25">
      <c r="A2" s="1" t="s">
        <v>1</v>
      </c>
      <c r="B2" s="1"/>
      <c r="C2" s="1"/>
    </row>
    <row r="3" spans="1:15" ht="13.5" customHeight="1" x14ac:dyDescent="0.25">
      <c r="A3" s="315" t="s">
        <v>234</v>
      </c>
      <c r="B3" s="315"/>
      <c r="C3" s="315"/>
    </row>
    <row r="4" spans="1:15" x14ac:dyDescent="0.2">
      <c r="A4" s="2" t="s">
        <v>3</v>
      </c>
    </row>
    <row r="6" spans="1:15" ht="12.75" customHeight="1" x14ac:dyDescent="0.2">
      <c r="A6" s="317" t="s">
        <v>5</v>
      </c>
      <c r="B6" s="317"/>
      <c r="C6" s="137" t="s">
        <v>6</v>
      </c>
      <c r="D6" s="137" t="s">
        <v>6</v>
      </c>
      <c r="E6" s="137"/>
      <c r="F6" s="137"/>
      <c r="G6" s="137"/>
      <c r="H6" s="137"/>
      <c r="I6" s="137"/>
      <c r="J6" s="137"/>
      <c r="K6" s="137"/>
      <c r="L6" s="137"/>
      <c r="M6" s="137"/>
      <c r="N6" s="137"/>
      <c r="O6" s="138"/>
    </row>
    <row r="7" spans="1:15" ht="12.75" customHeight="1" thickBot="1" x14ac:dyDescent="0.25">
      <c r="A7" s="319"/>
      <c r="B7" s="319"/>
      <c r="C7" s="139" t="s">
        <v>7</v>
      </c>
      <c r="D7" s="139" t="s">
        <v>8</v>
      </c>
      <c r="E7" s="139" t="s">
        <v>9</v>
      </c>
      <c r="F7" s="139" t="s">
        <v>10</v>
      </c>
      <c r="G7" s="139" t="s">
        <v>11</v>
      </c>
      <c r="H7" s="139" t="s">
        <v>235</v>
      </c>
      <c r="I7" s="139" t="s">
        <v>236</v>
      </c>
      <c r="J7" s="139" t="s">
        <v>14</v>
      </c>
      <c r="K7" s="139" t="s">
        <v>15</v>
      </c>
      <c r="L7" s="139" t="s">
        <v>16</v>
      </c>
      <c r="M7" s="139" t="s">
        <v>17</v>
      </c>
      <c r="N7" s="139" t="s">
        <v>18</v>
      </c>
      <c r="O7" s="139" t="s">
        <v>238</v>
      </c>
    </row>
    <row r="8" spans="1:15" ht="12.75" customHeight="1" thickTop="1" x14ac:dyDescent="0.25">
      <c r="A8" s="24"/>
      <c r="B8" s="24"/>
      <c r="C8" s="24"/>
      <c r="D8" s="24"/>
      <c r="E8" s="24"/>
      <c r="F8" s="24"/>
      <c r="G8" s="24"/>
      <c r="H8" s="24"/>
      <c r="I8" s="24"/>
      <c r="J8" s="24"/>
      <c r="K8" s="24"/>
      <c r="L8" s="24"/>
      <c r="M8" s="24"/>
      <c r="N8" s="24"/>
    </row>
    <row r="9" spans="1:15" s="4" customFormat="1" ht="15" x14ac:dyDescent="0.25">
      <c r="A9" s="3" t="s">
        <v>20</v>
      </c>
      <c r="C9" s="5">
        <v>422.25</v>
      </c>
      <c r="D9" s="5">
        <v>338.78000000000003</v>
      </c>
      <c r="E9" s="5">
        <v>844.9000000000002</v>
      </c>
      <c r="F9" s="5">
        <v>343.25999999999993</v>
      </c>
      <c r="G9" s="5">
        <v>291.33999999999997</v>
      </c>
      <c r="H9" s="5">
        <v>336.40999999999997</v>
      </c>
      <c r="I9" s="5">
        <v>222.3</v>
      </c>
      <c r="J9" s="5">
        <v>382.14000000000004</v>
      </c>
      <c r="K9" s="5">
        <v>290.38</v>
      </c>
      <c r="L9" s="5">
        <v>936.6400000000001</v>
      </c>
      <c r="M9" s="32">
        <v>1815.2199999999996</v>
      </c>
      <c r="N9" s="32">
        <v>250.99000000000004</v>
      </c>
      <c r="O9" s="21">
        <v>6474.61</v>
      </c>
    </row>
    <row r="10" spans="1:15" x14ac:dyDescent="0.2">
      <c r="B10" s="2" t="s">
        <v>239</v>
      </c>
      <c r="C10" s="7">
        <v>1.1499999999999999</v>
      </c>
      <c r="D10" s="7">
        <v>0.59</v>
      </c>
      <c r="E10" s="7">
        <v>1.23</v>
      </c>
      <c r="F10" s="7">
        <v>0.81</v>
      </c>
      <c r="G10" s="7">
        <v>0.43</v>
      </c>
      <c r="H10" s="7">
        <v>3.26</v>
      </c>
      <c r="I10" s="7">
        <v>0.12</v>
      </c>
      <c r="J10" s="7">
        <v>0.16</v>
      </c>
      <c r="K10" s="7">
        <v>0.44</v>
      </c>
      <c r="L10" s="7">
        <v>5.71</v>
      </c>
      <c r="M10" s="7">
        <v>0.31</v>
      </c>
      <c r="N10" s="7">
        <v>0.14000000000000001</v>
      </c>
      <c r="O10" s="22">
        <v>14.35</v>
      </c>
    </row>
    <row r="11" spans="1:15" x14ac:dyDescent="0.2">
      <c r="B11" s="2" t="s">
        <v>240</v>
      </c>
      <c r="C11" s="7">
        <v>3.35</v>
      </c>
      <c r="D11" s="7">
        <v>2.56</v>
      </c>
      <c r="E11" s="7">
        <v>10.14</v>
      </c>
      <c r="F11" s="7">
        <v>2.06</v>
      </c>
      <c r="G11" s="7">
        <v>2.6</v>
      </c>
      <c r="H11" s="7">
        <v>2.77</v>
      </c>
      <c r="I11" s="7">
        <v>8.39</v>
      </c>
      <c r="J11" s="7">
        <v>2.3199999999999998</v>
      </c>
      <c r="K11" s="7">
        <v>2.34</v>
      </c>
      <c r="L11" s="7">
        <v>1.22</v>
      </c>
      <c r="M11" s="7">
        <v>2.85</v>
      </c>
      <c r="N11" s="7">
        <v>1.01</v>
      </c>
      <c r="O11" s="22">
        <v>41.61</v>
      </c>
    </row>
    <row r="12" spans="1:15" x14ac:dyDescent="0.2">
      <c r="B12" s="2" t="s">
        <v>241</v>
      </c>
      <c r="C12" s="7">
        <v>3.5</v>
      </c>
      <c r="D12" s="7">
        <v>3.56</v>
      </c>
      <c r="E12" s="7">
        <v>2.2200000000000002</v>
      </c>
      <c r="F12" s="7">
        <v>2.5099999999999998</v>
      </c>
      <c r="G12" s="7">
        <v>2.8</v>
      </c>
      <c r="H12" s="7">
        <v>3.3</v>
      </c>
      <c r="I12" s="7">
        <v>1.86</v>
      </c>
      <c r="J12" s="7">
        <v>3.92</v>
      </c>
      <c r="K12" s="7">
        <v>21.24</v>
      </c>
      <c r="L12" s="7">
        <v>1.74</v>
      </c>
      <c r="M12" s="7">
        <v>2.2799999999999998</v>
      </c>
      <c r="N12" s="7">
        <v>1.1499999999999999</v>
      </c>
      <c r="O12" s="22">
        <v>50.08</v>
      </c>
    </row>
    <row r="13" spans="1:15" x14ac:dyDescent="0.2">
      <c r="B13" s="2" t="s">
        <v>242</v>
      </c>
      <c r="C13" s="7">
        <v>2.27</v>
      </c>
      <c r="D13" s="7">
        <v>1.58</v>
      </c>
      <c r="E13" s="7">
        <v>3.41</v>
      </c>
      <c r="F13" s="7">
        <v>2.29</v>
      </c>
      <c r="G13" s="7">
        <v>2.12</v>
      </c>
      <c r="H13" s="7">
        <v>2.4</v>
      </c>
      <c r="I13" s="7">
        <v>1.96</v>
      </c>
      <c r="J13" s="7">
        <v>1.75</v>
      </c>
      <c r="K13" s="7">
        <v>1.0900000000000001</v>
      </c>
      <c r="L13" s="7">
        <v>1.66</v>
      </c>
      <c r="M13" s="7">
        <v>2.64</v>
      </c>
      <c r="N13" s="7">
        <v>1.23</v>
      </c>
      <c r="O13" s="22">
        <v>24.400000000000002</v>
      </c>
    </row>
    <row r="14" spans="1:15" x14ac:dyDescent="0.2">
      <c r="B14" s="2" t="s">
        <v>243</v>
      </c>
      <c r="C14" s="7">
        <v>188.69</v>
      </c>
      <c r="D14" s="7">
        <v>84.23</v>
      </c>
      <c r="E14" s="7">
        <v>44.47</v>
      </c>
      <c r="F14" s="7">
        <v>14.34</v>
      </c>
      <c r="G14" s="7">
        <v>5.62</v>
      </c>
      <c r="H14" s="7">
        <v>3.5</v>
      </c>
      <c r="I14" s="7">
        <v>10.55</v>
      </c>
      <c r="J14" s="7">
        <v>8.59</v>
      </c>
      <c r="K14" s="7">
        <v>4.0199999999999996</v>
      </c>
      <c r="L14" s="7">
        <v>64.94</v>
      </c>
      <c r="M14" s="7">
        <v>496.54</v>
      </c>
      <c r="N14" s="7">
        <v>3.92</v>
      </c>
      <c r="O14" s="22">
        <v>929.41</v>
      </c>
    </row>
    <row r="15" spans="1:15" x14ac:dyDescent="0.2">
      <c r="B15" s="2" t="s">
        <v>244</v>
      </c>
      <c r="C15" s="7">
        <v>0.37</v>
      </c>
      <c r="D15" s="7">
        <v>0.18</v>
      </c>
      <c r="E15" s="7">
        <v>2.1800000000000002</v>
      </c>
      <c r="F15" s="7">
        <v>1.75</v>
      </c>
      <c r="G15" s="7">
        <v>0.51</v>
      </c>
      <c r="H15" s="7">
        <v>0.47</v>
      </c>
      <c r="I15" s="7">
        <v>0.44</v>
      </c>
      <c r="J15" s="7">
        <v>0.21</v>
      </c>
      <c r="K15" s="7">
        <v>0.14000000000000001</v>
      </c>
      <c r="L15" s="7">
        <v>0.22</v>
      </c>
      <c r="M15" s="7">
        <v>0.65</v>
      </c>
      <c r="N15" s="7">
        <v>0.21</v>
      </c>
      <c r="O15" s="22">
        <v>7.33</v>
      </c>
    </row>
    <row r="16" spans="1:15" x14ac:dyDescent="0.2">
      <c r="B16" s="2" t="s">
        <v>245</v>
      </c>
      <c r="C16" s="7">
        <v>0</v>
      </c>
      <c r="D16" s="7">
        <v>0</v>
      </c>
      <c r="E16" s="7">
        <v>0</v>
      </c>
      <c r="F16" s="7">
        <v>0</v>
      </c>
      <c r="G16" s="7">
        <v>0</v>
      </c>
      <c r="H16" s="7">
        <v>0</v>
      </c>
      <c r="I16" s="7">
        <v>0.06</v>
      </c>
      <c r="J16" s="7">
        <v>0</v>
      </c>
      <c r="K16" s="7">
        <v>0</v>
      </c>
      <c r="L16" s="7">
        <v>0</v>
      </c>
      <c r="M16" s="7">
        <v>0</v>
      </c>
      <c r="N16" s="7">
        <v>0</v>
      </c>
      <c r="O16" s="22">
        <v>0.06</v>
      </c>
    </row>
    <row r="17" spans="1:15" x14ac:dyDescent="0.2">
      <c r="B17" s="2" t="s">
        <v>246</v>
      </c>
      <c r="C17" s="7">
        <v>0</v>
      </c>
      <c r="D17" s="7">
        <v>0</v>
      </c>
      <c r="E17" s="7">
        <v>0</v>
      </c>
      <c r="F17" s="7">
        <v>0</v>
      </c>
      <c r="G17" s="7">
        <v>0</v>
      </c>
      <c r="H17" s="7">
        <v>0</v>
      </c>
      <c r="I17" s="7">
        <v>0</v>
      </c>
      <c r="J17" s="7">
        <v>0</v>
      </c>
      <c r="K17" s="7">
        <v>0</v>
      </c>
      <c r="L17" s="7">
        <v>0</v>
      </c>
      <c r="M17" s="7">
        <v>0</v>
      </c>
      <c r="N17" s="7">
        <v>0</v>
      </c>
      <c r="O17" s="22">
        <v>0</v>
      </c>
    </row>
    <row r="18" spans="1:15" x14ac:dyDescent="0.2">
      <c r="B18" s="2" t="s">
        <v>247</v>
      </c>
      <c r="C18" s="7">
        <v>0</v>
      </c>
      <c r="D18" s="7">
        <v>0.01</v>
      </c>
      <c r="E18" s="7">
        <v>0.01</v>
      </c>
      <c r="F18" s="7">
        <v>0.02</v>
      </c>
      <c r="G18" s="7">
        <v>0.09</v>
      </c>
      <c r="H18" s="7">
        <v>0.15</v>
      </c>
      <c r="I18" s="7">
        <v>0.02</v>
      </c>
      <c r="J18" s="7">
        <v>0</v>
      </c>
      <c r="K18" s="7">
        <v>0.01</v>
      </c>
      <c r="L18" s="7">
        <v>0</v>
      </c>
      <c r="M18" s="7">
        <v>0.02</v>
      </c>
      <c r="N18" s="7">
        <v>0</v>
      </c>
      <c r="O18" s="22">
        <v>0.33000000000000007</v>
      </c>
    </row>
    <row r="19" spans="1:15" x14ac:dyDescent="0.2">
      <c r="B19" s="2" t="s">
        <v>248</v>
      </c>
      <c r="C19" s="7">
        <v>0</v>
      </c>
      <c r="D19" s="7">
        <v>0</v>
      </c>
      <c r="E19" s="7">
        <v>0</v>
      </c>
      <c r="F19" s="7">
        <v>0</v>
      </c>
      <c r="G19" s="7">
        <v>0</v>
      </c>
      <c r="H19" s="7">
        <v>0</v>
      </c>
      <c r="I19" s="7">
        <v>0</v>
      </c>
      <c r="J19" s="7">
        <v>0</v>
      </c>
      <c r="K19" s="7">
        <v>0</v>
      </c>
      <c r="L19" s="7">
        <v>0</v>
      </c>
      <c r="M19" s="7">
        <v>0</v>
      </c>
      <c r="N19" s="7">
        <v>0</v>
      </c>
      <c r="O19" s="22">
        <v>0</v>
      </c>
    </row>
    <row r="20" spans="1:15" x14ac:dyDescent="0.2">
      <c r="B20" s="2" t="s">
        <v>249</v>
      </c>
      <c r="C20" s="7">
        <v>0.45</v>
      </c>
      <c r="D20" s="7">
        <v>0.38</v>
      </c>
      <c r="E20" s="7">
        <v>0.93</v>
      </c>
      <c r="F20" s="7">
        <v>0.36</v>
      </c>
      <c r="G20" s="7">
        <v>0.57999999999999996</v>
      </c>
      <c r="H20" s="7">
        <v>0.35</v>
      </c>
      <c r="I20" s="7">
        <v>0.63</v>
      </c>
      <c r="J20" s="7">
        <v>0.4</v>
      </c>
      <c r="K20" s="7">
        <v>0.42</v>
      </c>
      <c r="L20" s="7">
        <v>0.52</v>
      </c>
      <c r="M20" s="7">
        <v>0.4</v>
      </c>
      <c r="N20" s="7">
        <v>0.25</v>
      </c>
      <c r="O20" s="22">
        <v>5.67</v>
      </c>
    </row>
    <row r="21" spans="1:15" x14ac:dyDescent="0.2">
      <c r="B21" s="2" t="s">
        <v>250</v>
      </c>
      <c r="C21" s="7">
        <v>0</v>
      </c>
      <c r="D21" s="7">
        <v>0</v>
      </c>
      <c r="E21" s="7">
        <v>0</v>
      </c>
      <c r="F21" s="7">
        <v>0</v>
      </c>
      <c r="G21" s="7">
        <v>0</v>
      </c>
      <c r="H21" s="7">
        <v>0</v>
      </c>
      <c r="I21" s="7">
        <v>0</v>
      </c>
      <c r="J21" s="7">
        <v>0</v>
      </c>
      <c r="K21" s="7">
        <v>20.51</v>
      </c>
      <c r="L21" s="7">
        <v>0.62</v>
      </c>
      <c r="M21" s="7">
        <v>0.26</v>
      </c>
      <c r="N21" s="7">
        <v>0.55000000000000004</v>
      </c>
      <c r="O21" s="22">
        <v>21.940000000000005</v>
      </c>
    </row>
    <row r="22" spans="1:15" x14ac:dyDescent="0.2">
      <c r="B22" s="2" t="s">
        <v>251</v>
      </c>
      <c r="C22" s="7">
        <v>135.91999999999999</v>
      </c>
      <c r="D22" s="7">
        <v>194.68</v>
      </c>
      <c r="E22" s="7">
        <v>675.69</v>
      </c>
      <c r="F22" s="7">
        <v>224.42</v>
      </c>
      <c r="G22" s="7">
        <v>163.49</v>
      </c>
      <c r="H22" s="7">
        <v>218.86</v>
      </c>
      <c r="I22" s="7">
        <v>140.01</v>
      </c>
      <c r="J22" s="7">
        <v>306.79000000000002</v>
      </c>
      <c r="K22" s="7">
        <v>180.03</v>
      </c>
      <c r="L22" s="7">
        <v>779.73</v>
      </c>
      <c r="M22" s="22">
        <v>1215.8499999999999</v>
      </c>
      <c r="N22" s="22">
        <v>176.78</v>
      </c>
      <c r="O22" s="22">
        <v>4412.25</v>
      </c>
    </row>
    <row r="23" spans="1:15" x14ac:dyDescent="0.2">
      <c r="B23" s="2" t="s">
        <v>252</v>
      </c>
      <c r="C23" s="7">
        <v>0.17</v>
      </c>
      <c r="D23" s="7">
        <v>0.08</v>
      </c>
      <c r="E23" s="7">
        <v>0.33</v>
      </c>
      <c r="F23" s="7">
        <v>0.5</v>
      </c>
      <c r="G23" s="7">
        <v>1.2</v>
      </c>
      <c r="H23" s="7">
        <v>1.17</v>
      </c>
      <c r="I23" s="7">
        <v>0.61</v>
      </c>
      <c r="J23" s="7">
        <v>0.5</v>
      </c>
      <c r="K23" s="7">
        <v>0.41</v>
      </c>
      <c r="L23" s="7">
        <v>0.89</v>
      </c>
      <c r="M23" s="7">
        <v>0.57999999999999996</v>
      </c>
      <c r="N23" s="7">
        <v>0.37</v>
      </c>
      <c r="O23" s="22">
        <v>6.8100000000000005</v>
      </c>
    </row>
    <row r="24" spans="1:15" x14ac:dyDescent="0.2">
      <c r="B24" s="2" t="s">
        <v>253</v>
      </c>
      <c r="C24" s="7">
        <v>10.11</v>
      </c>
      <c r="D24" s="7">
        <v>1.34</v>
      </c>
      <c r="E24" s="7">
        <v>10.98</v>
      </c>
      <c r="F24" s="7">
        <v>4.8600000000000003</v>
      </c>
      <c r="G24" s="7">
        <v>11.28</v>
      </c>
      <c r="H24" s="7">
        <v>4.63</v>
      </c>
      <c r="I24" s="7">
        <v>11.09</v>
      </c>
      <c r="J24" s="7">
        <v>6.5</v>
      </c>
      <c r="K24" s="7">
        <v>5.18</v>
      </c>
      <c r="L24" s="7">
        <v>5.69</v>
      </c>
      <c r="M24" s="7">
        <v>9.0500000000000007</v>
      </c>
      <c r="N24" s="7">
        <v>3.79</v>
      </c>
      <c r="O24" s="22">
        <v>84.5</v>
      </c>
    </row>
    <row r="25" spans="1:15" x14ac:dyDescent="0.2">
      <c r="B25" s="2" t="s">
        <v>254</v>
      </c>
      <c r="C25" s="7">
        <v>0</v>
      </c>
      <c r="D25" s="7">
        <v>0</v>
      </c>
      <c r="E25" s="7">
        <v>0.02</v>
      </c>
      <c r="F25" s="7">
        <v>0</v>
      </c>
      <c r="G25" s="7">
        <v>0</v>
      </c>
      <c r="H25" s="7">
        <v>0</v>
      </c>
      <c r="I25" s="7">
        <v>0</v>
      </c>
      <c r="J25" s="7">
        <v>0</v>
      </c>
      <c r="K25" s="7">
        <v>0</v>
      </c>
      <c r="L25" s="7">
        <v>0</v>
      </c>
      <c r="M25" s="7">
        <v>0</v>
      </c>
      <c r="N25" s="7">
        <v>0</v>
      </c>
      <c r="O25" s="22">
        <v>0.02</v>
      </c>
    </row>
    <row r="26" spans="1:15" x14ac:dyDescent="0.2">
      <c r="B26" s="2" t="s">
        <v>255</v>
      </c>
      <c r="C26" s="7">
        <v>71.39</v>
      </c>
      <c r="D26" s="7">
        <v>46.86</v>
      </c>
      <c r="E26" s="7">
        <v>92.72</v>
      </c>
      <c r="F26" s="7">
        <v>88.55</v>
      </c>
      <c r="G26" s="7">
        <v>99.96</v>
      </c>
      <c r="H26" s="7">
        <v>95.16</v>
      </c>
      <c r="I26" s="7">
        <v>46.05</v>
      </c>
      <c r="J26" s="7">
        <v>49.83</v>
      </c>
      <c r="K26" s="7">
        <v>54.36</v>
      </c>
      <c r="L26" s="7">
        <v>73.58</v>
      </c>
      <c r="M26" s="7">
        <v>83.18</v>
      </c>
      <c r="N26" s="7">
        <v>60.33</v>
      </c>
      <c r="O26" s="22">
        <v>861.97000000000014</v>
      </c>
    </row>
    <row r="27" spans="1:15" x14ac:dyDescent="0.2">
      <c r="B27" s="2" t="s">
        <v>256</v>
      </c>
      <c r="C27" s="7">
        <v>0.02</v>
      </c>
      <c r="D27" s="7">
        <v>0</v>
      </c>
      <c r="E27" s="7">
        <v>0</v>
      </c>
      <c r="F27" s="7">
        <v>0</v>
      </c>
      <c r="G27" s="7">
        <v>0.09</v>
      </c>
      <c r="H27" s="7">
        <v>0</v>
      </c>
      <c r="I27" s="7">
        <v>0</v>
      </c>
      <c r="J27" s="7">
        <v>0</v>
      </c>
      <c r="K27" s="7">
        <v>0</v>
      </c>
      <c r="L27" s="7">
        <v>0</v>
      </c>
      <c r="M27" s="7">
        <v>0</v>
      </c>
      <c r="N27" s="7">
        <v>0</v>
      </c>
      <c r="O27" s="22">
        <v>0.11</v>
      </c>
    </row>
    <row r="28" spans="1:15" x14ac:dyDescent="0.2">
      <c r="B28" s="2" t="s">
        <v>257</v>
      </c>
      <c r="C28" s="7">
        <v>0.34</v>
      </c>
      <c r="D28" s="7">
        <v>0.04</v>
      </c>
      <c r="E28" s="7">
        <v>0.13</v>
      </c>
      <c r="F28" s="7">
        <v>7.0000000000000007E-2</v>
      </c>
      <c r="G28" s="7">
        <v>0.08</v>
      </c>
      <c r="H28" s="7">
        <v>0.09</v>
      </c>
      <c r="I28" s="7">
        <v>0.09</v>
      </c>
      <c r="J28" s="7">
        <v>0.06</v>
      </c>
      <c r="K28" s="7">
        <v>0.06</v>
      </c>
      <c r="L28" s="7">
        <v>7.0000000000000007E-2</v>
      </c>
      <c r="M28" s="7">
        <v>7.0000000000000007E-2</v>
      </c>
      <c r="N28" s="7">
        <v>0.03</v>
      </c>
      <c r="O28" s="22">
        <v>1.1300000000000001</v>
      </c>
    </row>
    <row r="29" spans="1:15" x14ac:dyDescent="0.2">
      <c r="B29" s="2" t="s">
        <v>258</v>
      </c>
      <c r="C29" s="7">
        <v>0.04</v>
      </c>
      <c r="D29" s="7">
        <v>0</v>
      </c>
      <c r="E29" s="7">
        <v>0</v>
      </c>
      <c r="F29" s="7">
        <v>0.4</v>
      </c>
      <c r="G29" s="7">
        <v>0</v>
      </c>
      <c r="H29" s="7">
        <v>0</v>
      </c>
      <c r="I29" s="7">
        <v>0</v>
      </c>
      <c r="J29" s="7">
        <v>0</v>
      </c>
      <c r="K29" s="7">
        <v>0</v>
      </c>
      <c r="L29" s="7">
        <v>0</v>
      </c>
      <c r="M29" s="7">
        <v>0</v>
      </c>
      <c r="N29" s="7">
        <v>1.08</v>
      </c>
      <c r="O29" s="22">
        <v>1.52</v>
      </c>
    </row>
    <row r="30" spans="1:15" x14ac:dyDescent="0.2">
      <c r="B30" s="2" t="s">
        <v>259</v>
      </c>
      <c r="C30" s="7">
        <v>4.4800000000000004</v>
      </c>
      <c r="D30" s="7">
        <v>2.69</v>
      </c>
      <c r="E30" s="7">
        <v>0.44</v>
      </c>
      <c r="F30" s="7">
        <v>0.32</v>
      </c>
      <c r="G30" s="7">
        <v>0.49</v>
      </c>
      <c r="H30" s="7">
        <v>0.3</v>
      </c>
      <c r="I30" s="7">
        <v>0.42</v>
      </c>
      <c r="J30" s="7">
        <v>1.1100000000000001</v>
      </c>
      <c r="K30" s="7">
        <v>0.13</v>
      </c>
      <c r="L30" s="7">
        <v>0.05</v>
      </c>
      <c r="M30" s="7">
        <v>0.54</v>
      </c>
      <c r="N30" s="7">
        <v>0.15</v>
      </c>
      <c r="O30" s="22">
        <v>11.120000000000003</v>
      </c>
    </row>
    <row r="31" spans="1:15" ht="11.25" customHeight="1" x14ac:dyDescent="0.2">
      <c r="B31" s="2" t="s">
        <v>6</v>
      </c>
      <c r="C31" s="7"/>
      <c r="D31" s="7"/>
      <c r="E31" s="7"/>
      <c r="F31" s="7"/>
      <c r="G31" s="7"/>
      <c r="H31" s="7"/>
      <c r="I31" s="7"/>
      <c r="J31" s="7"/>
      <c r="K31" s="7"/>
      <c r="L31" s="7"/>
      <c r="M31" s="7"/>
      <c r="N31" s="7"/>
    </row>
    <row r="32" spans="1:15" s="4" customFormat="1" ht="15" x14ac:dyDescent="0.25">
      <c r="A32" s="3" t="s">
        <v>46</v>
      </c>
      <c r="C32" s="5">
        <v>13.57</v>
      </c>
      <c r="D32" s="5">
        <v>0.36</v>
      </c>
      <c r="E32" s="5">
        <v>1.19</v>
      </c>
      <c r="F32" s="5">
        <v>0.75</v>
      </c>
      <c r="G32" s="5">
        <v>0.72</v>
      </c>
      <c r="H32" s="5">
        <v>7.9399999999999995</v>
      </c>
      <c r="I32" s="5">
        <v>3.3899999999999997</v>
      </c>
      <c r="J32" s="5">
        <v>1.58</v>
      </c>
      <c r="K32" s="5">
        <v>0.62</v>
      </c>
      <c r="L32" s="5">
        <v>3.1599999999999993</v>
      </c>
      <c r="M32" s="5">
        <v>1.1800000000000002</v>
      </c>
      <c r="N32" s="5">
        <v>0.42</v>
      </c>
      <c r="O32" s="21">
        <v>34.880000000000003</v>
      </c>
    </row>
    <row r="33" spans="1:15" x14ac:dyDescent="0.2">
      <c r="B33" s="2" t="s">
        <v>260</v>
      </c>
      <c r="C33" s="7">
        <v>0.13</v>
      </c>
      <c r="D33" s="7">
        <v>0.25</v>
      </c>
      <c r="E33" s="7">
        <v>0.26</v>
      </c>
      <c r="F33" s="7">
        <v>0.19</v>
      </c>
      <c r="G33" s="7">
        <v>0</v>
      </c>
      <c r="H33" s="7">
        <v>7.01</v>
      </c>
      <c r="I33" s="7">
        <v>3.03</v>
      </c>
      <c r="J33" s="7">
        <v>0</v>
      </c>
      <c r="K33" s="7">
        <v>0.08</v>
      </c>
      <c r="L33" s="7">
        <v>0.01</v>
      </c>
      <c r="M33" s="7">
        <v>0.03</v>
      </c>
      <c r="N33" s="7">
        <v>0.06</v>
      </c>
      <c r="O33" s="22">
        <v>11.049999999999999</v>
      </c>
    </row>
    <row r="34" spans="1:15" x14ac:dyDescent="0.2">
      <c r="B34" s="2" t="s">
        <v>261</v>
      </c>
      <c r="C34" s="7">
        <v>0.28000000000000003</v>
      </c>
      <c r="D34" s="7">
        <v>0.11</v>
      </c>
      <c r="E34" s="7">
        <v>0.93</v>
      </c>
      <c r="F34" s="7">
        <v>0.5</v>
      </c>
      <c r="G34" s="7">
        <v>0.38</v>
      </c>
      <c r="H34" s="7">
        <v>0.72</v>
      </c>
      <c r="I34" s="7">
        <v>0.15</v>
      </c>
      <c r="J34" s="7">
        <v>0.16</v>
      </c>
      <c r="K34" s="7">
        <v>0.45</v>
      </c>
      <c r="L34" s="7">
        <v>2.5099999999999998</v>
      </c>
      <c r="M34" s="7">
        <v>0.83</v>
      </c>
      <c r="N34" s="7">
        <v>0.11</v>
      </c>
      <c r="O34" s="22">
        <v>7.13</v>
      </c>
    </row>
    <row r="35" spans="1:15" x14ac:dyDescent="0.2">
      <c r="B35" s="2" t="s">
        <v>262</v>
      </c>
      <c r="C35" s="7">
        <v>0</v>
      </c>
      <c r="D35" s="7">
        <v>0</v>
      </c>
      <c r="E35" s="7">
        <v>0</v>
      </c>
      <c r="F35" s="7">
        <v>0</v>
      </c>
      <c r="G35" s="7">
        <v>0</v>
      </c>
      <c r="H35" s="7">
        <v>0</v>
      </c>
      <c r="I35" s="7">
        <v>0</v>
      </c>
      <c r="J35" s="7">
        <v>0</v>
      </c>
      <c r="K35" s="7">
        <v>0</v>
      </c>
      <c r="L35" s="7">
        <v>0</v>
      </c>
      <c r="M35" s="7">
        <v>0</v>
      </c>
      <c r="N35" s="7">
        <v>0</v>
      </c>
      <c r="O35" s="22">
        <v>0</v>
      </c>
    </row>
    <row r="36" spans="1:15" x14ac:dyDescent="0.2">
      <c r="B36" s="2" t="s">
        <v>263</v>
      </c>
      <c r="C36" s="7">
        <v>12.93</v>
      </c>
      <c r="D36" s="7">
        <v>0</v>
      </c>
      <c r="E36" s="7">
        <v>0</v>
      </c>
      <c r="F36" s="7">
        <v>0</v>
      </c>
      <c r="G36" s="7">
        <v>0</v>
      </c>
      <c r="H36" s="7">
        <v>0</v>
      </c>
      <c r="I36" s="7">
        <v>0</v>
      </c>
      <c r="J36" s="7">
        <v>0</v>
      </c>
      <c r="K36" s="7">
        <v>0</v>
      </c>
      <c r="L36" s="7">
        <v>0</v>
      </c>
      <c r="M36" s="7">
        <v>0</v>
      </c>
      <c r="N36" s="7">
        <v>0</v>
      </c>
      <c r="O36" s="22">
        <v>12.93</v>
      </c>
    </row>
    <row r="37" spans="1:15" x14ac:dyDescent="0.2">
      <c r="B37" s="2" t="s">
        <v>264</v>
      </c>
      <c r="C37" s="7">
        <v>0</v>
      </c>
      <c r="D37" s="7">
        <v>0</v>
      </c>
      <c r="E37" s="7">
        <v>0</v>
      </c>
      <c r="F37" s="7">
        <v>0.05</v>
      </c>
      <c r="G37" s="7">
        <v>0.33</v>
      </c>
      <c r="H37" s="7">
        <v>0.18</v>
      </c>
      <c r="I37" s="7">
        <v>0.08</v>
      </c>
      <c r="J37" s="7">
        <v>0.14000000000000001</v>
      </c>
      <c r="K37" s="7">
        <v>0.09</v>
      </c>
      <c r="L37" s="7">
        <v>0.59</v>
      </c>
      <c r="M37" s="7">
        <v>0.28000000000000003</v>
      </c>
      <c r="N37" s="7">
        <v>0.24</v>
      </c>
      <c r="O37" s="22">
        <v>1.98</v>
      </c>
    </row>
    <row r="38" spans="1:15" x14ac:dyDescent="0.2">
      <c r="B38" s="2" t="s">
        <v>265</v>
      </c>
      <c r="C38" s="7">
        <v>0.23</v>
      </c>
      <c r="D38" s="7">
        <v>0</v>
      </c>
      <c r="E38" s="7">
        <v>0</v>
      </c>
      <c r="F38" s="7">
        <v>0.01</v>
      </c>
      <c r="G38" s="7">
        <v>0.01</v>
      </c>
      <c r="H38" s="7">
        <v>0.03</v>
      </c>
      <c r="I38" s="7">
        <v>0.13</v>
      </c>
      <c r="J38" s="7">
        <v>0</v>
      </c>
      <c r="K38" s="7">
        <v>0</v>
      </c>
      <c r="L38" s="7">
        <v>0.05</v>
      </c>
      <c r="M38" s="7">
        <v>0.04</v>
      </c>
      <c r="N38" s="7">
        <v>0.01</v>
      </c>
      <c r="O38" s="22">
        <v>0.51</v>
      </c>
    </row>
    <row r="39" spans="1:15" x14ac:dyDescent="0.2">
      <c r="B39" s="2" t="s">
        <v>266</v>
      </c>
      <c r="C39" s="7">
        <v>0</v>
      </c>
      <c r="D39" s="7">
        <v>0</v>
      </c>
      <c r="E39" s="7">
        <v>0</v>
      </c>
      <c r="F39" s="7">
        <v>0</v>
      </c>
      <c r="G39" s="7">
        <v>0</v>
      </c>
      <c r="H39" s="7">
        <v>0</v>
      </c>
      <c r="I39" s="7">
        <v>0</v>
      </c>
      <c r="J39" s="7">
        <v>1.28</v>
      </c>
      <c r="K39" s="7">
        <v>0</v>
      </c>
      <c r="L39" s="7">
        <v>0</v>
      </c>
      <c r="M39" s="7">
        <v>0</v>
      </c>
      <c r="N39" s="7">
        <v>0</v>
      </c>
      <c r="O39" s="22">
        <v>1.28</v>
      </c>
    </row>
    <row r="40" spans="1:15" ht="12.75" customHeight="1" x14ac:dyDescent="0.2">
      <c r="C40" s="7"/>
      <c r="D40" s="7"/>
      <c r="E40" s="7"/>
      <c r="F40" s="7"/>
      <c r="G40" s="7"/>
      <c r="H40" s="7"/>
      <c r="I40" s="7"/>
      <c r="J40" s="7"/>
      <c r="K40" s="7"/>
      <c r="L40" s="7"/>
      <c r="M40" s="7"/>
      <c r="N40" s="7"/>
    </row>
    <row r="41" spans="1:15" s="4" customFormat="1" ht="15" x14ac:dyDescent="0.25">
      <c r="A41" s="3" t="s">
        <v>54</v>
      </c>
      <c r="C41" s="5">
        <v>28.480000000000004</v>
      </c>
      <c r="D41" s="5">
        <v>18.350000000000001</v>
      </c>
      <c r="E41" s="5">
        <v>34.560000000000009</v>
      </c>
      <c r="F41" s="5">
        <v>26.8</v>
      </c>
      <c r="G41" s="5">
        <v>37.440000000000005</v>
      </c>
      <c r="H41" s="5">
        <v>24.490000000000002</v>
      </c>
      <c r="I41" s="5">
        <v>21.729999999999997</v>
      </c>
      <c r="J41" s="5">
        <v>25.389999999999997</v>
      </c>
      <c r="K41" s="5">
        <v>24.49</v>
      </c>
      <c r="L41" s="5">
        <v>27.459999999999997</v>
      </c>
      <c r="M41" s="5">
        <v>39.080000000000005</v>
      </c>
      <c r="N41" s="5">
        <v>20.709999999999994</v>
      </c>
      <c r="O41" s="21">
        <v>328.97999999999996</v>
      </c>
    </row>
    <row r="42" spans="1:15" x14ac:dyDescent="0.2">
      <c r="B42" s="2" t="s">
        <v>267</v>
      </c>
      <c r="C42" s="7">
        <v>3.59</v>
      </c>
      <c r="D42" s="7">
        <v>3.01</v>
      </c>
      <c r="E42" s="7">
        <v>4.2</v>
      </c>
      <c r="F42" s="7">
        <v>3.95</v>
      </c>
      <c r="G42" s="7">
        <v>14.85</v>
      </c>
      <c r="H42" s="7">
        <v>4.05</v>
      </c>
      <c r="I42" s="7">
        <v>3.69</v>
      </c>
      <c r="J42" s="7">
        <v>5.18</v>
      </c>
      <c r="K42" s="7">
        <v>1.67</v>
      </c>
      <c r="L42" s="7">
        <v>4.21</v>
      </c>
      <c r="M42" s="7">
        <v>3.89</v>
      </c>
      <c r="N42" s="7">
        <v>3.14</v>
      </c>
      <c r="O42" s="22">
        <v>55.43</v>
      </c>
    </row>
    <row r="43" spans="1:15" x14ac:dyDescent="0.2">
      <c r="B43" s="2" t="s">
        <v>268</v>
      </c>
      <c r="C43" s="7">
        <v>0.02</v>
      </c>
      <c r="D43" s="7">
        <v>0.1</v>
      </c>
      <c r="E43" s="7">
        <v>0.08</v>
      </c>
      <c r="F43" s="7">
        <v>0.04</v>
      </c>
      <c r="G43" s="7">
        <v>0</v>
      </c>
      <c r="H43" s="7">
        <v>0.01</v>
      </c>
      <c r="I43" s="7">
        <v>0.01</v>
      </c>
      <c r="J43" s="7">
        <v>0.01</v>
      </c>
      <c r="K43" s="7">
        <v>0.04</v>
      </c>
      <c r="L43" s="7">
        <v>0</v>
      </c>
      <c r="M43" s="7">
        <v>0</v>
      </c>
      <c r="N43" s="7">
        <v>0.02</v>
      </c>
      <c r="O43" s="22">
        <v>0.33</v>
      </c>
    </row>
    <row r="44" spans="1:15" x14ac:dyDescent="0.2">
      <c r="B44" s="2" t="s">
        <v>269</v>
      </c>
      <c r="C44" s="7">
        <v>14.86</v>
      </c>
      <c r="D44" s="7">
        <v>6.52</v>
      </c>
      <c r="E44" s="7">
        <v>22.3</v>
      </c>
      <c r="F44" s="7">
        <v>17.899999999999999</v>
      </c>
      <c r="G44" s="7">
        <v>15.93</v>
      </c>
      <c r="H44" s="7">
        <v>14.87</v>
      </c>
      <c r="I44" s="7">
        <v>12.22</v>
      </c>
      <c r="J44" s="7">
        <v>12.04</v>
      </c>
      <c r="K44" s="7">
        <v>11.47</v>
      </c>
      <c r="L44" s="7">
        <v>15.37</v>
      </c>
      <c r="M44" s="7">
        <v>18.5</v>
      </c>
      <c r="N44" s="7">
        <v>10.52</v>
      </c>
      <c r="O44" s="22">
        <v>172.5</v>
      </c>
    </row>
    <row r="45" spans="1:15" x14ac:dyDescent="0.2">
      <c r="B45" s="2" t="s">
        <v>270</v>
      </c>
      <c r="C45" s="7">
        <v>6.92</v>
      </c>
      <c r="D45" s="7">
        <v>6.63</v>
      </c>
      <c r="E45" s="7">
        <v>5.08</v>
      </c>
      <c r="F45" s="7">
        <v>3.43</v>
      </c>
      <c r="G45" s="7">
        <v>3</v>
      </c>
      <c r="H45" s="7">
        <v>3.57</v>
      </c>
      <c r="I45" s="7">
        <v>3.14</v>
      </c>
      <c r="J45" s="7">
        <v>2.82</v>
      </c>
      <c r="K45" s="7">
        <v>5.88</v>
      </c>
      <c r="L45" s="7">
        <v>1.92</v>
      </c>
      <c r="M45" s="7">
        <v>9.02</v>
      </c>
      <c r="N45" s="7">
        <v>1.83</v>
      </c>
      <c r="O45" s="22">
        <v>53.240000000000009</v>
      </c>
    </row>
    <row r="46" spans="1:15" x14ac:dyDescent="0.2">
      <c r="B46" s="2" t="s">
        <v>271</v>
      </c>
      <c r="C46" s="7">
        <v>2.12</v>
      </c>
      <c r="D46" s="7">
        <v>0.39</v>
      </c>
      <c r="E46" s="7">
        <v>0.71</v>
      </c>
      <c r="F46" s="7">
        <v>0.78</v>
      </c>
      <c r="G46" s="7">
        <v>0.56999999999999995</v>
      </c>
      <c r="H46" s="7">
        <v>1.1399999999999999</v>
      </c>
      <c r="I46" s="7">
        <v>0.37</v>
      </c>
      <c r="J46" s="7">
        <v>0.31</v>
      </c>
      <c r="K46" s="7">
        <v>0.77</v>
      </c>
      <c r="L46" s="7">
        <v>0.47</v>
      </c>
      <c r="M46" s="7">
        <v>0.55000000000000004</v>
      </c>
      <c r="N46" s="7">
        <v>0.42</v>
      </c>
      <c r="O46" s="22">
        <v>8.6</v>
      </c>
    </row>
    <row r="47" spans="1:15" x14ac:dyDescent="0.2">
      <c r="B47" s="2" t="s">
        <v>272</v>
      </c>
      <c r="C47" s="7">
        <v>0.21</v>
      </c>
      <c r="D47" s="7">
        <v>0.16</v>
      </c>
      <c r="E47" s="7">
        <v>0.53</v>
      </c>
      <c r="F47" s="7">
        <v>0.15</v>
      </c>
      <c r="G47" s="7">
        <v>0.24</v>
      </c>
      <c r="H47" s="7">
        <v>0.31</v>
      </c>
      <c r="I47" s="7">
        <v>0.5</v>
      </c>
      <c r="J47" s="7">
        <v>0.25</v>
      </c>
      <c r="K47" s="7">
        <v>0.09</v>
      </c>
      <c r="L47" s="7">
        <v>0.27</v>
      </c>
      <c r="M47" s="7">
        <v>0.26</v>
      </c>
      <c r="N47" s="7">
        <v>0.24</v>
      </c>
      <c r="O47" s="22">
        <v>3.21</v>
      </c>
    </row>
    <row r="48" spans="1:15" x14ac:dyDescent="0.2">
      <c r="B48" s="2" t="s">
        <v>273</v>
      </c>
      <c r="C48" s="7">
        <v>0</v>
      </c>
      <c r="D48" s="7">
        <v>0</v>
      </c>
      <c r="E48" s="7">
        <v>0.13</v>
      </c>
      <c r="F48" s="7">
        <v>0</v>
      </c>
      <c r="G48" s="7">
        <v>0</v>
      </c>
      <c r="H48" s="7">
        <v>0</v>
      </c>
      <c r="I48" s="7">
        <v>0</v>
      </c>
      <c r="J48" s="7">
        <v>0</v>
      </c>
      <c r="K48" s="7">
        <v>0</v>
      </c>
      <c r="L48" s="7">
        <v>0</v>
      </c>
      <c r="M48" s="7">
        <v>0</v>
      </c>
      <c r="N48" s="7">
        <v>0</v>
      </c>
      <c r="O48" s="22">
        <v>0.13</v>
      </c>
    </row>
    <row r="49" spans="1:15" x14ac:dyDescent="0.2">
      <c r="B49" s="2" t="s">
        <v>274</v>
      </c>
      <c r="C49" s="7">
        <v>7.0000000000000007E-2</v>
      </c>
      <c r="D49" s="7">
        <v>7.0000000000000007E-2</v>
      </c>
      <c r="E49" s="7">
        <v>0.11</v>
      </c>
      <c r="F49" s="7">
        <v>0.13</v>
      </c>
      <c r="G49" s="7">
        <v>0.12</v>
      </c>
      <c r="H49" s="7">
        <v>0.03</v>
      </c>
      <c r="I49" s="7">
        <v>0.08</v>
      </c>
      <c r="J49" s="7">
        <v>0.23</v>
      </c>
      <c r="K49" s="7">
        <v>7.0000000000000007E-2</v>
      </c>
      <c r="L49" s="7">
        <v>0.14000000000000001</v>
      </c>
      <c r="M49" s="7">
        <v>0.02</v>
      </c>
      <c r="N49" s="7">
        <v>0.08</v>
      </c>
      <c r="O49" s="22">
        <v>1.1499999999999999</v>
      </c>
    </row>
    <row r="50" spans="1:15" x14ac:dyDescent="0.2">
      <c r="B50" s="2" t="s">
        <v>275</v>
      </c>
      <c r="C50" s="7">
        <v>0.12</v>
      </c>
      <c r="D50" s="7">
        <v>0.1</v>
      </c>
      <c r="E50" s="7">
        <v>0.95</v>
      </c>
      <c r="F50" s="7">
        <v>0.1</v>
      </c>
      <c r="G50" s="7">
        <v>2.2200000000000002</v>
      </c>
      <c r="H50" s="7">
        <v>0.12</v>
      </c>
      <c r="I50" s="7">
        <v>0.13</v>
      </c>
      <c r="J50" s="7">
        <v>7.0000000000000007E-2</v>
      </c>
      <c r="K50" s="7">
        <v>0.06</v>
      </c>
      <c r="L50" s="7">
        <v>0.06</v>
      </c>
      <c r="M50" s="7">
        <v>0.08</v>
      </c>
      <c r="N50" s="7">
        <v>0.04</v>
      </c>
      <c r="O50" s="22">
        <v>4.05</v>
      </c>
    </row>
    <row r="51" spans="1:15" x14ac:dyDescent="0.2">
      <c r="B51" s="2" t="s">
        <v>276</v>
      </c>
      <c r="C51" s="7">
        <v>0</v>
      </c>
      <c r="D51" s="7">
        <v>0</v>
      </c>
      <c r="E51" s="7">
        <v>0</v>
      </c>
      <c r="F51" s="7">
        <v>0</v>
      </c>
      <c r="G51" s="7">
        <v>0.03</v>
      </c>
      <c r="H51" s="7">
        <v>0</v>
      </c>
      <c r="I51" s="7">
        <v>0</v>
      </c>
      <c r="J51" s="7">
        <v>0</v>
      </c>
      <c r="K51" s="7">
        <v>0</v>
      </c>
      <c r="L51" s="7">
        <v>0</v>
      </c>
      <c r="M51" s="7">
        <v>0</v>
      </c>
      <c r="N51" s="7">
        <v>0.13</v>
      </c>
      <c r="O51" s="22">
        <v>0.16</v>
      </c>
    </row>
    <row r="52" spans="1:15" x14ac:dyDescent="0.2">
      <c r="B52" s="2" t="s">
        <v>277</v>
      </c>
      <c r="C52" s="7">
        <v>0.53</v>
      </c>
      <c r="D52" s="7">
        <v>1.36</v>
      </c>
      <c r="E52" s="7">
        <v>0.39</v>
      </c>
      <c r="F52" s="7">
        <v>0.28000000000000003</v>
      </c>
      <c r="G52" s="7">
        <v>0.46</v>
      </c>
      <c r="H52" s="7">
        <v>0.09</v>
      </c>
      <c r="I52" s="7">
        <v>1.59</v>
      </c>
      <c r="J52" s="7">
        <v>4.4400000000000004</v>
      </c>
      <c r="K52" s="7">
        <v>4.1900000000000004</v>
      </c>
      <c r="L52" s="7">
        <v>4.97</v>
      </c>
      <c r="M52" s="7">
        <v>6.56</v>
      </c>
      <c r="N52" s="7">
        <v>3.61</v>
      </c>
      <c r="O52" s="22">
        <v>28.47</v>
      </c>
    </row>
    <row r="53" spans="1:15" x14ac:dyDescent="0.2">
      <c r="B53" s="2" t="s">
        <v>278</v>
      </c>
      <c r="C53" s="7">
        <v>0.02</v>
      </c>
      <c r="D53" s="7">
        <v>0</v>
      </c>
      <c r="E53" s="7">
        <v>0.08</v>
      </c>
      <c r="F53" s="7">
        <v>0</v>
      </c>
      <c r="G53" s="7">
        <v>0</v>
      </c>
      <c r="H53" s="7">
        <v>0.17</v>
      </c>
      <c r="I53" s="7">
        <v>0</v>
      </c>
      <c r="J53" s="7">
        <v>0</v>
      </c>
      <c r="K53" s="7">
        <v>0</v>
      </c>
      <c r="L53" s="7">
        <v>0</v>
      </c>
      <c r="M53" s="7">
        <v>0.18</v>
      </c>
      <c r="N53" s="7">
        <v>0</v>
      </c>
      <c r="O53" s="22">
        <v>0.45</v>
      </c>
    </row>
    <row r="54" spans="1:15" x14ac:dyDescent="0.2">
      <c r="B54" s="2" t="s">
        <v>279</v>
      </c>
      <c r="C54" s="7">
        <v>0</v>
      </c>
      <c r="D54" s="7">
        <v>0.01</v>
      </c>
      <c r="E54" s="7">
        <v>0</v>
      </c>
      <c r="F54" s="7">
        <v>0.04</v>
      </c>
      <c r="G54" s="7">
        <v>0.02</v>
      </c>
      <c r="H54" s="7">
        <v>0.13</v>
      </c>
      <c r="I54" s="7">
        <v>0</v>
      </c>
      <c r="J54" s="7">
        <v>0.04</v>
      </c>
      <c r="K54" s="7">
        <v>0.19</v>
      </c>
      <c r="L54" s="7">
        <v>0.05</v>
      </c>
      <c r="M54" s="7">
        <v>0.02</v>
      </c>
      <c r="N54" s="7">
        <v>0.68</v>
      </c>
      <c r="O54" s="22">
        <v>1.1800000000000002</v>
      </c>
    </row>
    <row r="55" spans="1:15" x14ac:dyDescent="0.2">
      <c r="B55" s="2" t="s">
        <v>280</v>
      </c>
      <c r="C55" s="7">
        <v>0.02</v>
      </c>
      <c r="D55" s="7">
        <v>0</v>
      </c>
      <c r="E55" s="7">
        <v>0</v>
      </c>
      <c r="F55" s="7">
        <v>0</v>
      </c>
      <c r="G55" s="7">
        <v>0</v>
      </c>
      <c r="H55" s="7">
        <v>0</v>
      </c>
      <c r="I55" s="7">
        <v>0</v>
      </c>
      <c r="J55" s="7">
        <v>0</v>
      </c>
      <c r="K55" s="7">
        <v>0.06</v>
      </c>
      <c r="L55" s="7">
        <v>0</v>
      </c>
      <c r="M55" s="7">
        <v>0</v>
      </c>
      <c r="N55" s="7">
        <v>0</v>
      </c>
      <c r="O55" s="22">
        <v>0.08</v>
      </c>
    </row>
    <row r="56" spans="1:15" ht="12.75" customHeight="1" x14ac:dyDescent="0.2">
      <c r="C56" s="7"/>
      <c r="D56" s="7"/>
      <c r="E56" s="7"/>
      <c r="F56" s="7"/>
      <c r="G56" s="7"/>
      <c r="H56" s="7"/>
      <c r="I56" s="7"/>
      <c r="J56" s="7"/>
      <c r="K56" s="7"/>
      <c r="L56" s="7"/>
      <c r="M56" s="7"/>
      <c r="N56" s="7"/>
    </row>
    <row r="57" spans="1:15" s="4" customFormat="1" ht="15" x14ac:dyDescent="0.25">
      <c r="A57" s="3" t="s">
        <v>69</v>
      </c>
      <c r="C57" s="5">
        <v>0.01</v>
      </c>
      <c r="D57" s="5">
        <v>0</v>
      </c>
      <c r="E57" s="5">
        <v>0.02</v>
      </c>
      <c r="F57" s="5">
        <v>0.16</v>
      </c>
      <c r="G57" s="5">
        <v>0</v>
      </c>
      <c r="H57" s="5">
        <v>0</v>
      </c>
      <c r="I57" s="5">
        <v>0</v>
      </c>
      <c r="J57" s="5">
        <v>0.06</v>
      </c>
      <c r="K57" s="5">
        <v>0</v>
      </c>
      <c r="L57" s="5">
        <v>0.01</v>
      </c>
      <c r="M57" s="5">
        <v>0.14000000000000001</v>
      </c>
      <c r="N57" s="5">
        <v>0</v>
      </c>
      <c r="O57" s="21">
        <v>0.4</v>
      </c>
    </row>
    <row r="58" spans="1:15" x14ac:dyDescent="0.2">
      <c r="B58" s="2" t="s">
        <v>281</v>
      </c>
      <c r="C58" s="7">
        <v>0.01</v>
      </c>
      <c r="D58" s="7">
        <v>0</v>
      </c>
      <c r="E58" s="7">
        <v>0.02</v>
      </c>
      <c r="F58" s="7">
        <v>0.16</v>
      </c>
      <c r="G58" s="7">
        <v>0</v>
      </c>
      <c r="H58" s="7">
        <v>0</v>
      </c>
      <c r="I58" s="7">
        <v>0</v>
      </c>
      <c r="J58" s="7">
        <v>0.06</v>
      </c>
      <c r="K58" s="7">
        <v>0</v>
      </c>
      <c r="L58" s="7">
        <v>0.01</v>
      </c>
      <c r="M58" s="7">
        <v>0.14000000000000001</v>
      </c>
      <c r="N58" s="7">
        <v>0</v>
      </c>
      <c r="O58" s="22">
        <v>0.4</v>
      </c>
    </row>
    <row r="59" spans="1:15" ht="12.75" customHeight="1" x14ac:dyDescent="0.2">
      <c r="C59" s="7"/>
      <c r="D59" s="7"/>
      <c r="E59" s="7"/>
      <c r="F59" s="7"/>
      <c r="G59" s="7"/>
      <c r="H59" s="7"/>
      <c r="I59" s="7"/>
      <c r="J59" s="7"/>
      <c r="K59" s="7"/>
      <c r="L59" s="7"/>
      <c r="M59" s="7"/>
      <c r="N59" s="7"/>
    </row>
    <row r="60" spans="1:15" s="4" customFormat="1" ht="15" x14ac:dyDescent="0.25">
      <c r="A60" s="3" t="s">
        <v>71</v>
      </c>
      <c r="C60" s="5">
        <v>10.119999999999999</v>
      </c>
      <c r="D60" s="5">
        <v>9.09</v>
      </c>
      <c r="E60" s="5">
        <v>9.8099999999999987</v>
      </c>
      <c r="F60" s="5">
        <v>13.479999999999999</v>
      </c>
      <c r="G60" s="5">
        <v>5.96</v>
      </c>
      <c r="H60" s="5">
        <v>6.21</v>
      </c>
      <c r="I60" s="5">
        <v>7.63</v>
      </c>
      <c r="J60" s="5">
        <v>8.9499999999999993</v>
      </c>
      <c r="K60" s="5">
        <v>4.0199999999999996</v>
      </c>
      <c r="L60" s="5">
        <v>9.15</v>
      </c>
      <c r="M60" s="5">
        <v>7.95</v>
      </c>
      <c r="N60" s="5">
        <v>6.39</v>
      </c>
      <c r="O60" s="21">
        <v>98.76</v>
      </c>
    </row>
    <row r="61" spans="1:15" x14ac:dyDescent="0.2">
      <c r="B61" s="2" t="s">
        <v>282</v>
      </c>
      <c r="C61" s="7">
        <v>10.11</v>
      </c>
      <c r="D61" s="7">
        <v>9.08</v>
      </c>
      <c r="E61" s="7">
        <v>9.7799999999999994</v>
      </c>
      <c r="F61" s="7">
        <v>13.42</v>
      </c>
      <c r="G61" s="7">
        <v>5.94</v>
      </c>
      <c r="H61" s="7">
        <v>6.19</v>
      </c>
      <c r="I61" s="7">
        <v>7.62</v>
      </c>
      <c r="J61" s="7">
        <v>8.94</v>
      </c>
      <c r="K61" s="7">
        <v>4.01</v>
      </c>
      <c r="L61" s="7">
        <v>9.14</v>
      </c>
      <c r="M61" s="7">
        <v>7.94</v>
      </c>
      <c r="N61" s="7">
        <v>6.38</v>
      </c>
      <c r="O61" s="22">
        <v>98.55</v>
      </c>
    </row>
    <row r="62" spans="1:15" x14ac:dyDescent="0.2">
      <c r="B62" s="2" t="s">
        <v>283</v>
      </c>
      <c r="C62" s="7">
        <v>0</v>
      </c>
      <c r="D62" s="7">
        <v>0</v>
      </c>
      <c r="E62" s="7">
        <v>0.01</v>
      </c>
      <c r="F62" s="7">
        <v>0</v>
      </c>
      <c r="G62" s="7">
        <v>0</v>
      </c>
      <c r="H62" s="7">
        <v>0</v>
      </c>
      <c r="I62" s="7">
        <v>0</v>
      </c>
      <c r="J62" s="7">
        <v>0</v>
      </c>
      <c r="K62" s="7">
        <v>0</v>
      </c>
      <c r="L62" s="7">
        <v>0</v>
      </c>
      <c r="M62" s="7">
        <v>0</v>
      </c>
      <c r="N62" s="7">
        <v>0</v>
      </c>
      <c r="O62" s="22">
        <v>0.01</v>
      </c>
    </row>
    <row r="63" spans="1:15" x14ac:dyDescent="0.2">
      <c r="B63" s="2" t="s">
        <v>284</v>
      </c>
      <c r="C63" s="7">
        <v>0</v>
      </c>
      <c r="D63" s="7">
        <v>0</v>
      </c>
      <c r="E63" s="7">
        <v>0</v>
      </c>
      <c r="F63" s="7">
        <v>0.04</v>
      </c>
      <c r="G63" s="7">
        <v>0</v>
      </c>
      <c r="H63" s="7">
        <v>0</v>
      </c>
      <c r="I63" s="7">
        <v>0</v>
      </c>
      <c r="J63" s="7">
        <v>0</v>
      </c>
      <c r="K63" s="7">
        <v>0</v>
      </c>
      <c r="L63" s="7">
        <v>0</v>
      </c>
      <c r="M63" s="7">
        <v>0</v>
      </c>
      <c r="N63" s="7">
        <v>0</v>
      </c>
      <c r="O63" s="22">
        <v>0.04</v>
      </c>
    </row>
    <row r="64" spans="1:15" x14ac:dyDescent="0.2">
      <c r="B64" s="2" t="s">
        <v>285</v>
      </c>
      <c r="C64" s="7">
        <v>0.01</v>
      </c>
      <c r="D64" s="7">
        <v>0.01</v>
      </c>
      <c r="E64" s="7">
        <v>0.02</v>
      </c>
      <c r="F64" s="7">
        <v>0.02</v>
      </c>
      <c r="G64" s="7">
        <v>0.02</v>
      </c>
      <c r="H64" s="7">
        <v>0.02</v>
      </c>
      <c r="I64" s="7">
        <v>0.01</v>
      </c>
      <c r="J64" s="7">
        <v>0.01</v>
      </c>
      <c r="K64" s="7">
        <v>0.01</v>
      </c>
      <c r="L64" s="7">
        <v>0.01</v>
      </c>
      <c r="M64" s="7">
        <v>0.01</v>
      </c>
      <c r="N64" s="7">
        <v>0.01</v>
      </c>
      <c r="O64" s="22">
        <v>0.16000000000000003</v>
      </c>
    </row>
    <row r="65" spans="1:15" x14ac:dyDescent="0.2">
      <c r="C65" s="7"/>
      <c r="D65" s="7"/>
      <c r="E65" s="7"/>
      <c r="F65" s="7"/>
      <c r="G65" s="7"/>
      <c r="H65" s="7"/>
      <c r="I65" s="7"/>
      <c r="J65" s="7"/>
      <c r="K65" s="7"/>
      <c r="L65" s="7"/>
      <c r="M65" s="7"/>
      <c r="N65" s="7"/>
      <c r="O65" s="22"/>
    </row>
    <row r="66" spans="1:15" ht="12.75" customHeight="1" x14ac:dyDescent="0.2">
      <c r="C66" s="7"/>
      <c r="D66" s="7"/>
      <c r="E66" s="7"/>
      <c r="F66" s="7"/>
      <c r="G66" s="7"/>
      <c r="H66" s="7"/>
      <c r="I66" s="7"/>
      <c r="J66" s="7"/>
      <c r="K66" s="7"/>
      <c r="L66" s="7"/>
      <c r="M66" s="7"/>
      <c r="N66" s="7"/>
    </row>
    <row r="67" spans="1:15" s="4" customFormat="1" ht="15" x14ac:dyDescent="0.25">
      <c r="A67" s="3" t="s">
        <v>75</v>
      </c>
      <c r="C67" s="5">
        <v>0</v>
      </c>
      <c r="D67" s="5">
        <v>7.0000000000000007E-2</v>
      </c>
      <c r="E67" s="5">
        <v>0.52</v>
      </c>
      <c r="F67" s="5">
        <v>0</v>
      </c>
      <c r="G67" s="5">
        <v>0.01</v>
      </c>
      <c r="H67" s="5">
        <v>4.42</v>
      </c>
      <c r="I67" s="5">
        <v>0</v>
      </c>
      <c r="J67" s="5">
        <v>0</v>
      </c>
      <c r="K67" s="5">
        <v>0</v>
      </c>
      <c r="L67" s="5">
        <v>0.24</v>
      </c>
      <c r="M67" s="5">
        <v>0.05</v>
      </c>
      <c r="N67" s="5">
        <v>0.51</v>
      </c>
      <c r="O67" s="21">
        <v>5.8199999999999994</v>
      </c>
    </row>
    <row r="68" spans="1:15" x14ac:dyDescent="0.2">
      <c r="B68" s="2" t="s">
        <v>286</v>
      </c>
      <c r="C68" s="7">
        <v>0</v>
      </c>
      <c r="D68" s="7">
        <v>0</v>
      </c>
      <c r="E68" s="7">
        <v>0</v>
      </c>
      <c r="F68" s="7">
        <v>0</v>
      </c>
      <c r="G68" s="7">
        <v>0</v>
      </c>
      <c r="H68" s="7">
        <v>0</v>
      </c>
      <c r="I68" s="7">
        <v>0</v>
      </c>
      <c r="J68" s="7">
        <v>0</v>
      </c>
      <c r="K68" s="7">
        <v>0</v>
      </c>
      <c r="L68" s="7">
        <v>0</v>
      </c>
      <c r="M68" s="7">
        <v>0</v>
      </c>
      <c r="N68" s="7">
        <v>0</v>
      </c>
      <c r="O68" s="22">
        <v>0</v>
      </c>
    </row>
    <row r="69" spans="1:15" x14ac:dyDescent="0.2">
      <c r="B69" s="2" t="s">
        <v>287</v>
      </c>
      <c r="C69" s="7">
        <v>0</v>
      </c>
      <c r="D69" s="7">
        <v>7.0000000000000007E-2</v>
      </c>
      <c r="E69" s="7">
        <v>0.52</v>
      </c>
      <c r="F69" s="7">
        <v>0</v>
      </c>
      <c r="G69" s="7">
        <v>0.01</v>
      </c>
      <c r="H69" s="7">
        <v>4.42</v>
      </c>
      <c r="I69" s="7">
        <v>0</v>
      </c>
      <c r="J69" s="7">
        <v>0</v>
      </c>
      <c r="K69" s="7">
        <v>0</v>
      </c>
      <c r="L69" s="7">
        <v>0.24</v>
      </c>
      <c r="M69" s="7">
        <v>0.05</v>
      </c>
      <c r="N69" s="7">
        <v>0.51</v>
      </c>
      <c r="O69" s="22">
        <v>5.8199999999999994</v>
      </c>
    </row>
    <row r="70" spans="1:15" x14ac:dyDescent="0.2">
      <c r="C70" s="7"/>
      <c r="D70" s="7"/>
      <c r="E70" s="7"/>
      <c r="F70" s="7"/>
      <c r="G70" s="7"/>
      <c r="H70" s="7"/>
      <c r="I70" s="7"/>
      <c r="J70" s="7"/>
      <c r="K70" s="7"/>
      <c r="L70" s="7"/>
      <c r="M70" s="7"/>
      <c r="N70" s="7"/>
    </row>
    <row r="71" spans="1:15" s="4" customFormat="1" ht="15" x14ac:dyDescent="0.25">
      <c r="A71" s="3" t="s">
        <v>78</v>
      </c>
      <c r="C71" s="5">
        <v>52.639999999999993</v>
      </c>
      <c r="D71" s="5">
        <v>38.179999999999993</v>
      </c>
      <c r="E71" s="5">
        <v>67.15000000000002</v>
      </c>
      <c r="F71" s="5">
        <v>120.23</v>
      </c>
      <c r="G71" s="5">
        <v>259.60999999999996</v>
      </c>
      <c r="H71" s="5">
        <v>326.66999999999996</v>
      </c>
      <c r="I71" s="5">
        <v>297.18</v>
      </c>
      <c r="J71" s="5">
        <v>412.75</v>
      </c>
      <c r="K71" s="5">
        <v>238.01999999999998</v>
      </c>
      <c r="L71" s="5">
        <v>435.1</v>
      </c>
      <c r="M71" s="5">
        <v>93.570000000000007</v>
      </c>
      <c r="N71" s="5">
        <v>20.260000000000002</v>
      </c>
      <c r="O71" s="21">
        <v>2361.36</v>
      </c>
    </row>
    <row r="72" spans="1:15" x14ac:dyDescent="0.2">
      <c r="B72" s="2" t="s">
        <v>288</v>
      </c>
      <c r="C72" s="7">
        <v>29.06</v>
      </c>
      <c r="D72" s="7">
        <v>15.53</v>
      </c>
      <c r="E72" s="7">
        <v>15.8</v>
      </c>
      <c r="F72" s="7">
        <v>21.94</v>
      </c>
      <c r="G72" s="7">
        <v>19.41</v>
      </c>
      <c r="H72" s="7">
        <v>15.28</v>
      </c>
      <c r="I72" s="7">
        <v>15</v>
      </c>
      <c r="J72" s="7">
        <v>20.239999999999998</v>
      </c>
      <c r="K72" s="7">
        <v>10.23</v>
      </c>
      <c r="L72" s="7">
        <v>12.99</v>
      </c>
      <c r="M72" s="7">
        <v>10.88</v>
      </c>
      <c r="N72" s="7">
        <v>9.33</v>
      </c>
      <c r="O72" s="22">
        <v>195.69</v>
      </c>
    </row>
    <row r="73" spans="1:15" x14ac:dyDescent="0.2">
      <c r="B73" s="2" t="s">
        <v>289</v>
      </c>
      <c r="C73" s="7">
        <v>0</v>
      </c>
      <c r="D73" s="7">
        <v>0.01</v>
      </c>
      <c r="E73" s="7">
        <v>0</v>
      </c>
      <c r="F73" s="7">
        <v>0.02</v>
      </c>
      <c r="G73" s="7">
        <v>0.01</v>
      </c>
      <c r="H73" s="7">
        <v>0</v>
      </c>
      <c r="I73" s="7">
        <v>0.01</v>
      </c>
      <c r="J73" s="7">
        <v>0</v>
      </c>
      <c r="K73" s="7">
        <v>0.02</v>
      </c>
      <c r="L73" s="7">
        <v>0</v>
      </c>
      <c r="M73" s="7">
        <v>0.01</v>
      </c>
      <c r="N73" s="7">
        <v>0.03</v>
      </c>
      <c r="O73" s="22">
        <v>0.11</v>
      </c>
    </row>
    <row r="74" spans="1:15" x14ac:dyDescent="0.2">
      <c r="B74" s="2" t="s">
        <v>290</v>
      </c>
      <c r="C74" s="7">
        <v>0.3</v>
      </c>
      <c r="D74" s="7">
        <v>0</v>
      </c>
      <c r="E74" s="7">
        <v>1.55</v>
      </c>
      <c r="F74" s="7">
        <v>0.3</v>
      </c>
      <c r="G74" s="7">
        <v>0.02</v>
      </c>
      <c r="H74" s="7">
        <v>0</v>
      </c>
      <c r="I74" s="7">
        <v>0.04</v>
      </c>
      <c r="J74" s="7">
        <v>1.37</v>
      </c>
      <c r="K74" s="7">
        <v>0</v>
      </c>
      <c r="L74" s="7">
        <v>0.15</v>
      </c>
      <c r="M74" s="7">
        <v>0.48</v>
      </c>
      <c r="N74" s="7">
        <v>0</v>
      </c>
      <c r="O74" s="22">
        <v>4.21</v>
      </c>
    </row>
    <row r="75" spans="1:15" x14ac:dyDescent="0.2">
      <c r="B75" s="2" t="s">
        <v>291</v>
      </c>
      <c r="C75" s="7">
        <v>5.77</v>
      </c>
      <c r="D75" s="7">
        <v>4.88</v>
      </c>
      <c r="E75" s="7">
        <v>8.69</v>
      </c>
      <c r="F75" s="7">
        <v>6.98</v>
      </c>
      <c r="G75" s="7">
        <v>22.89</v>
      </c>
      <c r="H75" s="7">
        <v>8.51</v>
      </c>
      <c r="I75" s="7">
        <v>6.29</v>
      </c>
      <c r="J75" s="7">
        <v>6.53</v>
      </c>
      <c r="K75" s="7">
        <v>4.3</v>
      </c>
      <c r="L75" s="7">
        <v>6.34</v>
      </c>
      <c r="M75" s="7">
        <v>7.53</v>
      </c>
      <c r="N75" s="7">
        <v>4.76</v>
      </c>
      <c r="O75" s="22">
        <v>93.47</v>
      </c>
    </row>
    <row r="76" spans="1:15" x14ac:dyDescent="0.2">
      <c r="B76" s="2" t="s">
        <v>292</v>
      </c>
      <c r="C76" s="7">
        <v>2.6</v>
      </c>
      <c r="D76" s="7">
        <v>0.6</v>
      </c>
      <c r="E76" s="7">
        <v>0.55000000000000004</v>
      </c>
      <c r="F76" s="7">
        <v>1.66</v>
      </c>
      <c r="G76" s="7">
        <v>0.26</v>
      </c>
      <c r="H76" s="7">
        <v>0.4</v>
      </c>
      <c r="I76" s="7">
        <v>0.34</v>
      </c>
      <c r="J76" s="7">
        <v>0.08</v>
      </c>
      <c r="K76" s="7">
        <v>0.04</v>
      </c>
      <c r="L76" s="7">
        <v>0.2</v>
      </c>
      <c r="M76" s="7">
        <v>0.08</v>
      </c>
      <c r="N76" s="7">
        <v>0.03</v>
      </c>
      <c r="O76" s="22">
        <v>6.8400000000000007</v>
      </c>
    </row>
    <row r="77" spans="1:15" x14ac:dyDescent="0.2">
      <c r="B77" s="2" t="s">
        <v>293</v>
      </c>
      <c r="C77" s="7">
        <v>13.69</v>
      </c>
      <c r="D77" s="7">
        <v>16.579999999999998</v>
      </c>
      <c r="E77" s="7">
        <v>39.590000000000003</v>
      </c>
      <c r="F77" s="7">
        <v>88.5</v>
      </c>
      <c r="G77" s="7">
        <v>216.32</v>
      </c>
      <c r="H77" s="7">
        <v>301.89</v>
      </c>
      <c r="I77" s="7">
        <v>275.06</v>
      </c>
      <c r="J77" s="7">
        <v>383.92</v>
      </c>
      <c r="K77" s="7">
        <v>222.92</v>
      </c>
      <c r="L77" s="7">
        <v>414.97</v>
      </c>
      <c r="M77" s="7">
        <v>74.03</v>
      </c>
      <c r="N77" s="7">
        <v>5.71</v>
      </c>
      <c r="O77" s="22">
        <v>2053.1799999999998</v>
      </c>
    </row>
    <row r="78" spans="1:15" x14ac:dyDescent="0.2">
      <c r="B78" s="2" t="s">
        <v>294</v>
      </c>
      <c r="C78" s="7">
        <v>1.17</v>
      </c>
      <c r="D78" s="7">
        <v>0.56999999999999995</v>
      </c>
      <c r="E78" s="7">
        <v>0.93</v>
      </c>
      <c r="F78" s="7">
        <v>0.76</v>
      </c>
      <c r="G78" s="7">
        <v>0.65</v>
      </c>
      <c r="H78" s="7">
        <v>0.56999999999999995</v>
      </c>
      <c r="I78" s="7">
        <v>0.42</v>
      </c>
      <c r="J78" s="7">
        <v>0.56000000000000005</v>
      </c>
      <c r="K78" s="7">
        <v>0.46</v>
      </c>
      <c r="L78" s="7">
        <v>0.44</v>
      </c>
      <c r="M78" s="7">
        <v>0.52</v>
      </c>
      <c r="N78" s="7">
        <v>0.35</v>
      </c>
      <c r="O78" s="22">
        <v>7.4</v>
      </c>
    </row>
    <row r="79" spans="1:15" x14ac:dyDescent="0.2">
      <c r="B79" s="2" t="s">
        <v>295</v>
      </c>
      <c r="C79" s="7">
        <v>0.01</v>
      </c>
      <c r="D79" s="7">
        <v>0.01</v>
      </c>
      <c r="E79" s="7">
        <v>0.01</v>
      </c>
      <c r="F79" s="7">
        <v>0.05</v>
      </c>
      <c r="G79" s="7">
        <v>0.01</v>
      </c>
      <c r="H79" s="7">
        <v>0.02</v>
      </c>
      <c r="I79" s="7">
        <v>0.01</v>
      </c>
      <c r="J79" s="7">
        <v>0.01</v>
      </c>
      <c r="K79" s="7">
        <v>0.01</v>
      </c>
      <c r="L79" s="7">
        <v>0</v>
      </c>
      <c r="M79" s="7">
        <v>0.01</v>
      </c>
      <c r="N79" s="7">
        <v>0</v>
      </c>
      <c r="O79" s="22">
        <v>0.15000000000000002</v>
      </c>
    </row>
    <row r="80" spans="1:15" x14ac:dyDescent="0.2">
      <c r="B80" s="2" t="s">
        <v>296</v>
      </c>
      <c r="C80" s="7">
        <v>0.04</v>
      </c>
      <c r="D80" s="7">
        <v>0</v>
      </c>
      <c r="E80" s="7">
        <v>0.03</v>
      </c>
      <c r="F80" s="7">
        <v>0.02</v>
      </c>
      <c r="G80" s="7">
        <v>0.04</v>
      </c>
      <c r="H80" s="7">
        <v>0</v>
      </c>
      <c r="I80" s="7">
        <v>0.01</v>
      </c>
      <c r="J80" s="7">
        <v>0.04</v>
      </c>
      <c r="K80" s="7">
        <v>0.04</v>
      </c>
      <c r="L80" s="7">
        <v>0.01</v>
      </c>
      <c r="M80" s="7">
        <v>0.03</v>
      </c>
      <c r="N80" s="7">
        <v>0.05</v>
      </c>
      <c r="O80" s="22">
        <v>0.31</v>
      </c>
    </row>
    <row r="81" spans="1:15" ht="12.75" customHeight="1" x14ac:dyDescent="0.2">
      <c r="C81" s="7"/>
      <c r="D81" s="7"/>
      <c r="E81" s="7"/>
      <c r="F81" s="7"/>
      <c r="G81" s="7"/>
      <c r="H81" s="7"/>
      <c r="I81" s="7"/>
      <c r="J81" s="7"/>
      <c r="K81" s="7"/>
      <c r="L81" s="7"/>
      <c r="M81" s="7"/>
      <c r="N81" s="7"/>
    </row>
    <row r="82" spans="1:15" s="4" customFormat="1" ht="15" x14ac:dyDescent="0.25">
      <c r="A82" s="3" t="s">
        <v>88</v>
      </c>
      <c r="C82" s="5">
        <v>527.4</v>
      </c>
      <c r="D82" s="5">
        <v>205.10000000000002</v>
      </c>
      <c r="E82" s="5">
        <v>237.28</v>
      </c>
      <c r="F82" s="5">
        <v>125.27</v>
      </c>
      <c r="G82" s="5">
        <v>125.41</v>
      </c>
      <c r="H82" s="5">
        <v>180.81</v>
      </c>
      <c r="I82" s="5">
        <v>377.10999999999996</v>
      </c>
      <c r="J82" s="5">
        <v>236.65</v>
      </c>
      <c r="K82" s="5">
        <v>132.23000000000002</v>
      </c>
      <c r="L82" s="5">
        <v>230.15</v>
      </c>
      <c r="M82" s="5">
        <v>285.83999999999997</v>
      </c>
      <c r="N82" s="5">
        <v>186.26000000000002</v>
      </c>
      <c r="O82" s="21">
        <v>2849.5100000000007</v>
      </c>
    </row>
    <row r="83" spans="1:15" x14ac:dyDescent="0.2">
      <c r="B83" s="2" t="s">
        <v>297</v>
      </c>
      <c r="C83" s="7">
        <v>4.8899999999999997</v>
      </c>
      <c r="D83" s="7">
        <v>0.85</v>
      </c>
      <c r="E83" s="7">
        <v>3.87</v>
      </c>
      <c r="F83" s="7">
        <v>2.75</v>
      </c>
      <c r="G83" s="7">
        <v>3.74</v>
      </c>
      <c r="H83" s="7">
        <v>2.87</v>
      </c>
      <c r="I83" s="7">
        <v>1.78</v>
      </c>
      <c r="J83" s="7">
        <v>2.17</v>
      </c>
      <c r="K83" s="7">
        <v>1.9</v>
      </c>
      <c r="L83" s="7">
        <v>2.59</v>
      </c>
      <c r="M83" s="7">
        <v>2.34</v>
      </c>
      <c r="N83" s="7">
        <v>0.7</v>
      </c>
      <c r="O83" s="22">
        <v>30.45</v>
      </c>
    </row>
    <row r="84" spans="1:15" x14ac:dyDescent="0.2">
      <c r="B84" s="2" t="s">
        <v>298</v>
      </c>
      <c r="C84" s="7">
        <v>1.2</v>
      </c>
      <c r="D84" s="7">
        <v>0.98</v>
      </c>
      <c r="E84" s="7">
        <v>2.4</v>
      </c>
      <c r="F84" s="7">
        <v>1.77</v>
      </c>
      <c r="G84" s="7">
        <v>4.99</v>
      </c>
      <c r="H84" s="7">
        <v>8.9</v>
      </c>
      <c r="I84" s="7">
        <v>11.06</v>
      </c>
      <c r="J84" s="7">
        <v>5.43</v>
      </c>
      <c r="K84" s="7">
        <v>0.64</v>
      </c>
      <c r="L84" s="7">
        <v>1.0900000000000001</v>
      </c>
      <c r="M84" s="7">
        <v>1.7</v>
      </c>
      <c r="N84" s="7">
        <v>0.63</v>
      </c>
      <c r="O84" s="22">
        <v>40.790000000000013</v>
      </c>
    </row>
    <row r="85" spans="1:15" x14ac:dyDescent="0.2">
      <c r="B85" s="2" t="s">
        <v>299</v>
      </c>
      <c r="C85" s="7">
        <v>26.17</v>
      </c>
      <c r="D85" s="7">
        <v>1.22</v>
      </c>
      <c r="E85" s="7">
        <v>6.6</v>
      </c>
      <c r="F85" s="7">
        <v>5.25</v>
      </c>
      <c r="G85" s="7">
        <v>6.31</v>
      </c>
      <c r="H85" s="7">
        <v>37.01</v>
      </c>
      <c r="I85" s="7">
        <v>64.239999999999995</v>
      </c>
      <c r="J85" s="7">
        <v>9.64</v>
      </c>
      <c r="K85" s="7">
        <v>2.1</v>
      </c>
      <c r="L85" s="7">
        <v>0</v>
      </c>
      <c r="M85" s="7">
        <v>0.04</v>
      </c>
      <c r="N85" s="7">
        <v>0</v>
      </c>
      <c r="O85" s="22">
        <v>158.57999999999998</v>
      </c>
    </row>
    <row r="86" spans="1:15" x14ac:dyDescent="0.2">
      <c r="B86" s="2" t="s">
        <v>300</v>
      </c>
      <c r="C86" s="7">
        <v>495.14</v>
      </c>
      <c r="D86" s="7">
        <v>202.05</v>
      </c>
      <c r="E86" s="7">
        <v>224.41</v>
      </c>
      <c r="F86" s="7">
        <v>115.5</v>
      </c>
      <c r="G86" s="7">
        <v>110.37</v>
      </c>
      <c r="H86" s="7">
        <v>132.03</v>
      </c>
      <c r="I86" s="7">
        <v>300.02999999999997</v>
      </c>
      <c r="J86" s="7">
        <v>219.41</v>
      </c>
      <c r="K86" s="7">
        <v>127.59</v>
      </c>
      <c r="L86" s="7">
        <v>226.47</v>
      </c>
      <c r="M86" s="7">
        <v>281.76</v>
      </c>
      <c r="N86" s="7">
        <v>184.93</v>
      </c>
      <c r="O86" s="22">
        <v>2619.6899999999991</v>
      </c>
    </row>
    <row r="88" spans="1:15" ht="12.75" customHeight="1" x14ac:dyDescent="0.2">
      <c r="C88" s="7"/>
      <c r="D88" s="7"/>
      <c r="E88" s="7"/>
      <c r="F88" s="7"/>
      <c r="G88" s="7"/>
      <c r="H88" s="7"/>
      <c r="I88" s="7"/>
      <c r="J88" s="7"/>
      <c r="K88" s="7"/>
      <c r="L88" s="7"/>
      <c r="M88" s="7"/>
      <c r="N88" s="7"/>
    </row>
    <row r="89" spans="1:15" s="4" customFormat="1" ht="15" x14ac:dyDescent="0.25">
      <c r="A89" s="3" t="s">
        <v>92</v>
      </c>
      <c r="C89" s="5">
        <v>173.49</v>
      </c>
      <c r="D89" s="5">
        <v>149.53</v>
      </c>
      <c r="E89" s="5">
        <v>256.61</v>
      </c>
      <c r="F89" s="5">
        <v>215.38000000000002</v>
      </c>
      <c r="G89" s="5">
        <v>210.26</v>
      </c>
      <c r="H89" s="5">
        <v>204.60999999999999</v>
      </c>
      <c r="I89" s="5">
        <v>155.03</v>
      </c>
      <c r="J89" s="5">
        <v>139.9</v>
      </c>
      <c r="K89" s="5">
        <v>113.84</v>
      </c>
      <c r="L89" s="5">
        <v>159.16999999999999</v>
      </c>
      <c r="M89" s="5">
        <v>163.73999999999998</v>
      </c>
      <c r="N89" s="5">
        <v>87.850000000000009</v>
      </c>
      <c r="O89" s="21">
        <v>2029.4099999999999</v>
      </c>
    </row>
    <row r="90" spans="1:15" x14ac:dyDescent="0.2">
      <c r="B90" s="2" t="s">
        <v>301</v>
      </c>
      <c r="C90" s="7">
        <v>170.8</v>
      </c>
      <c r="D90" s="7">
        <v>148.12</v>
      </c>
      <c r="E90" s="7">
        <v>251.51</v>
      </c>
      <c r="F90" s="7">
        <v>211.86</v>
      </c>
      <c r="G90" s="7">
        <v>207.01</v>
      </c>
      <c r="H90" s="7">
        <v>201.51</v>
      </c>
      <c r="I90" s="7">
        <v>152.26</v>
      </c>
      <c r="J90" s="7">
        <v>137.58000000000001</v>
      </c>
      <c r="K90" s="7">
        <v>111.81</v>
      </c>
      <c r="L90" s="7">
        <v>156.6</v>
      </c>
      <c r="M90" s="7">
        <v>160.26</v>
      </c>
      <c r="N90" s="7">
        <v>86.2</v>
      </c>
      <c r="O90" s="22">
        <v>1995.5199999999998</v>
      </c>
    </row>
    <row r="91" spans="1:15" x14ac:dyDescent="0.2">
      <c r="B91" s="2" t="s">
        <v>302</v>
      </c>
      <c r="C91" s="7">
        <v>2.68</v>
      </c>
      <c r="D91" s="7">
        <v>1.41</v>
      </c>
      <c r="E91" s="7">
        <v>5.0999999999999996</v>
      </c>
      <c r="F91" s="7">
        <v>3.52</v>
      </c>
      <c r="G91" s="7">
        <v>3.25</v>
      </c>
      <c r="H91" s="7">
        <v>3.1</v>
      </c>
      <c r="I91" s="7">
        <v>2.77</v>
      </c>
      <c r="J91" s="7">
        <v>2.2799999999999998</v>
      </c>
      <c r="K91" s="7">
        <v>2.0299999999999998</v>
      </c>
      <c r="L91" s="7">
        <v>2.57</v>
      </c>
      <c r="M91" s="7">
        <v>3.48</v>
      </c>
      <c r="N91" s="7">
        <v>1.65</v>
      </c>
      <c r="O91" s="22">
        <v>33.839999999999996</v>
      </c>
    </row>
    <row r="92" spans="1:15" x14ac:dyDescent="0.2">
      <c r="B92" s="2" t="s">
        <v>303</v>
      </c>
      <c r="C92" s="7">
        <v>0.01</v>
      </c>
      <c r="D92" s="7">
        <v>0</v>
      </c>
      <c r="E92" s="7">
        <v>0</v>
      </c>
      <c r="F92" s="7">
        <v>0</v>
      </c>
      <c r="G92" s="7">
        <v>0</v>
      </c>
      <c r="H92" s="7">
        <v>0</v>
      </c>
      <c r="I92" s="7">
        <v>0</v>
      </c>
      <c r="J92" s="7">
        <v>0.04</v>
      </c>
      <c r="K92" s="7">
        <v>0</v>
      </c>
      <c r="L92" s="7">
        <v>0</v>
      </c>
      <c r="M92" s="7">
        <v>0</v>
      </c>
      <c r="N92" s="7">
        <v>0</v>
      </c>
      <c r="O92" s="22">
        <v>0.05</v>
      </c>
    </row>
    <row r="93" spans="1:15" ht="12.75" customHeight="1" x14ac:dyDescent="0.2">
      <c r="C93" s="7"/>
      <c r="D93" s="7"/>
      <c r="E93" s="7"/>
      <c r="F93" s="7"/>
      <c r="G93" s="7"/>
      <c r="H93" s="7"/>
      <c r="I93" s="7"/>
      <c r="J93" s="7"/>
      <c r="K93" s="7"/>
      <c r="L93" s="7"/>
      <c r="M93" s="7"/>
      <c r="N93" s="7"/>
    </row>
    <row r="94" spans="1:15" s="4" customFormat="1" ht="15" x14ac:dyDescent="0.25">
      <c r="A94" s="3" t="s">
        <v>96</v>
      </c>
      <c r="C94" s="5">
        <v>37.08</v>
      </c>
      <c r="D94" s="5">
        <v>17.77</v>
      </c>
      <c r="E94" s="5">
        <v>31.38</v>
      </c>
      <c r="F94" s="5">
        <v>22.08</v>
      </c>
      <c r="G94" s="5">
        <v>33.659999999999997</v>
      </c>
      <c r="H94" s="5">
        <v>31.3</v>
      </c>
      <c r="I94" s="5">
        <v>45.33</v>
      </c>
      <c r="J94" s="5">
        <v>16.73</v>
      </c>
      <c r="K94" s="5">
        <v>18.88</v>
      </c>
      <c r="L94" s="5">
        <v>14.64</v>
      </c>
      <c r="M94" s="5">
        <v>24.45</v>
      </c>
      <c r="N94" s="5">
        <v>14.879999999999999</v>
      </c>
      <c r="O94" s="21">
        <v>308.17999999999995</v>
      </c>
    </row>
    <row r="95" spans="1:15" x14ac:dyDescent="0.2">
      <c r="B95" s="2" t="s">
        <v>304</v>
      </c>
      <c r="C95" s="7">
        <v>31.2</v>
      </c>
      <c r="D95" s="7">
        <v>14.37</v>
      </c>
      <c r="E95" s="7">
        <v>21.59</v>
      </c>
      <c r="F95" s="7">
        <v>15.93</v>
      </c>
      <c r="G95" s="7">
        <v>26.58</v>
      </c>
      <c r="H95" s="7">
        <v>24.81</v>
      </c>
      <c r="I95" s="7">
        <v>39.32</v>
      </c>
      <c r="J95" s="7">
        <v>11.83</v>
      </c>
      <c r="K95" s="7">
        <v>14.68</v>
      </c>
      <c r="L95" s="7">
        <v>8.2799999999999994</v>
      </c>
      <c r="M95" s="7">
        <v>16.14</v>
      </c>
      <c r="N95" s="7">
        <v>11.41</v>
      </c>
      <c r="O95" s="22">
        <v>236.14000000000001</v>
      </c>
    </row>
    <row r="96" spans="1:15" x14ac:dyDescent="0.2">
      <c r="B96" s="2" t="s">
        <v>305</v>
      </c>
      <c r="C96" s="7">
        <v>0.59</v>
      </c>
      <c r="D96" s="7">
        <v>0.26</v>
      </c>
      <c r="E96" s="7">
        <v>0.88</v>
      </c>
      <c r="F96" s="7">
        <v>0.54</v>
      </c>
      <c r="G96" s="7">
        <v>0.69</v>
      </c>
      <c r="H96" s="7">
        <v>0.44</v>
      </c>
      <c r="I96" s="7">
        <v>0.39</v>
      </c>
      <c r="J96" s="7">
        <v>0.36</v>
      </c>
      <c r="K96" s="7">
        <v>0.31</v>
      </c>
      <c r="L96" s="7">
        <v>0.5</v>
      </c>
      <c r="M96" s="7">
        <v>0.86</v>
      </c>
      <c r="N96" s="7">
        <v>0.26</v>
      </c>
      <c r="O96" s="22">
        <v>6.08</v>
      </c>
    </row>
    <row r="97" spans="1:15" x14ac:dyDescent="0.2">
      <c r="B97" s="2" t="s">
        <v>306</v>
      </c>
      <c r="C97" s="7">
        <v>5.29</v>
      </c>
      <c r="D97" s="7">
        <v>3.14</v>
      </c>
      <c r="E97" s="7">
        <v>8.91</v>
      </c>
      <c r="F97" s="7">
        <v>5.61</v>
      </c>
      <c r="G97" s="7">
        <v>6.39</v>
      </c>
      <c r="H97" s="7">
        <v>6.05</v>
      </c>
      <c r="I97" s="7">
        <v>5.62</v>
      </c>
      <c r="J97" s="7">
        <v>4.54</v>
      </c>
      <c r="K97" s="7">
        <v>3.89</v>
      </c>
      <c r="L97" s="7">
        <v>5.86</v>
      </c>
      <c r="M97" s="7">
        <v>7.45</v>
      </c>
      <c r="N97" s="7">
        <v>3.21</v>
      </c>
      <c r="O97" s="22">
        <v>65.959999999999994</v>
      </c>
    </row>
    <row r="98" spans="1:15" x14ac:dyDescent="0.2">
      <c r="B98" s="2" t="s">
        <v>307</v>
      </c>
      <c r="C98" s="7">
        <v>0</v>
      </c>
      <c r="D98" s="7">
        <v>0</v>
      </c>
      <c r="E98" s="7">
        <v>0</v>
      </c>
      <c r="F98" s="7">
        <v>0</v>
      </c>
      <c r="G98" s="7">
        <v>0</v>
      </c>
      <c r="H98" s="7">
        <v>0</v>
      </c>
      <c r="I98" s="7">
        <v>0</v>
      </c>
      <c r="J98" s="7">
        <v>0</v>
      </c>
      <c r="K98" s="7">
        <v>0</v>
      </c>
      <c r="L98" s="7">
        <v>0</v>
      </c>
      <c r="M98" s="7">
        <v>0</v>
      </c>
      <c r="N98" s="7">
        <v>0</v>
      </c>
      <c r="O98" s="22">
        <v>0</v>
      </c>
    </row>
    <row r="99" spans="1:15" ht="12.75" customHeight="1" x14ac:dyDescent="0.2">
      <c r="C99" s="7"/>
      <c r="D99" s="7"/>
      <c r="E99" s="7"/>
      <c r="F99" s="7"/>
      <c r="G99" s="7"/>
      <c r="H99" s="7"/>
      <c r="I99" s="7"/>
      <c r="J99" s="7"/>
      <c r="K99" s="7"/>
      <c r="L99" s="7"/>
      <c r="M99" s="7"/>
      <c r="N99" s="7"/>
    </row>
    <row r="100" spans="1:15" s="4" customFormat="1" ht="15" x14ac:dyDescent="0.25">
      <c r="A100" s="3" t="s">
        <v>102</v>
      </c>
      <c r="C100" s="5">
        <v>27.310000000000002</v>
      </c>
      <c r="D100" s="5">
        <v>7.77</v>
      </c>
      <c r="E100" s="5">
        <v>23.740000000000002</v>
      </c>
      <c r="F100" s="5">
        <v>11.049999999999999</v>
      </c>
      <c r="G100" s="5">
        <v>3.9499999999999997</v>
      </c>
      <c r="H100" s="5">
        <v>3.0100000000000002</v>
      </c>
      <c r="I100" s="5">
        <v>3.3800000000000003</v>
      </c>
      <c r="J100" s="5">
        <v>2.4300000000000002</v>
      </c>
      <c r="K100" s="5">
        <v>7.4399999999999995</v>
      </c>
      <c r="L100" s="5">
        <v>6.93</v>
      </c>
      <c r="M100" s="5">
        <v>1.59</v>
      </c>
      <c r="N100" s="5">
        <v>2.42</v>
      </c>
      <c r="O100" s="21">
        <v>101.02000000000002</v>
      </c>
    </row>
    <row r="101" spans="1:15" x14ac:dyDescent="0.2">
      <c r="B101" s="2" t="s">
        <v>308</v>
      </c>
      <c r="C101" s="7">
        <v>25.21</v>
      </c>
      <c r="D101" s="7">
        <v>6.95</v>
      </c>
      <c r="E101" s="7">
        <v>15.47</v>
      </c>
      <c r="F101" s="7">
        <v>6.6</v>
      </c>
      <c r="G101" s="7">
        <v>2.77</v>
      </c>
      <c r="H101" s="7">
        <v>1.99</v>
      </c>
      <c r="I101" s="7">
        <v>1.8</v>
      </c>
      <c r="J101" s="7">
        <v>1.83</v>
      </c>
      <c r="K101" s="7">
        <v>1.1599999999999999</v>
      </c>
      <c r="L101" s="7">
        <v>1.38</v>
      </c>
      <c r="M101" s="7">
        <v>0.45</v>
      </c>
      <c r="N101" s="7">
        <v>0.64</v>
      </c>
      <c r="O101" s="22">
        <v>66.25</v>
      </c>
    </row>
    <row r="102" spans="1:15" x14ac:dyDescent="0.2">
      <c r="B102" s="2" t="s">
        <v>309</v>
      </c>
      <c r="C102" s="7">
        <v>0</v>
      </c>
      <c r="D102" s="7">
        <v>0</v>
      </c>
      <c r="E102" s="7">
        <v>0</v>
      </c>
      <c r="F102" s="7">
        <v>0</v>
      </c>
      <c r="G102" s="7">
        <v>0</v>
      </c>
      <c r="H102" s="7">
        <v>0</v>
      </c>
      <c r="I102" s="7">
        <v>0</v>
      </c>
      <c r="J102" s="7">
        <v>0</v>
      </c>
      <c r="K102" s="7">
        <v>0</v>
      </c>
      <c r="L102" s="7">
        <v>0</v>
      </c>
      <c r="M102" s="7">
        <v>0</v>
      </c>
      <c r="N102" s="7">
        <v>0.01</v>
      </c>
      <c r="O102" s="22">
        <v>0.01</v>
      </c>
    </row>
    <row r="103" spans="1:15" x14ac:dyDescent="0.2">
      <c r="B103" s="2" t="s">
        <v>310</v>
      </c>
      <c r="C103" s="7">
        <v>0.3</v>
      </c>
      <c r="D103" s="7">
        <v>0.43</v>
      </c>
      <c r="E103" s="7">
        <v>8.1999999999999993</v>
      </c>
      <c r="F103" s="7">
        <v>3.85</v>
      </c>
      <c r="G103" s="7">
        <v>0.86</v>
      </c>
      <c r="H103" s="7">
        <v>0.38</v>
      </c>
      <c r="I103" s="7">
        <v>0.98</v>
      </c>
      <c r="J103" s="7">
        <v>0.4</v>
      </c>
      <c r="K103" s="7">
        <v>6.06</v>
      </c>
      <c r="L103" s="7">
        <v>5.35</v>
      </c>
      <c r="M103" s="7">
        <v>0.92</v>
      </c>
      <c r="N103" s="7">
        <v>1.46</v>
      </c>
      <c r="O103" s="22">
        <v>29.190000000000005</v>
      </c>
    </row>
    <row r="104" spans="1:15" x14ac:dyDescent="0.2">
      <c r="B104" s="2" t="s">
        <v>311</v>
      </c>
      <c r="C104" s="7">
        <v>1.8</v>
      </c>
      <c r="D104" s="7">
        <v>0.39</v>
      </c>
      <c r="E104" s="7">
        <v>7.0000000000000007E-2</v>
      </c>
      <c r="F104" s="7">
        <v>0.6</v>
      </c>
      <c r="G104" s="7">
        <v>0.32</v>
      </c>
      <c r="H104" s="7">
        <v>0.64</v>
      </c>
      <c r="I104" s="7">
        <v>0.6</v>
      </c>
      <c r="J104" s="7">
        <v>0.2</v>
      </c>
      <c r="K104" s="7">
        <v>0.22</v>
      </c>
      <c r="L104" s="7">
        <v>0.2</v>
      </c>
      <c r="M104" s="7">
        <v>0.22</v>
      </c>
      <c r="N104" s="7">
        <v>0.31</v>
      </c>
      <c r="O104" s="22">
        <v>5.5699999999999994</v>
      </c>
    </row>
    <row r="105" spans="1:15" ht="12.75" customHeight="1" x14ac:dyDescent="0.2">
      <c r="C105" s="7"/>
      <c r="D105" s="7"/>
      <c r="E105" s="7"/>
      <c r="F105" s="7"/>
      <c r="G105" s="7"/>
      <c r="H105" s="7"/>
      <c r="I105" s="7"/>
      <c r="J105" s="7"/>
      <c r="K105" s="7"/>
      <c r="L105" s="7"/>
      <c r="M105" s="7"/>
      <c r="N105" s="7"/>
      <c r="O105" s="2" t="s">
        <v>6</v>
      </c>
    </row>
    <row r="106" spans="1:15" s="4" customFormat="1" ht="15" x14ac:dyDescent="0.25">
      <c r="A106" s="3" t="s">
        <v>107</v>
      </c>
      <c r="C106" s="5">
        <v>559.71</v>
      </c>
      <c r="D106" s="5">
        <v>460.29000000000008</v>
      </c>
      <c r="E106" s="5">
        <v>843.82</v>
      </c>
      <c r="F106" s="5">
        <v>632.39</v>
      </c>
      <c r="G106" s="5">
        <v>671.06999999999994</v>
      </c>
      <c r="H106" s="5">
        <v>590.30000000000007</v>
      </c>
      <c r="I106" s="5">
        <v>537.92999999999995</v>
      </c>
      <c r="J106" s="5">
        <v>536.93000000000006</v>
      </c>
      <c r="K106" s="5">
        <v>423.88</v>
      </c>
      <c r="L106" s="5">
        <v>618.18000000000006</v>
      </c>
      <c r="M106" s="5">
        <v>612.06000000000006</v>
      </c>
      <c r="N106" s="5">
        <v>407.05</v>
      </c>
      <c r="O106" s="21">
        <v>6893.6100000000015</v>
      </c>
    </row>
    <row r="107" spans="1:15" x14ac:dyDescent="0.2">
      <c r="B107" s="2" t="s">
        <v>312</v>
      </c>
      <c r="C107" s="7">
        <v>2.94</v>
      </c>
      <c r="D107" s="7">
        <v>1.71</v>
      </c>
      <c r="E107" s="7">
        <v>5.67</v>
      </c>
      <c r="F107" s="7">
        <v>5.47</v>
      </c>
      <c r="G107" s="7">
        <v>3.02</v>
      </c>
      <c r="H107" s="7">
        <v>4</v>
      </c>
      <c r="I107" s="7">
        <v>4.58</v>
      </c>
      <c r="J107" s="7">
        <v>4.5199999999999996</v>
      </c>
      <c r="K107" s="7">
        <v>2.98</v>
      </c>
      <c r="L107" s="7">
        <v>6.38</v>
      </c>
      <c r="M107" s="7">
        <v>6.66</v>
      </c>
      <c r="N107" s="7">
        <v>3.96</v>
      </c>
      <c r="O107" s="22">
        <v>51.890000000000008</v>
      </c>
    </row>
    <row r="108" spans="1:15" x14ac:dyDescent="0.2">
      <c r="B108" s="2" t="s">
        <v>313</v>
      </c>
      <c r="C108" s="7">
        <v>0.21</v>
      </c>
      <c r="D108" s="7">
        <v>0.01</v>
      </c>
      <c r="E108" s="7">
        <v>0.01</v>
      </c>
      <c r="F108" s="7">
        <v>0.03</v>
      </c>
      <c r="G108" s="7">
        <v>0.01</v>
      </c>
      <c r="H108" s="7">
        <v>0.03</v>
      </c>
      <c r="I108" s="7">
        <v>0.05</v>
      </c>
      <c r="J108" s="7">
        <v>0.02</v>
      </c>
      <c r="K108" s="7">
        <v>0</v>
      </c>
      <c r="L108" s="7">
        <v>0.03</v>
      </c>
      <c r="M108" s="7">
        <v>0.06</v>
      </c>
      <c r="N108" s="7">
        <v>0.01</v>
      </c>
      <c r="O108" s="22">
        <v>0.47000000000000003</v>
      </c>
    </row>
    <row r="109" spans="1:15" x14ac:dyDescent="0.2">
      <c r="B109" s="2" t="s">
        <v>314</v>
      </c>
      <c r="C109" s="7">
        <v>252.16</v>
      </c>
      <c r="D109" s="7">
        <v>128.61000000000001</v>
      </c>
      <c r="E109" s="7">
        <v>290.72000000000003</v>
      </c>
      <c r="F109" s="7">
        <v>261.22000000000003</v>
      </c>
      <c r="G109" s="7">
        <v>211.67</v>
      </c>
      <c r="H109" s="7">
        <v>204.06</v>
      </c>
      <c r="I109" s="7">
        <v>215.63</v>
      </c>
      <c r="J109" s="7">
        <v>197.06</v>
      </c>
      <c r="K109" s="7">
        <v>137.53</v>
      </c>
      <c r="L109" s="7">
        <v>205.15</v>
      </c>
      <c r="M109" s="7">
        <v>224.75</v>
      </c>
      <c r="N109" s="7">
        <v>114.62</v>
      </c>
      <c r="O109" s="22">
        <v>2443.1799999999998</v>
      </c>
    </row>
    <row r="110" spans="1:15" x14ac:dyDescent="0.2">
      <c r="B110" s="2" t="s">
        <v>315</v>
      </c>
      <c r="C110" s="7">
        <v>275.89</v>
      </c>
      <c r="D110" s="7">
        <v>292.49</v>
      </c>
      <c r="E110" s="7">
        <v>480.42</v>
      </c>
      <c r="F110" s="7">
        <v>316.12</v>
      </c>
      <c r="G110" s="7">
        <v>403.33</v>
      </c>
      <c r="H110" s="7">
        <v>333.6</v>
      </c>
      <c r="I110" s="7">
        <v>275.02999999999997</v>
      </c>
      <c r="J110" s="7">
        <v>297.39</v>
      </c>
      <c r="K110" s="7">
        <v>251.15</v>
      </c>
      <c r="L110" s="7">
        <v>367.4</v>
      </c>
      <c r="M110" s="7">
        <v>334.99</v>
      </c>
      <c r="N110" s="7">
        <v>263.51</v>
      </c>
      <c r="O110" s="22">
        <v>3891.3200000000006</v>
      </c>
    </row>
    <row r="111" spans="1:15" x14ac:dyDescent="0.2">
      <c r="B111" s="2" t="s">
        <v>316</v>
      </c>
      <c r="C111" s="7">
        <v>28.51</v>
      </c>
      <c r="D111" s="7">
        <v>37.47</v>
      </c>
      <c r="E111" s="7">
        <v>67</v>
      </c>
      <c r="F111" s="7">
        <v>49.55</v>
      </c>
      <c r="G111" s="7">
        <v>53.04</v>
      </c>
      <c r="H111" s="7">
        <v>48.61</v>
      </c>
      <c r="I111" s="7">
        <v>42.64</v>
      </c>
      <c r="J111" s="7">
        <v>37.94</v>
      </c>
      <c r="K111" s="7">
        <v>32.22</v>
      </c>
      <c r="L111" s="7">
        <v>39.22</v>
      </c>
      <c r="M111" s="7">
        <v>45.6</v>
      </c>
      <c r="N111" s="7">
        <v>24.95</v>
      </c>
      <c r="O111" s="22">
        <v>506.75000000000006</v>
      </c>
    </row>
    <row r="112" spans="1:15" x14ac:dyDescent="0.2">
      <c r="C112" s="7"/>
      <c r="D112" s="7"/>
      <c r="E112" s="7"/>
      <c r="F112" s="7"/>
      <c r="G112" s="7"/>
      <c r="H112" s="7"/>
      <c r="I112" s="7"/>
      <c r="J112" s="7"/>
      <c r="K112" s="7"/>
      <c r="L112" s="7"/>
      <c r="M112" s="7"/>
      <c r="N112" s="7"/>
    </row>
    <row r="113" spans="1:15" s="4" customFormat="1" ht="15" x14ac:dyDescent="0.25">
      <c r="A113" s="3" t="s">
        <v>113</v>
      </c>
      <c r="C113" s="5">
        <v>69.100000000000009</v>
      </c>
      <c r="D113" s="5">
        <v>33.660000000000004</v>
      </c>
      <c r="E113" s="5">
        <v>78.759999999999991</v>
      </c>
      <c r="F113" s="5">
        <v>64.47</v>
      </c>
      <c r="G113" s="5">
        <v>70.600000000000009</v>
      </c>
      <c r="H113" s="5">
        <v>64.28</v>
      </c>
      <c r="I113" s="5">
        <v>52.72</v>
      </c>
      <c r="J113" s="5">
        <v>52.54</v>
      </c>
      <c r="K113" s="5">
        <v>51.13</v>
      </c>
      <c r="L113" s="5">
        <v>55.809999999999995</v>
      </c>
      <c r="M113" s="5">
        <v>67.08</v>
      </c>
      <c r="N113" s="5">
        <v>40.719999999999992</v>
      </c>
      <c r="O113" s="21">
        <v>700.87000000000012</v>
      </c>
    </row>
    <row r="114" spans="1:15" x14ac:dyDescent="0.2">
      <c r="B114" s="2" t="s">
        <v>312</v>
      </c>
      <c r="C114" s="7">
        <v>21.27</v>
      </c>
      <c r="D114" s="7">
        <v>12.08</v>
      </c>
      <c r="E114" s="7">
        <v>21.08</v>
      </c>
      <c r="F114" s="7">
        <v>16.43</v>
      </c>
      <c r="G114" s="7">
        <v>18.600000000000001</v>
      </c>
      <c r="H114" s="7">
        <v>17.79</v>
      </c>
      <c r="I114" s="7">
        <v>18.010000000000002</v>
      </c>
      <c r="J114" s="7">
        <v>15.28</v>
      </c>
      <c r="K114" s="7">
        <v>14.22</v>
      </c>
      <c r="L114" s="7">
        <v>18.03</v>
      </c>
      <c r="M114" s="7">
        <v>18.87</v>
      </c>
      <c r="N114" s="7">
        <v>15.44</v>
      </c>
      <c r="O114" s="22">
        <v>207.1</v>
      </c>
    </row>
    <row r="115" spans="1:15" x14ac:dyDescent="0.2">
      <c r="B115" s="2" t="s">
        <v>317</v>
      </c>
      <c r="C115" s="7">
        <v>0</v>
      </c>
      <c r="D115" s="7">
        <v>0.01</v>
      </c>
      <c r="E115" s="7">
        <v>0</v>
      </c>
      <c r="F115" s="7">
        <v>0.03</v>
      </c>
      <c r="G115" s="7">
        <v>0.01</v>
      </c>
      <c r="H115" s="7">
        <v>0.01</v>
      </c>
      <c r="I115" s="7">
        <v>0.01</v>
      </c>
      <c r="J115" s="7">
        <v>0.01</v>
      </c>
      <c r="K115" s="7">
        <v>0</v>
      </c>
      <c r="L115" s="7">
        <v>0.01</v>
      </c>
      <c r="M115" s="7">
        <v>0.01</v>
      </c>
      <c r="N115" s="7">
        <v>0.01</v>
      </c>
      <c r="O115" s="22">
        <v>0.10999999999999999</v>
      </c>
    </row>
    <row r="116" spans="1:15" x14ac:dyDescent="0.2">
      <c r="B116" s="2" t="s">
        <v>318</v>
      </c>
      <c r="C116" s="7">
        <v>0.17</v>
      </c>
      <c r="D116" s="7">
        <v>0.15</v>
      </c>
      <c r="E116" s="7">
        <v>0.09</v>
      </c>
      <c r="F116" s="7">
        <v>7.0000000000000007E-2</v>
      </c>
      <c r="G116" s="7">
        <v>7.0000000000000007E-2</v>
      </c>
      <c r="H116" s="7">
        <v>0.08</v>
      </c>
      <c r="I116" s="7">
        <v>0.11</v>
      </c>
      <c r="J116" s="7">
        <v>0.14000000000000001</v>
      </c>
      <c r="K116" s="7">
        <v>0.91</v>
      </c>
      <c r="L116" s="7">
        <v>0.03</v>
      </c>
      <c r="M116" s="7">
        <v>0.13</v>
      </c>
      <c r="N116" s="7">
        <v>0.06</v>
      </c>
      <c r="O116" s="22">
        <v>2.0100000000000002</v>
      </c>
    </row>
    <row r="117" spans="1:15" x14ac:dyDescent="0.2">
      <c r="B117" s="2" t="s">
        <v>319</v>
      </c>
      <c r="C117" s="7">
        <v>0</v>
      </c>
      <c r="D117" s="7">
        <v>0</v>
      </c>
      <c r="E117" s="7">
        <v>0.01</v>
      </c>
      <c r="F117" s="7">
        <v>0</v>
      </c>
      <c r="G117" s="7">
        <v>0</v>
      </c>
      <c r="H117" s="7">
        <v>0</v>
      </c>
      <c r="I117" s="7">
        <v>0</v>
      </c>
      <c r="J117" s="7">
        <v>0.01</v>
      </c>
      <c r="K117" s="7">
        <v>0</v>
      </c>
      <c r="L117" s="7">
        <v>0.03</v>
      </c>
      <c r="M117" s="7">
        <v>0</v>
      </c>
      <c r="N117" s="7">
        <v>0.01</v>
      </c>
      <c r="O117" s="22">
        <v>6.0000000000000005E-2</v>
      </c>
    </row>
    <row r="118" spans="1:15" x14ac:dyDescent="0.2">
      <c r="B118" s="2" t="s">
        <v>320</v>
      </c>
      <c r="C118" s="7">
        <v>0</v>
      </c>
      <c r="D118" s="7">
        <v>0</v>
      </c>
      <c r="E118" s="7">
        <v>0</v>
      </c>
      <c r="F118" s="7">
        <v>0</v>
      </c>
      <c r="G118" s="7">
        <v>0.01</v>
      </c>
      <c r="H118" s="7">
        <v>0</v>
      </c>
      <c r="I118" s="7">
        <v>0</v>
      </c>
      <c r="J118" s="7">
        <v>0</v>
      </c>
      <c r="K118" s="7">
        <v>0</v>
      </c>
      <c r="L118" s="7">
        <v>0</v>
      </c>
      <c r="M118" s="7">
        <v>0</v>
      </c>
      <c r="N118" s="7">
        <v>0</v>
      </c>
      <c r="O118" s="22">
        <v>0.01</v>
      </c>
    </row>
    <row r="119" spans="1:15" x14ac:dyDescent="0.2">
      <c r="B119" s="2" t="s">
        <v>321</v>
      </c>
      <c r="C119" s="7">
        <v>45.77</v>
      </c>
      <c r="D119" s="7">
        <v>16.190000000000001</v>
      </c>
      <c r="E119" s="7">
        <v>50.64</v>
      </c>
      <c r="F119" s="7">
        <v>46.2</v>
      </c>
      <c r="G119" s="7">
        <v>46.49</v>
      </c>
      <c r="H119" s="7">
        <v>38.67</v>
      </c>
      <c r="I119" s="7">
        <v>33.04</v>
      </c>
      <c r="J119" s="7">
        <v>30.1</v>
      </c>
      <c r="K119" s="7">
        <v>30.54</v>
      </c>
      <c r="L119" s="7">
        <v>35.54</v>
      </c>
      <c r="M119" s="7">
        <v>47.46</v>
      </c>
      <c r="N119" s="7">
        <v>23.33</v>
      </c>
      <c r="O119" s="22">
        <v>443.97000000000008</v>
      </c>
    </row>
    <row r="120" spans="1:15" ht="12.75" customHeight="1" x14ac:dyDescent="0.2">
      <c r="B120" s="2" t="s">
        <v>322</v>
      </c>
      <c r="C120" s="7">
        <v>1.89</v>
      </c>
      <c r="D120" s="7">
        <v>5.13</v>
      </c>
      <c r="E120" s="7">
        <v>6.84</v>
      </c>
      <c r="F120" s="7">
        <v>1.71</v>
      </c>
      <c r="G120" s="7">
        <v>5.33</v>
      </c>
      <c r="H120" s="7">
        <v>7.69</v>
      </c>
      <c r="I120" s="7">
        <v>1.55</v>
      </c>
      <c r="J120" s="7">
        <v>6.97</v>
      </c>
      <c r="K120" s="7">
        <v>5.43</v>
      </c>
      <c r="L120" s="7">
        <v>2.12</v>
      </c>
      <c r="M120" s="7">
        <v>0.56999999999999995</v>
      </c>
      <c r="N120" s="7">
        <v>1.76</v>
      </c>
      <c r="O120" s="22">
        <v>46.989999999999995</v>
      </c>
    </row>
    <row r="121" spans="1:15" ht="12.75" customHeight="1" x14ac:dyDescent="0.2">
      <c r="B121" s="2" t="s">
        <v>323</v>
      </c>
      <c r="C121" s="7">
        <v>0</v>
      </c>
      <c r="D121" s="7">
        <v>0.1</v>
      </c>
      <c r="E121" s="7">
        <v>0.1</v>
      </c>
      <c r="F121" s="7">
        <v>0.03</v>
      </c>
      <c r="G121" s="7">
        <v>0.09</v>
      </c>
      <c r="H121" s="7">
        <v>0.04</v>
      </c>
      <c r="I121" s="7">
        <v>0</v>
      </c>
      <c r="J121" s="7">
        <v>0.03</v>
      </c>
      <c r="K121" s="7">
        <v>0.03</v>
      </c>
      <c r="L121" s="7">
        <v>0.05</v>
      </c>
      <c r="M121" s="7">
        <v>0.04</v>
      </c>
      <c r="N121" s="7">
        <v>0.11</v>
      </c>
      <c r="O121" s="22">
        <v>0.62</v>
      </c>
    </row>
    <row r="122" spans="1:15" ht="12.75" customHeight="1" x14ac:dyDescent="0.2">
      <c r="C122" s="7"/>
      <c r="D122" s="7"/>
      <c r="E122" s="7"/>
      <c r="F122" s="7"/>
      <c r="G122" s="7"/>
      <c r="H122" s="7"/>
      <c r="I122" s="7"/>
      <c r="J122" s="7"/>
      <c r="K122" s="7"/>
      <c r="L122" s="7"/>
      <c r="M122" s="7"/>
      <c r="N122" s="7"/>
    </row>
    <row r="123" spans="1:15" s="4" customFormat="1" ht="12.75" customHeight="1" x14ac:dyDescent="0.25">
      <c r="A123" s="3" t="s">
        <v>121</v>
      </c>
      <c r="C123" s="5">
        <v>2.63</v>
      </c>
      <c r="D123" s="5">
        <v>2.97</v>
      </c>
      <c r="E123" s="5">
        <v>3.36</v>
      </c>
      <c r="F123" s="5">
        <v>9.6199999999999992</v>
      </c>
      <c r="G123" s="5">
        <v>29.65</v>
      </c>
      <c r="H123" s="5">
        <v>3.28</v>
      </c>
      <c r="I123" s="5">
        <v>11.3</v>
      </c>
      <c r="J123" s="5">
        <v>1.35</v>
      </c>
      <c r="K123" s="5">
        <v>7.65</v>
      </c>
      <c r="L123" s="5">
        <v>1.3</v>
      </c>
      <c r="M123" s="5">
        <v>6.76</v>
      </c>
      <c r="N123" s="5">
        <v>1.86</v>
      </c>
      <c r="O123" s="21">
        <v>81.73</v>
      </c>
    </row>
    <row r="124" spans="1:15" ht="12.75" customHeight="1" x14ac:dyDescent="0.2">
      <c r="B124" s="2" t="s">
        <v>312</v>
      </c>
      <c r="C124" s="7">
        <v>2.63</v>
      </c>
      <c r="D124" s="7">
        <v>2.97</v>
      </c>
      <c r="E124" s="7">
        <v>3.36</v>
      </c>
      <c r="F124" s="7">
        <v>9.6199999999999992</v>
      </c>
      <c r="G124" s="7">
        <v>29.65</v>
      </c>
      <c r="H124" s="7">
        <v>3.28</v>
      </c>
      <c r="I124" s="7">
        <v>11.3</v>
      </c>
      <c r="J124" s="7">
        <v>1.35</v>
      </c>
      <c r="K124" s="7">
        <v>7.65</v>
      </c>
      <c r="L124" s="7">
        <v>1.3</v>
      </c>
      <c r="M124" s="7">
        <v>6.76</v>
      </c>
      <c r="N124" s="7">
        <v>1.86</v>
      </c>
      <c r="O124" s="22">
        <v>81.73</v>
      </c>
    </row>
    <row r="125" spans="1:15" ht="12.75" customHeight="1" x14ac:dyDescent="0.2">
      <c r="A125" s="2" t="s">
        <v>6</v>
      </c>
      <c r="C125" s="7"/>
      <c r="D125" s="7"/>
      <c r="E125" s="7"/>
      <c r="F125" s="7"/>
      <c r="G125" s="7"/>
      <c r="H125" s="7"/>
      <c r="I125" s="7"/>
      <c r="J125" s="7"/>
      <c r="K125" s="7"/>
      <c r="L125" s="7"/>
      <c r="M125" s="7"/>
      <c r="N125" s="7"/>
    </row>
    <row r="126" spans="1:15" s="4" customFormat="1" ht="15" x14ac:dyDescent="0.25">
      <c r="A126" s="3" t="s">
        <v>324</v>
      </c>
      <c r="C126" s="5">
        <v>0</v>
      </c>
      <c r="D126" s="5">
        <v>0</v>
      </c>
      <c r="E126" s="5">
        <v>0</v>
      </c>
      <c r="F126" s="5">
        <v>0</v>
      </c>
      <c r="G126" s="5">
        <v>0</v>
      </c>
      <c r="H126" s="5">
        <v>0</v>
      </c>
      <c r="I126" s="5">
        <v>0</v>
      </c>
      <c r="J126" s="5">
        <v>0</v>
      </c>
      <c r="K126" s="5">
        <v>0</v>
      </c>
      <c r="L126" s="5">
        <v>0</v>
      </c>
      <c r="M126" s="5">
        <v>0</v>
      </c>
      <c r="N126" s="5">
        <v>0</v>
      </c>
      <c r="O126" s="21">
        <v>0</v>
      </c>
    </row>
    <row r="127" spans="1:15" ht="15" x14ac:dyDescent="0.25">
      <c r="A127" s="1"/>
      <c r="B127" s="2" t="s">
        <v>325</v>
      </c>
      <c r="C127" s="7">
        <v>0</v>
      </c>
      <c r="D127" s="7">
        <v>0</v>
      </c>
      <c r="E127" s="7">
        <v>0</v>
      </c>
      <c r="F127" s="7">
        <v>0</v>
      </c>
      <c r="G127" s="7">
        <v>0</v>
      </c>
      <c r="H127" s="7">
        <v>0</v>
      </c>
      <c r="I127" s="7">
        <v>0</v>
      </c>
      <c r="J127" s="7">
        <v>0</v>
      </c>
      <c r="K127" s="7">
        <v>0</v>
      </c>
      <c r="L127" s="7">
        <v>0</v>
      </c>
      <c r="M127" s="7">
        <v>0</v>
      </c>
      <c r="N127" s="7">
        <v>0</v>
      </c>
      <c r="O127" s="22">
        <v>0</v>
      </c>
    </row>
    <row r="128" spans="1:15" ht="15" x14ac:dyDescent="0.25">
      <c r="A128" s="1"/>
      <c r="B128" s="2" t="s">
        <v>326</v>
      </c>
      <c r="C128" s="7">
        <v>0</v>
      </c>
      <c r="D128" s="7">
        <v>0</v>
      </c>
      <c r="E128" s="7">
        <v>0</v>
      </c>
      <c r="F128" s="7">
        <v>0</v>
      </c>
      <c r="G128" s="7">
        <v>0</v>
      </c>
      <c r="H128" s="7">
        <v>0</v>
      </c>
      <c r="I128" s="7">
        <v>0</v>
      </c>
      <c r="J128" s="7">
        <v>0</v>
      </c>
      <c r="K128" s="7">
        <v>0</v>
      </c>
      <c r="L128" s="7">
        <v>0</v>
      </c>
      <c r="M128" s="7">
        <v>0</v>
      </c>
      <c r="N128" s="7">
        <v>0</v>
      </c>
      <c r="O128" s="22">
        <v>0</v>
      </c>
    </row>
    <row r="129" spans="1:15" ht="15" x14ac:dyDescent="0.25">
      <c r="A129" s="1"/>
      <c r="B129" s="2" t="s">
        <v>327</v>
      </c>
      <c r="C129" s="7">
        <v>0</v>
      </c>
      <c r="D129" s="7">
        <v>0</v>
      </c>
      <c r="E129" s="7">
        <v>0</v>
      </c>
      <c r="F129" s="7">
        <v>0</v>
      </c>
      <c r="G129" s="7">
        <v>0</v>
      </c>
      <c r="H129" s="7">
        <v>0</v>
      </c>
      <c r="I129" s="7">
        <v>0</v>
      </c>
      <c r="J129" s="7">
        <v>0</v>
      </c>
      <c r="K129" s="7">
        <v>0</v>
      </c>
      <c r="L129" s="7">
        <v>0</v>
      </c>
      <c r="M129" s="7">
        <v>0</v>
      </c>
      <c r="N129" s="7">
        <v>0</v>
      </c>
      <c r="O129" s="22">
        <v>0</v>
      </c>
    </row>
    <row r="130" spans="1:15" ht="15" x14ac:dyDescent="0.25">
      <c r="A130" s="1"/>
      <c r="B130" s="2" t="s">
        <v>328</v>
      </c>
      <c r="C130" s="7">
        <v>0</v>
      </c>
      <c r="D130" s="7">
        <v>0</v>
      </c>
      <c r="E130" s="7">
        <v>0</v>
      </c>
      <c r="F130" s="7">
        <v>0</v>
      </c>
      <c r="G130" s="7">
        <v>0</v>
      </c>
      <c r="H130" s="7">
        <v>0</v>
      </c>
      <c r="I130" s="7">
        <v>0</v>
      </c>
      <c r="J130" s="7">
        <v>0</v>
      </c>
      <c r="K130" s="7">
        <v>0</v>
      </c>
      <c r="L130" s="7">
        <v>0</v>
      </c>
      <c r="M130" s="7">
        <v>0</v>
      </c>
      <c r="N130" s="7">
        <v>0</v>
      </c>
      <c r="O130" s="22">
        <v>0</v>
      </c>
    </row>
    <row r="131" spans="1:15" ht="15" x14ac:dyDescent="0.25">
      <c r="A131" s="1"/>
      <c r="B131" s="2" t="s">
        <v>329</v>
      </c>
      <c r="C131" s="7">
        <v>0</v>
      </c>
      <c r="D131" s="7">
        <v>0</v>
      </c>
      <c r="E131" s="7">
        <v>0</v>
      </c>
      <c r="F131" s="7">
        <v>0</v>
      </c>
      <c r="G131" s="7">
        <v>0</v>
      </c>
      <c r="H131" s="7">
        <v>0</v>
      </c>
      <c r="I131" s="7">
        <v>0</v>
      </c>
      <c r="J131" s="7">
        <v>0</v>
      </c>
      <c r="K131" s="7">
        <v>0</v>
      </c>
      <c r="L131" s="7">
        <v>0</v>
      </c>
      <c r="M131" s="7">
        <v>0</v>
      </c>
      <c r="N131" s="7">
        <v>0</v>
      </c>
      <c r="O131" s="22">
        <v>0</v>
      </c>
    </row>
    <row r="132" spans="1:15" ht="15" x14ac:dyDescent="0.25">
      <c r="A132" s="1"/>
      <c r="B132" s="2" t="s">
        <v>330</v>
      </c>
      <c r="C132" s="7">
        <v>0</v>
      </c>
      <c r="D132" s="7">
        <v>0</v>
      </c>
      <c r="E132" s="7">
        <v>0</v>
      </c>
      <c r="F132" s="7">
        <v>0</v>
      </c>
      <c r="G132" s="7">
        <v>0</v>
      </c>
      <c r="H132" s="7">
        <v>0</v>
      </c>
      <c r="I132" s="7">
        <v>0</v>
      </c>
      <c r="J132" s="7">
        <v>0</v>
      </c>
      <c r="K132" s="7">
        <v>0</v>
      </c>
      <c r="L132" s="7">
        <v>0</v>
      </c>
      <c r="M132" s="7">
        <v>0</v>
      </c>
      <c r="N132" s="7">
        <v>0</v>
      </c>
      <c r="O132" s="22">
        <v>0</v>
      </c>
    </row>
    <row r="133" spans="1:15" ht="12.75" customHeight="1" x14ac:dyDescent="0.2">
      <c r="C133" s="7"/>
      <c r="D133" s="7"/>
      <c r="E133" s="7"/>
      <c r="F133" s="7"/>
      <c r="G133" s="7"/>
      <c r="H133" s="7"/>
      <c r="I133" s="7"/>
      <c r="J133" s="7"/>
      <c r="K133" s="7"/>
      <c r="L133" s="7"/>
      <c r="M133" s="7"/>
      <c r="N133" s="7"/>
    </row>
    <row r="134" spans="1:15" s="4" customFormat="1" ht="15" x14ac:dyDescent="0.25">
      <c r="A134" s="3" t="s">
        <v>122</v>
      </c>
      <c r="C134" s="5">
        <v>48.559999999999995</v>
      </c>
      <c r="D134" s="5">
        <v>48.68</v>
      </c>
      <c r="E134" s="5">
        <v>101.47</v>
      </c>
      <c r="F134" s="5">
        <v>83.12</v>
      </c>
      <c r="G134" s="5">
        <v>83.95</v>
      </c>
      <c r="H134" s="5">
        <v>88.11</v>
      </c>
      <c r="I134" s="5">
        <v>66.84</v>
      </c>
      <c r="J134" s="5">
        <v>36.949999999999996</v>
      </c>
      <c r="K134" s="5">
        <v>44.77</v>
      </c>
      <c r="L134" s="5">
        <v>53.03</v>
      </c>
      <c r="M134" s="5">
        <v>77.45</v>
      </c>
      <c r="N134" s="5">
        <v>54.389999999999993</v>
      </c>
      <c r="O134" s="21">
        <v>787.32</v>
      </c>
    </row>
    <row r="135" spans="1:15" x14ac:dyDescent="0.2">
      <c r="B135" s="2" t="s">
        <v>331</v>
      </c>
      <c r="C135" s="7">
        <v>0.05</v>
      </c>
      <c r="D135" s="7">
        <v>0.04</v>
      </c>
      <c r="E135" s="7">
        <v>0</v>
      </c>
      <c r="F135" s="7">
        <v>0.02</v>
      </c>
      <c r="G135" s="7">
        <v>0.02</v>
      </c>
      <c r="H135" s="7">
        <v>0.01</v>
      </c>
      <c r="I135" s="7">
        <v>0.01</v>
      </c>
      <c r="J135" s="7">
        <v>0.03</v>
      </c>
      <c r="K135" s="7">
        <v>0</v>
      </c>
      <c r="L135" s="7">
        <v>0.1</v>
      </c>
      <c r="M135" s="7">
        <v>0.28999999999999998</v>
      </c>
      <c r="N135" s="7">
        <v>0.03</v>
      </c>
      <c r="O135" s="22">
        <v>0.60000000000000009</v>
      </c>
    </row>
    <row r="136" spans="1:15" x14ac:dyDescent="0.2">
      <c r="B136" s="2" t="s">
        <v>332</v>
      </c>
      <c r="C136" s="7">
        <v>48.5</v>
      </c>
      <c r="D136" s="7">
        <v>48.63</v>
      </c>
      <c r="E136" s="7">
        <v>101.42</v>
      </c>
      <c r="F136" s="7">
        <v>82.84</v>
      </c>
      <c r="G136" s="7">
        <v>83.89</v>
      </c>
      <c r="H136" s="7">
        <v>87.91</v>
      </c>
      <c r="I136" s="7">
        <v>66.72</v>
      </c>
      <c r="J136" s="7">
        <v>36.909999999999997</v>
      </c>
      <c r="K136" s="7">
        <v>44.7</v>
      </c>
      <c r="L136" s="7">
        <v>52.54</v>
      </c>
      <c r="M136" s="7">
        <v>73.33</v>
      </c>
      <c r="N136" s="7">
        <v>54.05</v>
      </c>
      <c r="O136" s="22">
        <v>781.43999999999994</v>
      </c>
    </row>
    <row r="137" spans="1:15" x14ac:dyDescent="0.2">
      <c r="B137" s="2" t="s">
        <v>333</v>
      </c>
      <c r="C137" s="7">
        <v>0</v>
      </c>
      <c r="D137" s="7">
        <v>0</v>
      </c>
      <c r="E137" s="7">
        <v>0</v>
      </c>
      <c r="F137" s="7">
        <v>0</v>
      </c>
      <c r="G137" s="7">
        <v>0</v>
      </c>
      <c r="H137" s="7">
        <v>0</v>
      </c>
      <c r="I137" s="7">
        <v>0</v>
      </c>
      <c r="J137" s="7">
        <v>0</v>
      </c>
      <c r="K137" s="7">
        <v>0</v>
      </c>
      <c r="L137" s="7">
        <v>0</v>
      </c>
      <c r="M137" s="7">
        <v>0.01</v>
      </c>
      <c r="N137" s="7">
        <v>0</v>
      </c>
      <c r="O137" s="22">
        <v>0.01</v>
      </c>
    </row>
    <row r="138" spans="1:15" x14ac:dyDescent="0.2">
      <c r="B138" s="2" t="s">
        <v>334</v>
      </c>
      <c r="C138" s="7">
        <v>0</v>
      </c>
      <c r="D138" s="7">
        <v>0</v>
      </c>
      <c r="E138" s="7">
        <v>0</v>
      </c>
      <c r="F138" s="7">
        <v>0</v>
      </c>
      <c r="G138" s="7">
        <v>0</v>
      </c>
      <c r="H138" s="7">
        <v>0.03</v>
      </c>
      <c r="I138" s="7">
        <v>0.1</v>
      </c>
      <c r="J138" s="7">
        <v>0</v>
      </c>
      <c r="K138" s="7">
        <v>0.01</v>
      </c>
      <c r="L138" s="7">
        <v>0.01</v>
      </c>
      <c r="M138" s="7">
        <v>3.75</v>
      </c>
      <c r="N138" s="7">
        <v>0.01</v>
      </c>
      <c r="O138" s="22">
        <v>3.9099999999999997</v>
      </c>
    </row>
    <row r="139" spans="1:15" x14ac:dyDescent="0.2">
      <c r="B139" s="2" t="s">
        <v>335</v>
      </c>
      <c r="C139" s="7">
        <v>0.01</v>
      </c>
      <c r="D139" s="7">
        <v>0.01</v>
      </c>
      <c r="E139" s="7">
        <v>0.05</v>
      </c>
      <c r="F139" s="7">
        <v>0.26</v>
      </c>
      <c r="G139" s="7">
        <v>0.04</v>
      </c>
      <c r="H139" s="7">
        <v>0.16</v>
      </c>
      <c r="I139" s="7">
        <v>0.01</v>
      </c>
      <c r="J139" s="7">
        <v>0.01</v>
      </c>
      <c r="K139" s="7">
        <v>0.06</v>
      </c>
      <c r="L139" s="7">
        <v>0.38</v>
      </c>
      <c r="M139" s="7">
        <v>7.0000000000000007E-2</v>
      </c>
      <c r="N139" s="7">
        <v>0.3</v>
      </c>
      <c r="O139" s="22">
        <v>1.36</v>
      </c>
    </row>
    <row r="140" spans="1:15" x14ac:dyDescent="0.2">
      <c r="C140" s="7"/>
      <c r="D140" s="7" t="s">
        <v>6</v>
      </c>
      <c r="E140" s="7" t="s">
        <v>6</v>
      </c>
      <c r="F140" s="7"/>
      <c r="G140" s="7"/>
      <c r="H140" s="7" t="s">
        <v>6</v>
      </c>
      <c r="I140" s="7" t="s">
        <v>6</v>
      </c>
      <c r="J140" s="7" t="s">
        <v>6</v>
      </c>
      <c r="K140" s="7" t="s">
        <v>6</v>
      </c>
      <c r="L140" s="7"/>
      <c r="M140" s="7"/>
      <c r="N140" s="7"/>
    </row>
    <row r="141" spans="1:15" s="4" customFormat="1" ht="15" x14ac:dyDescent="0.25">
      <c r="A141" s="3" t="s">
        <v>128</v>
      </c>
      <c r="C141" s="5">
        <v>120.32000000000001</v>
      </c>
      <c r="D141" s="5">
        <v>94.95</v>
      </c>
      <c r="E141" s="5">
        <v>78.48</v>
      </c>
      <c r="F141" s="5">
        <v>126.60000000000001</v>
      </c>
      <c r="G141" s="5">
        <v>964.42</v>
      </c>
      <c r="H141" s="5">
        <v>49.52</v>
      </c>
      <c r="I141" s="5">
        <v>44.71</v>
      </c>
      <c r="J141" s="5">
        <v>42.52000000000001</v>
      </c>
      <c r="K141" s="5">
        <v>45.46</v>
      </c>
      <c r="L141" s="5">
        <v>58.540000000000006</v>
      </c>
      <c r="M141" s="5">
        <v>63.01</v>
      </c>
      <c r="N141" s="5">
        <v>30.39</v>
      </c>
      <c r="O141" s="21">
        <v>1718.92</v>
      </c>
    </row>
    <row r="142" spans="1:15" x14ac:dyDescent="0.2">
      <c r="B142" s="2" t="s">
        <v>336</v>
      </c>
      <c r="C142" s="7">
        <v>0</v>
      </c>
      <c r="D142" s="7">
        <v>0</v>
      </c>
      <c r="E142" s="7">
        <v>0</v>
      </c>
      <c r="F142" s="7">
        <v>0</v>
      </c>
      <c r="G142" s="7">
        <v>0</v>
      </c>
      <c r="H142" s="7">
        <v>0</v>
      </c>
      <c r="I142" s="7">
        <v>0</v>
      </c>
      <c r="J142" s="7">
        <v>0</v>
      </c>
      <c r="K142" s="7">
        <v>0</v>
      </c>
      <c r="L142" s="7">
        <v>0</v>
      </c>
      <c r="M142" s="7">
        <v>0</v>
      </c>
      <c r="N142" s="7">
        <v>0</v>
      </c>
      <c r="O142" s="22">
        <v>0</v>
      </c>
    </row>
    <row r="143" spans="1:15" x14ac:dyDescent="0.2">
      <c r="B143" s="2" t="s">
        <v>337</v>
      </c>
      <c r="C143" s="7">
        <v>117.37</v>
      </c>
      <c r="D143" s="7">
        <v>91.12</v>
      </c>
      <c r="E143" s="7">
        <v>61.18</v>
      </c>
      <c r="F143" s="7">
        <v>117.29</v>
      </c>
      <c r="G143" s="7">
        <v>960.18</v>
      </c>
      <c r="H143" s="7">
        <v>43.23</v>
      </c>
      <c r="I143" s="7">
        <v>35.07</v>
      </c>
      <c r="J143" s="7">
        <v>36.01</v>
      </c>
      <c r="K143" s="7">
        <v>37.630000000000003</v>
      </c>
      <c r="L143" s="7">
        <v>26.8</v>
      </c>
      <c r="M143" s="7">
        <v>57.6</v>
      </c>
      <c r="N143" s="7">
        <v>27.37</v>
      </c>
      <c r="O143" s="22">
        <v>1610.8499999999997</v>
      </c>
    </row>
    <row r="144" spans="1:15" x14ac:dyDescent="0.2">
      <c r="B144" s="2" t="s">
        <v>338</v>
      </c>
      <c r="C144" s="7">
        <v>2.93</v>
      </c>
      <c r="D144" s="7">
        <v>3.8</v>
      </c>
      <c r="E144" s="7">
        <v>17.239999999999998</v>
      </c>
      <c r="F144" s="7">
        <v>7.79</v>
      </c>
      <c r="G144" s="7">
        <v>4.22</v>
      </c>
      <c r="H144" s="7">
        <v>5.27</v>
      </c>
      <c r="I144" s="7">
        <v>5.71</v>
      </c>
      <c r="J144" s="7">
        <v>6.16</v>
      </c>
      <c r="K144" s="7">
        <v>7.69</v>
      </c>
      <c r="L144" s="7">
        <v>31.6</v>
      </c>
      <c r="M144" s="7">
        <v>5.33</v>
      </c>
      <c r="N144" s="7">
        <v>3.02</v>
      </c>
      <c r="O144" s="22">
        <v>100.75999999999999</v>
      </c>
    </row>
    <row r="145" spans="1:15" x14ac:dyDescent="0.2">
      <c r="B145" s="2" t="s">
        <v>339</v>
      </c>
      <c r="C145" s="7">
        <v>0</v>
      </c>
      <c r="D145" s="7">
        <v>0</v>
      </c>
      <c r="E145" s="7">
        <v>0</v>
      </c>
      <c r="F145" s="7">
        <v>0</v>
      </c>
      <c r="G145" s="7">
        <v>0</v>
      </c>
      <c r="H145" s="7">
        <v>0</v>
      </c>
      <c r="I145" s="7">
        <v>0</v>
      </c>
      <c r="J145" s="7">
        <v>0</v>
      </c>
      <c r="K145" s="7">
        <v>0</v>
      </c>
      <c r="L145" s="7">
        <v>0</v>
      </c>
      <c r="M145" s="7">
        <v>0</v>
      </c>
      <c r="N145" s="7">
        <v>0</v>
      </c>
      <c r="O145" s="22">
        <v>0</v>
      </c>
    </row>
    <row r="146" spans="1:15" x14ac:dyDescent="0.2">
      <c r="B146" s="2" t="s">
        <v>340</v>
      </c>
      <c r="C146" s="7">
        <v>0</v>
      </c>
      <c r="D146" s="7">
        <v>0</v>
      </c>
      <c r="E146" s="7">
        <v>0</v>
      </c>
      <c r="F146" s="7">
        <v>0</v>
      </c>
      <c r="G146" s="7">
        <v>0</v>
      </c>
      <c r="H146" s="7">
        <v>0</v>
      </c>
      <c r="I146" s="7">
        <v>0</v>
      </c>
      <c r="J146" s="7">
        <v>0</v>
      </c>
      <c r="K146" s="7">
        <v>0</v>
      </c>
      <c r="L146" s="7">
        <v>0</v>
      </c>
      <c r="M146" s="7">
        <v>0</v>
      </c>
      <c r="N146" s="7">
        <v>0</v>
      </c>
      <c r="O146" s="22">
        <v>0</v>
      </c>
    </row>
    <row r="147" spans="1:15" x14ac:dyDescent="0.2">
      <c r="B147" s="2" t="s">
        <v>341</v>
      </c>
      <c r="C147" s="7">
        <v>0</v>
      </c>
      <c r="D147" s="7">
        <v>0</v>
      </c>
      <c r="E147" s="7">
        <v>0</v>
      </c>
      <c r="F147" s="7">
        <v>0</v>
      </c>
      <c r="G147" s="7">
        <v>0</v>
      </c>
      <c r="H147" s="7">
        <v>0</v>
      </c>
      <c r="I147" s="7">
        <v>0</v>
      </c>
      <c r="J147" s="7">
        <v>0</v>
      </c>
      <c r="K147" s="7">
        <v>0</v>
      </c>
      <c r="L147" s="7">
        <v>0</v>
      </c>
      <c r="M147" s="7">
        <v>0</v>
      </c>
      <c r="N147" s="7">
        <v>0</v>
      </c>
      <c r="O147" s="22">
        <v>0</v>
      </c>
    </row>
    <row r="148" spans="1:15" x14ac:dyDescent="0.2">
      <c r="B148" s="2" t="s">
        <v>342</v>
      </c>
      <c r="C148" s="7">
        <v>0</v>
      </c>
      <c r="D148" s="7">
        <v>0</v>
      </c>
      <c r="E148" s="7">
        <v>0.01</v>
      </c>
      <c r="F148" s="7">
        <v>1.45</v>
      </c>
      <c r="G148" s="7">
        <v>0</v>
      </c>
      <c r="H148" s="7">
        <v>0.01</v>
      </c>
      <c r="I148" s="7">
        <v>0</v>
      </c>
      <c r="J148" s="7">
        <v>0.02</v>
      </c>
      <c r="K148" s="7">
        <v>0.04</v>
      </c>
      <c r="L148" s="7">
        <v>0</v>
      </c>
      <c r="M148" s="7">
        <v>0</v>
      </c>
      <c r="N148" s="7">
        <v>0</v>
      </c>
      <c r="O148" s="22">
        <v>1.53</v>
      </c>
    </row>
    <row r="149" spans="1:15" x14ac:dyDescent="0.2">
      <c r="B149" s="2" t="s">
        <v>343</v>
      </c>
      <c r="C149" s="7">
        <v>0</v>
      </c>
      <c r="D149" s="7">
        <v>0</v>
      </c>
      <c r="E149" s="7">
        <v>0</v>
      </c>
      <c r="F149" s="7">
        <v>0</v>
      </c>
      <c r="G149" s="7">
        <v>0</v>
      </c>
      <c r="H149" s="7">
        <v>0</v>
      </c>
      <c r="I149" s="7">
        <v>0</v>
      </c>
      <c r="J149" s="7">
        <v>0</v>
      </c>
      <c r="K149" s="7">
        <v>0</v>
      </c>
      <c r="L149" s="7">
        <v>0</v>
      </c>
      <c r="M149" s="7">
        <v>0</v>
      </c>
      <c r="N149" s="7">
        <v>0</v>
      </c>
      <c r="O149" s="22">
        <v>0</v>
      </c>
    </row>
    <row r="150" spans="1:15" x14ac:dyDescent="0.2">
      <c r="B150" s="2" t="s">
        <v>344</v>
      </c>
      <c r="C150" s="7">
        <v>0</v>
      </c>
      <c r="D150" s="7">
        <v>0</v>
      </c>
      <c r="E150" s="7">
        <v>0.03</v>
      </c>
      <c r="F150" s="7">
        <v>7.0000000000000007E-2</v>
      </c>
      <c r="G150" s="7">
        <v>0.01</v>
      </c>
      <c r="H150" s="7">
        <v>0.24</v>
      </c>
      <c r="I150" s="7">
        <v>3.93</v>
      </c>
      <c r="J150" s="7">
        <v>0.06</v>
      </c>
      <c r="K150" s="7">
        <v>0</v>
      </c>
      <c r="L150" s="7">
        <v>0.02</v>
      </c>
      <c r="M150" s="7">
        <v>0.01</v>
      </c>
      <c r="N150" s="7">
        <v>0</v>
      </c>
      <c r="O150" s="22">
        <v>4.3699999999999992</v>
      </c>
    </row>
    <row r="151" spans="1:15" x14ac:dyDescent="0.2">
      <c r="B151" s="2" t="s">
        <v>345</v>
      </c>
      <c r="C151" s="7">
        <v>0.02</v>
      </c>
      <c r="D151" s="7">
        <v>0.03</v>
      </c>
      <c r="E151" s="7">
        <v>0.02</v>
      </c>
      <c r="F151" s="7">
        <v>0</v>
      </c>
      <c r="G151" s="7">
        <v>0.01</v>
      </c>
      <c r="H151" s="7">
        <v>0.77</v>
      </c>
      <c r="I151" s="7">
        <v>0</v>
      </c>
      <c r="J151" s="7">
        <v>0.27</v>
      </c>
      <c r="K151" s="7">
        <v>0.1</v>
      </c>
      <c r="L151" s="7">
        <v>0.12</v>
      </c>
      <c r="M151" s="7">
        <v>7.0000000000000007E-2</v>
      </c>
      <c r="N151" s="7">
        <v>0</v>
      </c>
      <c r="O151" s="22">
        <v>1.4100000000000004</v>
      </c>
    </row>
    <row r="152" spans="1:15" ht="12.75" customHeight="1" x14ac:dyDescent="0.25">
      <c r="A152" s="24"/>
      <c r="B152" s="24"/>
      <c r="C152" s="24"/>
      <c r="D152" s="24"/>
      <c r="E152" s="24"/>
      <c r="F152" s="24"/>
      <c r="G152" s="24"/>
      <c r="H152" s="24"/>
      <c r="I152" s="24"/>
      <c r="J152" s="24"/>
      <c r="K152" s="24"/>
      <c r="L152" s="24"/>
      <c r="M152" s="24"/>
      <c r="N152" s="24"/>
    </row>
    <row r="153" spans="1:15" s="4" customFormat="1" ht="15" x14ac:dyDescent="0.25">
      <c r="A153" s="3" t="s">
        <v>140</v>
      </c>
      <c r="C153" s="5">
        <v>16.400000000000002</v>
      </c>
      <c r="D153" s="5">
        <v>18.890000000000004</v>
      </c>
      <c r="E153" s="5">
        <v>22.140000000000008</v>
      </c>
      <c r="F153" s="5">
        <v>14.899999999999999</v>
      </c>
      <c r="G153" s="5">
        <v>17.580000000000002</v>
      </c>
      <c r="H153" s="5">
        <v>17.87</v>
      </c>
      <c r="I153" s="5">
        <v>12.77</v>
      </c>
      <c r="J153" s="5">
        <v>12.969999999999999</v>
      </c>
      <c r="K153" s="5">
        <v>17.950000000000006</v>
      </c>
      <c r="L153" s="5">
        <v>14.01</v>
      </c>
      <c r="M153" s="5">
        <v>19.680000000000003</v>
      </c>
      <c r="N153" s="5">
        <v>13.419999999999998</v>
      </c>
      <c r="O153" s="21">
        <v>198.58</v>
      </c>
    </row>
    <row r="154" spans="1:15" x14ac:dyDescent="0.2">
      <c r="B154" s="2" t="s">
        <v>346</v>
      </c>
      <c r="C154" s="7">
        <v>8.5500000000000007</v>
      </c>
      <c r="D154" s="7">
        <v>13.86</v>
      </c>
      <c r="E154" s="7">
        <v>6.88</v>
      </c>
      <c r="F154" s="7">
        <v>5.76</v>
      </c>
      <c r="G154" s="7">
        <v>10.130000000000001</v>
      </c>
      <c r="H154" s="7">
        <v>6.34</v>
      </c>
      <c r="I154" s="7">
        <v>6.53</v>
      </c>
      <c r="J154" s="7">
        <v>6.57</v>
      </c>
      <c r="K154" s="7">
        <v>11.47</v>
      </c>
      <c r="L154" s="7">
        <v>5.35</v>
      </c>
      <c r="M154" s="7">
        <v>8.4499999999999993</v>
      </c>
      <c r="N154" s="7">
        <v>5.42</v>
      </c>
      <c r="O154" s="22">
        <v>95.31</v>
      </c>
    </row>
    <row r="155" spans="1:15" x14ac:dyDescent="0.2">
      <c r="B155" s="2" t="s">
        <v>347</v>
      </c>
      <c r="C155" s="7">
        <v>0.61</v>
      </c>
      <c r="D155" s="7">
        <v>1.82</v>
      </c>
      <c r="E155" s="7">
        <v>1.68</v>
      </c>
      <c r="F155" s="7">
        <v>0.3</v>
      </c>
      <c r="G155" s="7">
        <v>0.59</v>
      </c>
      <c r="H155" s="7">
        <v>1.85</v>
      </c>
      <c r="I155" s="7">
        <v>0.14000000000000001</v>
      </c>
      <c r="J155" s="7">
        <v>0.06</v>
      </c>
      <c r="K155" s="7">
        <v>1.02</v>
      </c>
      <c r="L155" s="7">
        <v>1.56</v>
      </c>
      <c r="M155" s="7">
        <v>0.06</v>
      </c>
      <c r="N155" s="7">
        <v>1.96</v>
      </c>
      <c r="O155" s="22">
        <v>11.649999999999999</v>
      </c>
    </row>
    <row r="156" spans="1:15" x14ac:dyDescent="0.2">
      <c r="B156" s="2" t="s">
        <v>348</v>
      </c>
      <c r="C156" s="7">
        <v>0.3</v>
      </c>
      <c r="D156" s="7">
        <v>7.0000000000000007E-2</v>
      </c>
      <c r="E156" s="7">
        <v>0.22</v>
      </c>
      <c r="F156" s="7">
        <v>0.22</v>
      </c>
      <c r="G156" s="7">
        <v>0.17</v>
      </c>
      <c r="H156" s="7">
        <v>0.26</v>
      </c>
      <c r="I156" s="7">
        <v>0.22</v>
      </c>
      <c r="J156" s="7">
        <v>0.09</v>
      </c>
      <c r="K156" s="7">
        <v>0.14000000000000001</v>
      </c>
      <c r="L156" s="7">
        <v>0.21</v>
      </c>
      <c r="M156" s="7">
        <v>0.3</v>
      </c>
      <c r="N156" s="7">
        <v>0.14000000000000001</v>
      </c>
      <c r="O156" s="22">
        <v>2.34</v>
      </c>
    </row>
    <row r="157" spans="1:15" x14ac:dyDescent="0.2">
      <c r="B157" s="2" t="s">
        <v>349</v>
      </c>
      <c r="C157" s="7">
        <v>0.3</v>
      </c>
      <c r="D157" s="7">
        <v>0.23</v>
      </c>
      <c r="E157" s="7">
        <v>0.24</v>
      </c>
      <c r="F157" s="7">
        <v>0.14000000000000001</v>
      </c>
      <c r="G157" s="7">
        <v>0.26</v>
      </c>
      <c r="H157" s="7">
        <v>0.28000000000000003</v>
      </c>
      <c r="I157" s="7">
        <v>0.13</v>
      </c>
      <c r="J157" s="7">
        <v>0.46</v>
      </c>
      <c r="K157" s="7">
        <v>0.42</v>
      </c>
      <c r="L157" s="7">
        <v>0.15</v>
      </c>
      <c r="M157" s="7">
        <v>0.42</v>
      </c>
      <c r="N157" s="7">
        <v>0.85</v>
      </c>
      <c r="O157" s="22">
        <v>3.88</v>
      </c>
    </row>
    <row r="158" spans="1:15" x14ac:dyDescent="0.2">
      <c r="B158" s="2" t="s">
        <v>350</v>
      </c>
      <c r="C158" s="7">
        <v>2.21</v>
      </c>
      <c r="D158" s="7">
        <v>0.9</v>
      </c>
      <c r="E158" s="7">
        <v>3.17</v>
      </c>
      <c r="F158" s="7">
        <v>2.2999999999999998</v>
      </c>
      <c r="G158" s="7">
        <v>1.72</v>
      </c>
      <c r="H158" s="7">
        <v>1.67</v>
      </c>
      <c r="I158" s="7">
        <v>1.9</v>
      </c>
      <c r="J158" s="7">
        <v>1.63</v>
      </c>
      <c r="K158" s="7">
        <v>1.46</v>
      </c>
      <c r="L158" s="7">
        <v>1.52</v>
      </c>
      <c r="M158" s="7">
        <v>2.39</v>
      </c>
      <c r="N158" s="7">
        <v>0.89</v>
      </c>
      <c r="O158" s="22">
        <v>21.76</v>
      </c>
    </row>
    <row r="159" spans="1:15" x14ac:dyDescent="0.2">
      <c r="B159" s="2" t="s">
        <v>351</v>
      </c>
      <c r="C159" s="7">
        <v>2.1800000000000002</v>
      </c>
      <c r="D159" s="7">
        <v>0.78</v>
      </c>
      <c r="E159" s="7">
        <v>4.4000000000000004</v>
      </c>
      <c r="F159" s="7">
        <v>3.39</v>
      </c>
      <c r="G159" s="7">
        <v>2.21</v>
      </c>
      <c r="H159" s="7">
        <v>2.69</v>
      </c>
      <c r="I159" s="7">
        <v>1.9</v>
      </c>
      <c r="J159" s="7">
        <v>2.27</v>
      </c>
      <c r="K159" s="7">
        <v>1.37</v>
      </c>
      <c r="L159" s="7">
        <v>2.94</v>
      </c>
      <c r="M159" s="7">
        <v>2.46</v>
      </c>
      <c r="N159" s="7">
        <v>1.1100000000000001</v>
      </c>
      <c r="O159" s="22">
        <v>27.700000000000003</v>
      </c>
    </row>
    <row r="160" spans="1:15" x14ac:dyDescent="0.2">
      <c r="B160" s="2" t="s">
        <v>352</v>
      </c>
      <c r="C160" s="7">
        <v>0.01</v>
      </c>
      <c r="D160" s="7">
        <v>0.01</v>
      </c>
      <c r="E160" s="7">
        <v>0.04</v>
      </c>
      <c r="F160" s="7">
        <v>0</v>
      </c>
      <c r="G160" s="7">
        <v>0</v>
      </c>
      <c r="H160" s="7">
        <v>0</v>
      </c>
      <c r="I160" s="7">
        <v>0</v>
      </c>
      <c r="J160" s="7">
        <v>0</v>
      </c>
      <c r="K160" s="7">
        <v>0.01</v>
      </c>
      <c r="L160" s="7">
        <v>0.02</v>
      </c>
      <c r="M160" s="7">
        <v>0.02</v>
      </c>
      <c r="N160" s="7">
        <v>0.01</v>
      </c>
      <c r="O160" s="22">
        <v>0.12</v>
      </c>
    </row>
    <row r="161" spans="1:15" x14ac:dyDescent="0.2">
      <c r="B161" s="2" t="s">
        <v>353</v>
      </c>
      <c r="C161" s="7">
        <v>0.56999999999999995</v>
      </c>
      <c r="D161" s="7">
        <v>0.23</v>
      </c>
      <c r="E161" s="7">
        <v>1.39</v>
      </c>
      <c r="F161" s="7">
        <v>0.74</v>
      </c>
      <c r="G161" s="7">
        <v>0.41</v>
      </c>
      <c r="H161" s="7">
        <v>1.67</v>
      </c>
      <c r="I161" s="7">
        <v>0.28000000000000003</v>
      </c>
      <c r="J161" s="7">
        <v>0.24</v>
      </c>
      <c r="K161" s="7">
        <v>0.45</v>
      </c>
      <c r="L161" s="7">
        <v>0.46</v>
      </c>
      <c r="M161" s="7">
        <v>0.54</v>
      </c>
      <c r="N161" s="7">
        <v>0.77</v>
      </c>
      <c r="O161" s="22">
        <v>7.75</v>
      </c>
    </row>
    <row r="162" spans="1:15" x14ac:dyDescent="0.2">
      <c r="B162" s="2" t="s">
        <v>354</v>
      </c>
      <c r="C162" s="7">
        <v>0</v>
      </c>
      <c r="D162" s="7">
        <v>0</v>
      </c>
      <c r="E162" s="7">
        <v>0</v>
      </c>
      <c r="F162" s="7">
        <v>0</v>
      </c>
      <c r="G162" s="7">
        <v>0</v>
      </c>
      <c r="H162" s="7">
        <v>0</v>
      </c>
      <c r="I162" s="7">
        <v>0</v>
      </c>
      <c r="J162" s="7">
        <v>0</v>
      </c>
      <c r="K162" s="7">
        <v>0</v>
      </c>
      <c r="L162" s="7">
        <v>0</v>
      </c>
      <c r="M162" s="7">
        <v>0</v>
      </c>
      <c r="N162" s="7">
        <v>0</v>
      </c>
      <c r="O162" s="22">
        <v>0</v>
      </c>
    </row>
    <row r="163" spans="1:15" x14ac:dyDescent="0.2">
      <c r="B163" s="2" t="s">
        <v>355</v>
      </c>
      <c r="C163" s="7">
        <v>1.42</v>
      </c>
      <c r="D163" s="7">
        <v>0.85</v>
      </c>
      <c r="E163" s="7">
        <v>3.35</v>
      </c>
      <c r="F163" s="7">
        <v>1.75</v>
      </c>
      <c r="G163" s="7">
        <v>1.77</v>
      </c>
      <c r="H163" s="7">
        <v>2.87</v>
      </c>
      <c r="I163" s="7">
        <v>1.44</v>
      </c>
      <c r="J163" s="7">
        <v>1.3</v>
      </c>
      <c r="K163" s="7">
        <v>1.0900000000000001</v>
      </c>
      <c r="L163" s="7">
        <v>1.35</v>
      </c>
      <c r="M163" s="7">
        <v>4.3499999999999996</v>
      </c>
      <c r="N163" s="7">
        <v>2.14</v>
      </c>
      <c r="O163" s="22">
        <v>23.68</v>
      </c>
    </row>
    <row r="164" spans="1:15" x14ac:dyDescent="0.2">
      <c r="B164" s="2" t="s">
        <v>356</v>
      </c>
      <c r="C164" s="7">
        <v>0.12</v>
      </c>
      <c r="D164" s="7">
        <v>0.13</v>
      </c>
      <c r="E164" s="7">
        <v>0.46</v>
      </c>
      <c r="F164" s="7">
        <v>0.28999999999999998</v>
      </c>
      <c r="G164" s="7">
        <v>0.27</v>
      </c>
      <c r="H164" s="7">
        <v>0.18</v>
      </c>
      <c r="I164" s="7">
        <v>0.22</v>
      </c>
      <c r="J164" s="7">
        <v>0.15</v>
      </c>
      <c r="K164" s="7">
        <v>0.21</v>
      </c>
      <c r="L164" s="7">
        <v>0.39</v>
      </c>
      <c r="M164" s="7">
        <v>0.63</v>
      </c>
      <c r="N164" s="7">
        <v>0.12</v>
      </c>
      <c r="O164" s="22">
        <v>3.17</v>
      </c>
    </row>
    <row r="165" spans="1:15" x14ac:dyDescent="0.2">
      <c r="B165" s="2" t="s">
        <v>357</v>
      </c>
      <c r="C165" s="7">
        <v>0</v>
      </c>
      <c r="D165" s="7">
        <v>0</v>
      </c>
      <c r="E165" s="7">
        <v>0</v>
      </c>
      <c r="F165" s="7">
        <v>0</v>
      </c>
      <c r="G165" s="7">
        <v>0</v>
      </c>
      <c r="H165" s="7">
        <v>0</v>
      </c>
      <c r="I165" s="7">
        <v>0.01</v>
      </c>
      <c r="J165" s="7">
        <v>0.03</v>
      </c>
      <c r="K165" s="7">
        <v>0.3</v>
      </c>
      <c r="L165" s="7">
        <v>0.02</v>
      </c>
      <c r="M165" s="7">
        <v>0.01</v>
      </c>
      <c r="N165" s="7">
        <v>0</v>
      </c>
      <c r="O165" s="22">
        <v>0.37</v>
      </c>
    </row>
    <row r="166" spans="1:15" x14ac:dyDescent="0.2">
      <c r="B166" s="2" t="s">
        <v>358</v>
      </c>
      <c r="C166" s="7">
        <v>0</v>
      </c>
      <c r="D166" s="7">
        <v>0</v>
      </c>
      <c r="E166" s="7">
        <v>0</v>
      </c>
      <c r="F166" s="7">
        <v>0</v>
      </c>
      <c r="G166" s="7">
        <v>0</v>
      </c>
      <c r="H166" s="7">
        <v>0</v>
      </c>
      <c r="I166" s="7">
        <v>0</v>
      </c>
      <c r="J166" s="7">
        <v>0</v>
      </c>
      <c r="K166" s="7">
        <v>0</v>
      </c>
      <c r="L166" s="7">
        <v>0</v>
      </c>
      <c r="M166" s="7">
        <v>0</v>
      </c>
      <c r="N166" s="7">
        <v>0</v>
      </c>
      <c r="O166" s="22">
        <v>0</v>
      </c>
    </row>
    <row r="167" spans="1:15" x14ac:dyDescent="0.2">
      <c r="B167" s="2" t="s">
        <v>359</v>
      </c>
      <c r="C167" s="7">
        <v>0</v>
      </c>
      <c r="D167" s="7">
        <v>0</v>
      </c>
      <c r="E167" s="7">
        <v>0</v>
      </c>
      <c r="F167" s="7">
        <v>0</v>
      </c>
      <c r="G167" s="7">
        <v>0</v>
      </c>
      <c r="H167" s="7">
        <v>0</v>
      </c>
      <c r="I167" s="7">
        <v>0</v>
      </c>
      <c r="J167" s="7">
        <v>0</v>
      </c>
      <c r="K167" s="7">
        <v>0</v>
      </c>
      <c r="L167" s="7">
        <v>0</v>
      </c>
      <c r="M167" s="7">
        <v>0</v>
      </c>
      <c r="N167" s="7">
        <v>0</v>
      </c>
      <c r="O167" s="22">
        <v>0</v>
      </c>
    </row>
    <row r="168" spans="1:15" x14ac:dyDescent="0.2">
      <c r="B168" s="2" t="s">
        <v>360</v>
      </c>
      <c r="C168" s="7">
        <v>7.0000000000000007E-2</v>
      </c>
      <c r="D168" s="7">
        <v>0</v>
      </c>
      <c r="E168" s="7">
        <v>0.3</v>
      </c>
      <c r="F168" s="7">
        <v>0.01</v>
      </c>
      <c r="G168" s="7">
        <v>0</v>
      </c>
      <c r="H168" s="7">
        <v>0.05</v>
      </c>
      <c r="I168" s="7">
        <v>0</v>
      </c>
      <c r="J168" s="7">
        <v>0.17</v>
      </c>
      <c r="K168" s="7">
        <v>0.01</v>
      </c>
      <c r="L168" s="7">
        <v>0.02</v>
      </c>
      <c r="M168" s="7">
        <v>0.04</v>
      </c>
      <c r="N168" s="7">
        <v>0</v>
      </c>
      <c r="O168" s="22">
        <v>0.67</v>
      </c>
    </row>
    <row r="169" spans="1:15" x14ac:dyDescent="0.2">
      <c r="B169" s="2" t="s">
        <v>361</v>
      </c>
      <c r="C169" s="7">
        <v>0</v>
      </c>
      <c r="D169" s="7">
        <v>0</v>
      </c>
      <c r="E169" s="7">
        <v>0</v>
      </c>
      <c r="F169" s="7">
        <v>0</v>
      </c>
      <c r="G169" s="7">
        <v>0</v>
      </c>
      <c r="H169" s="7">
        <v>0</v>
      </c>
      <c r="I169" s="7">
        <v>0</v>
      </c>
      <c r="J169" s="7">
        <v>0</v>
      </c>
      <c r="K169" s="7">
        <v>0</v>
      </c>
      <c r="L169" s="7">
        <v>0</v>
      </c>
      <c r="M169" s="7">
        <v>0</v>
      </c>
      <c r="N169" s="7">
        <v>0</v>
      </c>
      <c r="O169" s="22">
        <v>0</v>
      </c>
    </row>
    <row r="170" spans="1:15" x14ac:dyDescent="0.2">
      <c r="B170" s="2" t="s">
        <v>362</v>
      </c>
      <c r="C170" s="7">
        <v>0.06</v>
      </c>
      <c r="D170" s="7">
        <v>0.01</v>
      </c>
      <c r="E170" s="7">
        <v>0.01</v>
      </c>
      <c r="F170" s="7">
        <v>0</v>
      </c>
      <c r="G170" s="7">
        <v>0.05</v>
      </c>
      <c r="H170" s="7">
        <v>0.01</v>
      </c>
      <c r="I170" s="7">
        <v>0</v>
      </c>
      <c r="J170" s="7">
        <v>0</v>
      </c>
      <c r="K170" s="7">
        <v>0</v>
      </c>
      <c r="L170" s="7">
        <v>0.02</v>
      </c>
      <c r="M170" s="7">
        <v>0.01</v>
      </c>
      <c r="N170" s="7">
        <v>0.01</v>
      </c>
      <c r="O170" s="22">
        <v>0.18000000000000002</v>
      </c>
    </row>
    <row r="171" spans="1:15" ht="12.75" customHeight="1" x14ac:dyDescent="0.2">
      <c r="C171" s="7"/>
      <c r="D171" s="7"/>
      <c r="E171" s="7"/>
      <c r="F171" s="7"/>
      <c r="G171" s="7"/>
      <c r="H171" s="7"/>
      <c r="I171" s="7"/>
      <c r="J171" s="7"/>
      <c r="K171" s="7"/>
      <c r="L171" s="7"/>
      <c r="M171" s="7"/>
      <c r="N171" s="7"/>
    </row>
    <row r="172" spans="1:15" s="4" customFormat="1" ht="15" x14ac:dyDescent="0.25">
      <c r="A172" s="3" t="s">
        <v>159</v>
      </c>
      <c r="C172" s="5">
        <v>3.73</v>
      </c>
      <c r="D172" s="5">
        <v>0.77</v>
      </c>
      <c r="E172" s="5">
        <v>2.0499999999999998</v>
      </c>
      <c r="F172" s="5">
        <v>2.36</v>
      </c>
      <c r="G172" s="5">
        <v>1.88</v>
      </c>
      <c r="H172" s="5">
        <v>1.03</v>
      </c>
      <c r="I172" s="5">
        <v>1.18</v>
      </c>
      <c r="J172" s="5">
        <v>2.5499999999999998</v>
      </c>
      <c r="K172" s="5">
        <v>0.84</v>
      </c>
      <c r="L172" s="5">
        <v>1.84</v>
      </c>
      <c r="M172" s="5">
        <v>4.0599999999999996</v>
      </c>
      <c r="N172" s="5">
        <v>0.73</v>
      </c>
      <c r="O172" s="21">
        <v>23.019999999999996</v>
      </c>
    </row>
    <row r="173" spans="1:15" x14ac:dyDescent="0.2">
      <c r="B173" s="2" t="s">
        <v>363</v>
      </c>
      <c r="C173" s="7">
        <v>3.73</v>
      </c>
      <c r="D173" s="7">
        <v>0.77</v>
      </c>
      <c r="E173" s="7">
        <v>2.0499999999999998</v>
      </c>
      <c r="F173" s="7">
        <v>2.36</v>
      </c>
      <c r="G173" s="7">
        <v>1.88</v>
      </c>
      <c r="H173" s="7">
        <v>1.03</v>
      </c>
      <c r="I173" s="7">
        <v>1.18</v>
      </c>
      <c r="J173" s="7">
        <v>2.5499999999999998</v>
      </c>
      <c r="K173" s="7">
        <v>0.84</v>
      </c>
      <c r="L173" s="7">
        <v>1.84</v>
      </c>
      <c r="M173" s="7">
        <v>4.0599999999999996</v>
      </c>
      <c r="N173" s="7">
        <v>0.73</v>
      </c>
      <c r="O173" s="22">
        <v>23.019999999999996</v>
      </c>
    </row>
    <row r="174" spans="1:15" ht="12.75" customHeight="1" x14ac:dyDescent="0.2">
      <c r="C174" s="7"/>
      <c r="D174" s="7"/>
      <c r="E174" s="7"/>
      <c r="F174" s="7"/>
      <c r="G174" s="7"/>
      <c r="H174" s="7"/>
      <c r="I174" s="7"/>
      <c r="J174" s="7"/>
      <c r="K174" s="7"/>
      <c r="L174" s="7"/>
      <c r="M174" s="7" t="s">
        <v>6</v>
      </c>
      <c r="N174" s="7" t="s">
        <v>6</v>
      </c>
    </row>
    <row r="175" spans="1:15" s="4" customFormat="1" ht="15" x14ac:dyDescent="0.25">
      <c r="A175" s="3" t="s">
        <v>161</v>
      </c>
      <c r="C175" s="5">
        <v>3.8299999999999996</v>
      </c>
      <c r="D175" s="5">
        <v>1.3399999999999999</v>
      </c>
      <c r="E175" s="5">
        <v>8</v>
      </c>
      <c r="F175" s="5">
        <v>3.61</v>
      </c>
      <c r="G175" s="5">
        <v>2.1599999999999997</v>
      </c>
      <c r="H175" s="5">
        <v>3.18</v>
      </c>
      <c r="I175" s="5">
        <v>2.0099999999999998</v>
      </c>
      <c r="J175" s="5">
        <v>1.85</v>
      </c>
      <c r="K175" s="5">
        <v>18.689999999999998</v>
      </c>
      <c r="L175" s="5">
        <v>2.4700000000000002</v>
      </c>
      <c r="M175" s="5">
        <v>8.7200000000000006</v>
      </c>
      <c r="N175" s="5">
        <v>1.93</v>
      </c>
      <c r="O175" s="21">
        <v>57.79</v>
      </c>
    </row>
    <row r="176" spans="1:15" x14ac:dyDescent="0.2">
      <c r="B176" s="2" t="s">
        <v>364</v>
      </c>
      <c r="C176" s="7">
        <v>0.05</v>
      </c>
      <c r="D176" s="7">
        <v>0.19</v>
      </c>
      <c r="E176" s="7">
        <v>0.03</v>
      </c>
      <c r="F176" s="7">
        <v>0.11</v>
      </c>
      <c r="G176" s="7">
        <v>0.01</v>
      </c>
      <c r="H176" s="7">
        <v>0.12</v>
      </c>
      <c r="I176" s="7">
        <v>0.28000000000000003</v>
      </c>
      <c r="J176" s="7">
        <v>0.05</v>
      </c>
      <c r="K176" s="7">
        <v>0.11</v>
      </c>
      <c r="L176" s="7">
        <v>0.02</v>
      </c>
      <c r="M176" s="7">
        <v>0.06</v>
      </c>
      <c r="N176" s="7">
        <v>0.03</v>
      </c>
      <c r="O176" s="22">
        <v>1.06</v>
      </c>
    </row>
    <row r="177" spans="1:15" x14ac:dyDescent="0.2">
      <c r="B177" s="2" t="s">
        <v>365</v>
      </c>
      <c r="C177" s="7">
        <v>0</v>
      </c>
      <c r="D177" s="7">
        <v>0.01</v>
      </c>
      <c r="E177" s="7">
        <v>0.02</v>
      </c>
      <c r="F177" s="7">
        <v>0</v>
      </c>
      <c r="G177" s="7">
        <v>0</v>
      </c>
      <c r="H177" s="7">
        <v>0</v>
      </c>
      <c r="I177" s="7">
        <v>0.01</v>
      </c>
      <c r="J177" s="7">
        <v>0</v>
      </c>
      <c r="K177" s="7">
        <v>0.04</v>
      </c>
      <c r="L177" s="7">
        <v>0</v>
      </c>
      <c r="M177" s="7">
        <v>0.01</v>
      </c>
      <c r="N177" s="7">
        <v>0</v>
      </c>
      <c r="O177" s="22">
        <v>0.09</v>
      </c>
    </row>
    <row r="178" spans="1:15" x14ac:dyDescent="0.2">
      <c r="B178" s="2" t="s">
        <v>366</v>
      </c>
      <c r="C178" s="7">
        <v>3.78</v>
      </c>
      <c r="D178" s="7">
        <v>1.1399999999999999</v>
      </c>
      <c r="E178" s="7">
        <v>7.95</v>
      </c>
      <c r="F178" s="7">
        <v>3.5</v>
      </c>
      <c r="G178" s="7">
        <v>2.15</v>
      </c>
      <c r="H178" s="7">
        <v>3.06</v>
      </c>
      <c r="I178" s="7">
        <v>1.72</v>
      </c>
      <c r="J178" s="7">
        <v>1.8</v>
      </c>
      <c r="K178" s="7">
        <v>18.54</v>
      </c>
      <c r="L178" s="7">
        <v>2.4500000000000002</v>
      </c>
      <c r="M178" s="7">
        <v>8.65</v>
      </c>
      <c r="N178" s="7">
        <v>1.9</v>
      </c>
      <c r="O178" s="22">
        <v>56.64</v>
      </c>
    </row>
    <row r="179" spans="1:15" ht="12.75" customHeight="1" x14ac:dyDescent="0.2">
      <c r="A179" s="20"/>
      <c r="C179" s="7"/>
      <c r="D179" s="7"/>
      <c r="E179" s="7"/>
      <c r="F179" s="7"/>
      <c r="G179" s="7"/>
      <c r="H179" s="7"/>
      <c r="I179" s="7"/>
      <c r="J179" s="7"/>
      <c r="K179" s="7"/>
      <c r="L179" s="7"/>
      <c r="M179" s="7"/>
      <c r="N179" s="7"/>
    </row>
    <row r="180" spans="1:15" s="4" customFormat="1" ht="15" x14ac:dyDescent="0.25">
      <c r="A180" s="3" t="s">
        <v>166</v>
      </c>
      <c r="C180" s="5">
        <v>41.519999999999996</v>
      </c>
      <c r="D180" s="5">
        <v>27.68</v>
      </c>
      <c r="E180" s="5">
        <v>50.849999999999994</v>
      </c>
      <c r="F180" s="5">
        <v>32.79</v>
      </c>
      <c r="G180" s="5">
        <v>30.860000000000003</v>
      </c>
      <c r="H180" s="5">
        <v>30.68</v>
      </c>
      <c r="I180" s="5">
        <v>27.23</v>
      </c>
      <c r="J180" s="5">
        <v>25.86</v>
      </c>
      <c r="K180" s="5">
        <v>22.990000000000002</v>
      </c>
      <c r="L180" s="5">
        <v>31.97</v>
      </c>
      <c r="M180" s="5">
        <v>40.08</v>
      </c>
      <c r="N180" s="5">
        <v>16.170000000000002</v>
      </c>
      <c r="O180" s="21">
        <v>378.67999999999995</v>
      </c>
    </row>
    <row r="181" spans="1:15" x14ac:dyDescent="0.2">
      <c r="B181" s="2" t="s">
        <v>367</v>
      </c>
      <c r="C181" s="7">
        <v>37.54</v>
      </c>
      <c r="D181" s="7">
        <v>25.98</v>
      </c>
      <c r="E181" s="7">
        <v>36.020000000000003</v>
      </c>
      <c r="F181" s="7">
        <v>24.32</v>
      </c>
      <c r="G181" s="7">
        <v>26.85</v>
      </c>
      <c r="H181" s="7">
        <v>27.28</v>
      </c>
      <c r="I181" s="7">
        <v>24.08</v>
      </c>
      <c r="J181" s="7">
        <v>21.5</v>
      </c>
      <c r="K181" s="7">
        <v>20.12</v>
      </c>
      <c r="L181" s="7">
        <v>28.92</v>
      </c>
      <c r="M181" s="7">
        <v>34.06</v>
      </c>
      <c r="N181" s="7">
        <v>14.1</v>
      </c>
      <c r="O181" s="22">
        <v>320.77000000000004</v>
      </c>
    </row>
    <row r="182" spans="1:15" x14ac:dyDescent="0.2">
      <c r="B182" s="2" t="s">
        <v>368</v>
      </c>
      <c r="C182" s="7">
        <v>3.11</v>
      </c>
      <c r="D182" s="7">
        <v>1.38</v>
      </c>
      <c r="E182" s="7">
        <v>11.9</v>
      </c>
      <c r="F182" s="7">
        <v>6.7</v>
      </c>
      <c r="G182" s="7">
        <v>3.65</v>
      </c>
      <c r="H182" s="7">
        <v>2.06</v>
      </c>
      <c r="I182" s="7">
        <v>1.87</v>
      </c>
      <c r="J182" s="7">
        <v>3.84</v>
      </c>
      <c r="K182" s="7">
        <v>1.72</v>
      </c>
      <c r="L182" s="7">
        <v>2.79</v>
      </c>
      <c r="M182" s="7">
        <v>3.76</v>
      </c>
      <c r="N182" s="7">
        <v>1.3</v>
      </c>
      <c r="O182" s="22">
        <v>44.079999999999991</v>
      </c>
    </row>
    <row r="183" spans="1:15" x14ac:dyDescent="0.2">
      <c r="B183" s="2" t="s">
        <v>369</v>
      </c>
      <c r="C183" s="7">
        <v>0.28999999999999998</v>
      </c>
      <c r="D183" s="7">
        <v>0.15</v>
      </c>
      <c r="E183" s="7">
        <v>0.11</v>
      </c>
      <c r="F183" s="7">
        <v>0.12</v>
      </c>
      <c r="G183" s="7">
        <v>0.1</v>
      </c>
      <c r="H183" s="7">
        <v>0.09</v>
      </c>
      <c r="I183" s="7">
        <v>0.09</v>
      </c>
      <c r="J183" s="7">
        <v>0.06</v>
      </c>
      <c r="K183" s="7">
        <v>0.05</v>
      </c>
      <c r="L183" s="7">
        <v>0.06</v>
      </c>
      <c r="M183" s="7">
        <v>0.12</v>
      </c>
      <c r="N183" s="7">
        <v>0.06</v>
      </c>
      <c r="O183" s="22">
        <v>1.2999999999999998</v>
      </c>
    </row>
    <row r="184" spans="1:15" x14ac:dyDescent="0.2">
      <c r="B184" s="2" t="s">
        <v>370</v>
      </c>
      <c r="C184" s="7">
        <v>0.01</v>
      </c>
      <c r="D184" s="7">
        <v>0</v>
      </c>
      <c r="E184" s="7">
        <v>0.01</v>
      </c>
      <c r="F184" s="7">
        <v>0</v>
      </c>
      <c r="G184" s="7">
        <v>0</v>
      </c>
      <c r="H184" s="7">
        <v>0</v>
      </c>
      <c r="I184" s="7">
        <v>0</v>
      </c>
      <c r="J184" s="7">
        <v>0</v>
      </c>
      <c r="K184" s="7">
        <v>0</v>
      </c>
      <c r="L184" s="7">
        <v>0</v>
      </c>
      <c r="M184" s="7">
        <v>0</v>
      </c>
      <c r="N184" s="7">
        <v>0</v>
      </c>
      <c r="O184" s="22">
        <v>0.02</v>
      </c>
    </row>
    <row r="185" spans="1:15" x14ac:dyDescent="0.2">
      <c r="B185" s="2" t="s">
        <v>371</v>
      </c>
      <c r="C185" s="7">
        <v>0.1</v>
      </c>
      <c r="D185" s="7">
        <v>0</v>
      </c>
      <c r="E185" s="7">
        <v>0.26</v>
      </c>
      <c r="F185" s="7">
        <v>0.08</v>
      </c>
      <c r="G185" s="7">
        <v>0.01</v>
      </c>
      <c r="H185" s="7">
        <v>0.01</v>
      </c>
      <c r="I185" s="7">
        <v>0.21</v>
      </c>
      <c r="J185" s="7">
        <v>0</v>
      </c>
      <c r="K185" s="7">
        <v>0.01</v>
      </c>
      <c r="L185" s="7">
        <v>0</v>
      </c>
      <c r="M185" s="7">
        <v>0.01</v>
      </c>
      <c r="N185" s="7">
        <v>0</v>
      </c>
      <c r="O185" s="22">
        <v>0.69000000000000006</v>
      </c>
    </row>
    <row r="186" spans="1:15" x14ac:dyDescent="0.2">
      <c r="B186" s="2" t="s">
        <v>372</v>
      </c>
      <c r="C186" s="7">
        <v>0.47</v>
      </c>
      <c r="D186" s="7">
        <v>0.17</v>
      </c>
      <c r="E186" s="7">
        <v>2.5499999999999998</v>
      </c>
      <c r="F186" s="7">
        <v>1.57</v>
      </c>
      <c r="G186" s="7">
        <v>0.25</v>
      </c>
      <c r="H186" s="7">
        <v>1.24</v>
      </c>
      <c r="I186" s="7">
        <v>0.98</v>
      </c>
      <c r="J186" s="7">
        <v>0.46</v>
      </c>
      <c r="K186" s="7">
        <v>1.0900000000000001</v>
      </c>
      <c r="L186" s="7">
        <v>0.2</v>
      </c>
      <c r="M186" s="7">
        <v>2.13</v>
      </c>
      <c r="N186" s="7">
        <v>0.71</v>
      </c>
      <c r="O186" s="22">
        <v>11.82</v>
      </c>
    </row>
    <row r="187" spans="1:15" x14ac:dyDescent="0.2">
      <c r="C187" s="7"/>
      <c r="D187" s="7"/>
      <c r="E187" s="7"/>
      <c r="F187" s="7"/>
      <c r="G187" s="7"/>
      <c r="H187" s="7"/>
      <c r="I187" s="7"/>
      <c r="J187" s="7"/>
      <c r="K187" s="7"/>
      <c r="L187" s="7"/>
      <c r="M187" s="7"/>
      <c r="N187" s="7"/>
      <c r="O187" s="22"/>
    </row>
    <row r="188" spans="1:15" s="4" customFormat="1" ht="15" x14ac:dyDescent="0.25">
      <c r="A188" s="3" t="s">
        <v>174</v>
      </c>
      <c r="C188" s="5">
        <v>538.93000000000006</v>
      </c>
      <c r="D188" s="5">
        <v>502.94</v>
      </c>
      <c r="E188" s="5">
        <v>743.92</v>
      </c>
      <c r="F188" s="5">
        <v>598.7399999999999</v>
      </c>
      <c r="G188" s="5">
        <v>642.81999999999994</v>
      </c>
      <c r="H188" s="5">
        <v>653</v>
      </c>
      <c r="I188" s="5">
        <v>560.25</v>
      </c>
      <c r="J188" s="5">
        <v>559.68999999999994</v>
      </c>
      <c r="K188" s="5">
        <v>528.51</v>
      </c>
      <c r="L188" s="5">
        <v>603.13</v>
      </c>
      <c r="M188" s="5">
        <v>648.9</v>
      </c>
      <c r="N188" s="5">
        <v>331.92</v>
      </c>
      <c r="O188" s="21">
        <v>6912.7499999999991</v>
      </c>
    </row>
    <row r="189" spans="1:15" x14ac:dyDescent="0.2">
      <c r="B189" s="2" t="s">
        <v>373</v>
      </c>
      <c r="C189" s="7">
        <v>84.37</v>
      </c>
      <c r="D189" s="7">
        <v>91.04</v>
      </c>
      <c r="E189" s="7">
        <v>88.64</v>
      </c>
      <c r="F189" s="7">
        <v>83.45</v>
      </c>
      <c r="G189" s="7">
        <v>90.87</v>
      </c>
      <c r="H189" s="7">
        <v>93.9</v>
      </c>
      <c r="I189" s="7">
        <v>62.37</v>
      </c>
      <c r="J189" s="7">
        <v>78.25</v>
      </c>
      <c r="K189" s="7">
        <v>25.91</v>
      </c>
      <c r="L189" s="7">
        <v>19.850000000000001</v>
      </c>
      <c r="M189" s="7">
        <v>40.31</v>
      </c>
      <c r="N189" s="7">
        <v>9.57</v>
      </c>
      <c r="O189" s="22">
        <v>768.53000000000009</v>
      </c>
    </row>
    <row r="190" spans="1:15" x14ac:dyDescent="0.2">
      <c r="B190" s="2" t="s">
        <v>374</v>
      </c>
      <c r="C190" s="7">
        <v>2.8</v>
      </c>
      <c r="D190" s="7">
        <v>1.26</v>
      </c>
      <c r="E190" s="7">
        <v>7.54</v>
      </c>
      <c r="F190" s="7">
        <v>4.47</v>
      </c>
      <c r="G190" s="7">
        <v>4.3899999999999997</v>
      </c>
      <c r="H190" s="7">
        <v>3.14</v>
      </c>
      <c r="I190" s="7">
        <v>4.21</v>
      </c>
      <c r="J190" s="7">
        <v>2.88</v>
      </c>
      <c r="K190" s="7">
        <v>3.36</v>
      </c>
      <c r="L190" s="7">
        <v>18.579999999999998</v>
      </c>
      <c r="M190" s="7">
        <v>5.64</v>
      </c>
      <c r="N190" s="7">
        <v>3.03</v>
      </c>
      <c r="O190" s="22">
        <v>61.300000000000004</v>
      </c>
    </row>
    <row r="191" spans="1:15" x14ac:dyDescent="0.2">
      <c r="B191" s="2" t="s">
        <v>375</v>
      </c>
      <c r="C191" s="7">
        <v>31.61</v>
      </c>
      <c r="D191" s="7">
        <v>33.700000000000003</v>
      </c>
      <c r="E191" s="7">
        <v>53.93</v>
      </c>
      <c r="F191" s="7">
        <v>41.77</v>
      </c>
      <c r="G191" s="7">
        <v>42.99</v>
      </c>
      <c r="H191" s="7">
        <v>49.15</v>
      </c>
      <c r="I191" s="7">
        <v>52.51</v>
      </c>
      <c r="J191" s="7">
        <v>52.98</v>
      </c>
      <c r="K191" s="7">
        <v>105.05</v>
      </c>
      <c r="L191" s="7">
        <v>75.59</v>
      </c>
      <c r="M191" s="7">
        <v>48.12</v>
      </c>
      <c r="N191" s="7">
        <v>20.010000000000002</v>
      </c>
      <c r="O191" s="22">
        <v>607.41000000000008</v>
      </c>
    </row>
    <row r="192" spans="1:15" x14ac:dyDescent="0.2">
      <c r="B192" s="2" t="s">
        <v>376</v>
      </c>
      <c r="C192" s="7">
        <v>369.23</v>
      </c>
      <c r="D192" s="7">
        <v>341.28</v>
      </c>
      <c r="E192" s="7">
        <v>519.99</v>
      </c>
      <c r="F192" s="7">
        <v>414.36</v>
      </c>
      <c r="G192" s="7">
        <v>445.09</v>
      </c>
      <c r="H192" s="7">
        <v>454.29</v>
      </c>
      <c r="I192" s="7">
        <v>381.27</v>
      </c>
      <c r="J192" s="7">
        <v>379.82</v>
      </c>
      <c r="K192" s="7">
        <v>357.02</v>
      </c>
      <c r="L192" s="7">
        <v>437.58</v>
      </c>
      <c r="M192" s="7">
        <v>493.94</v>
      </c>
      <c r="N192" s="7">
        <v>274.33</v>
      </c>
      <c r="O192" s="22">
        <v>4868.2</v>
      </c>
    </row>
    <row r="193" spans="1:15" x14ac:dyDescent="0.2">
      <c r="B193" s="2" t="s">
        <v>377</v>
      </c>
      <c r="C193" s="7">
        <v>0.06</v>
      </c>
      <c r="D193" s="7">
        <v>0.04</v>
      </c>
      <c r="E193" s="7">
        <v>0.03</v>
      </c>
      <c r="F193" s="7">
        <v>0.02</v>
      </c>
      <c r="G193" s="7">
        <v>0.01</v>
      </c>
      <c r="H193" s="7">
        <v>0.02</v>
      </c>
      <c r="I193" s="7">
        <v>0.01</v>
      </c>
      <c r="J193" s="7">
        <v>0.01</v>
      </c>
      <c r="K193" s="7">
        <v>0</v>
      </c>
      <c r="L193" s="7">
        <v>0.01</v>
      </c>
      <c r="M193" s="7">
        <v>0.01</v>
      </c>
      <c r="N193" s="7">
        <v>0</v>
      </c>
      <c r="O193" s="22">
        <v>0.22000000000000003</v>
      </c>
    </row>
    <row r="194" spans="1:15" x14ac:dyDescent="0.2">
      <c r="B194" s="2" t="s">
        <v>378</v>
      </c>
      <c r="C194" s="7">
        <v>50.77</v>
      </c>
      <c r="D194" s="7">
        <v>35.61</v>
      </c>
      <c r="E194" s="7">
        <v>73.77</v>
      </c>
      <c r="F194" s="7">
        <v>54.65</v>
      </c>
      <c r="G194" s="7">
        <v>59.38</v>
      </c>
      <c r="H194" s="7">
        <v>52.49</v>
      </c>
      <c r="I194" s="7">
        <v>59.86</v>
      </c>
      <c r="J194" s="7">
        <v>45.75</v>
      </c>
      <c r="K194" s="7">
        <v>37.17</v>
      </c>
      <c r="L194" s="7">
        <v>51.49</v>
      </c>
      <c r="M194" s="7">
        <v>60.81</v>
      </c>
      <c r="N194" s="7">
        <v>24.98</v>
      </c>
      <c r="O194" s="22">
        <v>606.73</v>
      </c>
    </row>
    <row r="195" spans="1:15" x14ac:dyDescent="0.2">
      <c r="B195" s="2" t="s">
        <v>379</v>
      </c>
      <c r="C195" s="7">
        <v>0.09</v>
      </c>
      <c r="D195" s="7">
        <v>0.01</v>
      </c>
      <c r="E195" s="7">
        <v>0.02</v>
      </c>
      <c r="F195" s="7">
        <v>0.02</v>
      </c>
      <c r="G195" s="7">
        <v>0.09</v>
      </c>
      <c r="H195" s="7">
        <v>0.01</v>
      </c>
      <c r="I195" s="7">
        <v>0.02</v>
      </c>
      <c r="J195" s="7">
        <v>0</v>
      </c>
      <c r="K195" s="7">
        <v>0</v>
      </c>
      <c r="L195" s="7">
        <v>0.03</v>
      </c>
      <c r="M195" s="7">
        <v>7.0000000000000007E-2</v>
      </c>
      <c r="N195" s="7">
        <v>0</v>
      </c>
      <c r="O195" s="22">
        <v>0.36000000000000004</v>
      </c>
    </row>
    <row r="196" spans="1:15" x14ac:dyDescent="0.2">
      <c r="C196" s="7"/>
      <c r="D196" s="7"/>
      <c r="E196" s="7"/>
      <c r="F196" s="7"/>
      <c r="G196" s="7"/>
      <c r="H196" s="7"/>
      <c r="I196" s="7"/>
      <c r="J196" s="7"/>
      <c r="K196" s="7"/>
      <c r="L196" s="7"/>
      <c r="M196" s="7"/>
      <c r="N196" s="7"/>
      <c r="O196" s="22"/>
    </row>
    <row r="197" spans="1:15" s="4" customFormat="1" ht="15" x14ac:dyDescent="0.25">
      <c r="A197" s="3" t="s">
        <v>182</v>
      </c>
      <c r="C197" s="5">
        <v>28.660000000000011</v>
      </c>
      <c r="D197" s="5">
        <v>23.94</v>
      </c>
      <c r="E197" s="5">
        <v>38.509999999999991</v>
      </c>
      <c r="F197" s="5">
        <v>17.649999999999995</v>
      </c>
      <c r="G197" s="5">
        <v>19.170000000000005</v>
      </c>
      <c r="H197" s="5">
        <v>43.520000000000024</v>
      </c>
      <c r="I197" s="5">
        <v>20.660000000000004</v>
      </c>
      <c r="J197" s="5">
        <v>64.500000000000014</v>
      </c>
      <c r="K197" s="5">
        <v>36.57</v>
      </c>
      <c r="L197" s="5">
        <v>16.52</v>
      </c>
      <c r="M197" s="5">
        <v>70.439999999999984</v>
      </c>
      <c r="N197" s="5">
        <v>43.39</v>
      </c>
      <c r="O197" s="21">
        <v>423.53</v>
      </c>
    </row>
    <row r="198" spans="1:15" x14ac:dyDescent="0.2">
      <c r="B198" s="2" t="s">
        <v>380</v>
      </c>
      <c r="C198" s="7">
        <v>1.3</v>
      </c>
      <c r="D198" s="7">
        <v>0.74</v>
      </c>
      <c r="E198" s="7">
        <v>5.64</v>
      </c>
      <c r="F198" s="7">
        <v>2.39</v>
      </c>
      <c r="G198" s="7">
        <v>2.62</v>
      </c>
      <c r="H198" s="7">
        <v>1.4</v>
      </c>
      <c r="I198" s="7">
        <v>2.2999999999999998</v>
      </c>
      <c r="J198" s="7">
        <v>2.0699999999999998</v>
      </c>
      <c r="K198" s="7">
        <v>0.93</v>
      </c>
      <c r="L198" s="7">
        <v>1.77</v>
      </c>
      <c r="M198" s="7">
        <v>1.32</v>
      </c>
      <c r="N198" s="7">
        <v>5.21</v>
      </c>
      <c r="O198" s="22">
        <v>27.69</v>
      </c>
    </row>
    <row r="199" spans="1:15" x14ac:dyDescent="0.2">
      <c r="B199" s="2" t="s">
        <v>381</v>
      </c>
      <c r="C199" s="7">
        <v>1.54</v>
      </c>
      <c r="D199" s="7">
        <v>5.23</v>
      </c>
      <c r="E199" s="7">
        <v>3.58</v>
      </c>
      <c r="F199" s="7">
        <v>1.92</v>
      </c>
      <c r="G199" s="7">
        <v>4.34</v>
      </c>
      <c r="H199" s="7">
        <v>2.06</v>
      </c>
      <c r="I199" s="7">
        <v>2.86</v>
      </c>
      <c r="J199" s="7">
        <v>3.6</v>
      </c>
      <c r="K199" s="7">
        <v>3.03</v>
      </c>
      <c r="L199" s="7">
        <v>2.5</v>
      </c>
      <c r="M199" s="7">
        <v>3.71</v>
      </c>
      <c r="N199" s="7">
        <v>2.0499999999999998</v>
      </c>
      <c r="O199" s="22">
        <v>36.419999999999995</v>
      </c>
    </row>
    <row r="200" spans="1:15" x14ac:dyDescent="0.2">
      <c r="B200" s="2" t="s">
        <v>382</v>
      </c>
      <c r="C200" s="7">
        <v>0</v>
      </c>
      <c r="D200" s="7">
        <v>0.06</v>
      </c>
      <c r="E200" s="7">
        <v>0</v>
      </c>
      <c r="F200" s="7">
        <v>0</v>
      </c>
      <c r="G200" s="7">
        <v>0</v>
      </c>
      <c r="H200" s="7">
        <v>0</v>
      </c>
      <c r="I200" s="7">
        <v>0</v>
      </c>
      <c r="J200" s="7">
        <v>0</v>
      </c>
      <c r="K200" s="7">
        <v>0</v>
      </c>
      <c r="L200" s="7">
        <v>0</v>
      </c>
      <c r="M200" s="7">
        <v>0</v>
      </c>
      <c r="N200" s="7">
        <v>0</v>
      </c>
      <c r="O200" s="22">
        <v>0.06</v>
      </c>
    </row>
    <row r="201" spans="1:15" x14ac:dyDescent="0.2">
      <c r="B201" s="2" t="s">
        <v>383</v>
      </c>
      <c r="C201" s="7">
        <v>9.8699999999999992</v>
      </c>
      <c r="D201" s="7">
        <v>0.93</v>
      </c>
      <c r="E201" s="7">
        <v>19.010000000000002</v>
      </c>
      <c r="F201" s="7">
        <v>4.55</v>
      </c>
      <c r="G201" s="7">
        <v>2.25</v>
      </c>
      <c r="H201" s="7">
        <v>21.57</v>
      </c>
      <c r="I201" s="7">
        <v>0.83</v>
      </c>
      <c r="J201" s="7">
        <v>49.74</v>
      </c>
      <c r="K201" s="7">
        <v>10.54</v>
      </c>
      <c r="L201" s="7">
        <v>0</v>
      </c>
      <c r="M201" s="7">
        <v>54.9</v>
      </c>
      <c r="N201" s="7">
        <v>27.76</v>
      </c>
      <c r="O201" s="22">
        <v>201.95</v>
      </c>
    </row>
    <row r="202" spans="1:15" x14ac:dyDescent="0.2">
      <c r="B202" s="2" t="s">
        <v>384</v>
      </c>
      <c r="C202" s="7">
        <v>0</v>
      </c>
      <c r="D202" s="7">
        <v>0</v>
      </c>
      <c r="E202" s="7">
        <v>0</v>
      </c>
      <c r="F202" s="7">
        <v>0</v>
      </c>
      <c r="G202" s="7">
        <v>0</v>
      </c>
      <c r="H202" s="7">
        <v>0</v>
      </c>
      <c r="I202" s="7">
        <v>0</v>
      </c>
      <c r="J202" s="7">
        <v>0</v>
      </c>
      <c r="K202" s="7">
        <v>0</v>
      </c>
      <c r="L202" s="7">
        <v>0</v>
      </c>
      <c r="M202" s="7">
        <v>0</v>
      </c>
      <c r="N202" s="7">
        <v>0</v>
      </c>
      <c r="O202" s="22">
        <v>0</v>
      </c>
    </row>
    <row r="203" spans="1:15" x14ac:dyDescent="0.2">
      <c r="B203" s="2" t="s">
        <v>385</v>
      </c>
      <c r="C203" s="7">
        <v>0.01</v>
      </c>
      <c r="D203" s="7">
        <v>0.01</v>
      </c>
      <c r="E203" s="7">
        <v>0.01</v>
      </c>
      <c r="F203" s="7">
        <v>0.01</v>
      </c>
      <c r="G203" s="7">
        <v>0.01</v>
      </c>
      <c r="H203" s="7">
        <v>0.01</v>
      </c>
      <c r="I203" s="7">
        <v>0.02</v>
      </c>
      <c r="J203" s="7">
        <v>0.01</v>
      </c>
      <c r="K203" s="7">
        <v>0</v>
      </c>
      <c r="L203" s="7">
        <v>0.01</v>
      </c>
      <c r="M203" s="7">
        <v>0.01</v>
      </c>
      <c r="N203" s="7">
        <v>0</v>
      </c>
      <c r="O203" s="22">
        <v>0.10999999999999999</v>
      </c>
    </row>
    <row r="204" spans="1:15" x14ac:dyDescent="0.2">
      <c r="B204" s="2" t="s">
        <v>386</v>
      </c>
      <c r="C204" s="7">
        <v>0</v>
      </c>
      <c r="D204" s="7">
        <v>0</v>
      </c>
      <c r="E204" s="7">
        <v>0.02</v>
      </c>
      <c r="F204" s="7">
        <v>0.01</v>
      </c>
      <c r="G204" s="7">
        <v>0</v>
      </c>
      <c r="H204" s="7">
        <v>0</v>
      </c>
      <c r="I204" s="7">
        <v>0</v>
      </c>
      <c r="J204" s="7">
        <v>0.02</v>
      </c>
      <c r="K204" s="7">
        <v>0.02</v>
      </c>
      <c r="L204" s="7">
        <v>0</v>
      </c>
      <c r="M204" s="7">
        <v>0</v>
      </c>
      <c r="N204" s="7">
        <v>0</v>
      </c>
      <c r="O204" s="22">
        <v>7.0000000000000007E-2</v>
      </c>
    </row>
    <row r="205" spans="1:15" x14ac:dyDescent="0.2">
      <c r="B205" s="2" t="s">
        <v>387</v>
      </c>
      <c r="C205" s="7">
        <v>0</v>
      </c>
      <c r="D205" s="7">
        <v>9.15</v>
      </c>
      <c r="E205" s="7">
        <v>0</v>
      </c>
      <c r="F205" s="7">
        <v>0</v>
      </c>
      <c r="G205" s="7">
        <v>0</v>
      </c>
      <c r="H205" s="7">
        <v>0</v>
      </c>
      <c r="I205" s="7">
        <v>0</v>
      </c>
      <c r="J205" s="7">
        <v>0</v>
      </c>
      <c r="K205" s="7">
        <v>0</v>
      </c>
      <c r="L205" s="7">
        <v>0</v>
      </c>
      <c r="M205" s="7">
        <v>0</v>
      </c>
      <c r="N205" s="7">
        <v>0</v>
      </c>
      <c r="O205" s="22">
        <v>9.15</v>
      </c>
    </row>
    <row r="206" spans="1:15" x14ac:dyDescent="0.2">
      <c r="B206" s="2" t="s">
        <v>388</v>
      </c>
      <c r="C206" s="7">
        <v>3.91</v>
      </c>
      <c r="D206" s="7">
        <v>1.69</v>
      </c>
      <c r="E206" s="7">
        <v>7.17</v>
      </c>
      <c r="F206" s="7">
        <v>5.3</v>
      </c>
      <c r="G206" s="7">
        <v>6.22</v>
      </c>
      <c r="H206" s="7">
        <v>10.64</v>
      </c>
      <c r="I206" s="7">
        <v>11.95</v>
      </c>
      <c r="J206" s="7">
        <v>6.15</v>
      </c>
      <c r="K206" s="7">
        <v>3.29</v>
      </c>
      <c r="L206" s="7">
        <v>4.5599999999999996</v>
      </c>
      <c r="M206" s="7">
        <v>5.07</v>
      </c>
      <c r="N206" s="7">
        <v>2.27</v>
      </c>
      <c r="O206" s="22">
        <v>68.219999999999985</v>
      </c>
    </row>
    <row r="207" spans="1:15" x14ac:dyDescent="0.2">
      <c r="B207" s="2" t="s">
        <v>389</v>
      </c>
      <c r="C207" s="7">
        <v>0</v>
      </c>
      <c r="D207" s="7">
        <v>0</v>
      </c>
      <c r="E207" s="7">
        <v>0</v>
      </c>
      <c r="F207" s="7">
        <v>0</v>
      </c>
      <c r="G207" s="7">
        <v>0</v>
      </c>
      <c r="H207" s="7">
        <v>0.09</v>
      </c>
      <c r="I207" s="7">
        <v>0</v>
      </c>
      <c r="J207" s="7">
        <v>0</v>
      </c>
      <c r="K207" s="7">
        <v>0</v>
      </c>
      <c r="L207" s="7">
        <v>0</v>
      </c>
      <c r="M207" s="7">
        <v>0</v>
      </c>
      <c r="N207" s="7">
        <v>0</v>
      </c>
      <c r="O207" s="22">
        <v>0.09</v>
      </c>
    </row>
    <row r="208" spans="1:15" x14ac:dyDescent="0.2">
      <c r="B208" s="2" t="s">
        <v>390</v>
      </c>
      <c r="C208" s="7">
        <v>0</v>
      </c>
      <c r="D208" s="7">
        <v>0</v>
      </c>
      <c r="E208" s="7">
        <v>0.01</v>
      </c>
      <c r="F208" s="7">
        <v>0.03</v>
      </c>
      <c r="G208" s="7">
        <v>0.01</v>
      </c>
      <c r="H208" s="7">
        <v>0.02</v>
      </c>
      <c r="I208" s="7">
        <v>0</v>
      </c>
      <c r="J208" s="7">
        <v>0</v>
      </c>
      <c r="K208" s="7">
        <v>0</v>
      </c>
      <c r="L208" s="7">
        <v>0</v>
      </c>
      <c r="M208" s="7">
        <v>0.13</v>
      </c>
      <c r="N208" s="7">
        <v>0</v>
      </c>
      <c r="O208" s="22">
        <v>0.2</v>
      </c>
    </row>
    <row r="209" spans="2:15" x14ac:dyDescent="0.2">
      <c r="B209" s="2" t="s">
        <v>391</v>
      </c>
      <c r="C209" s="7">
        <v>5.4</v>
      </c>
      <c r="D209" s="7">
        <v>0</v>
      </c>
      <c r="E209" s="7">
        <v>0</v>
      </c>
      <c r="F209" s="7">
        <v>0</v>
      </c>
      <c r="G209" s="7">
        <v>0</v>
      </c>
      <c r="H209" s="7">
        <v>0</v>
      </c>
      <c r="I209" s="7">
        <v>0</v>
      </c>
      <c r="J209" s="7">
        <v>0</v>
      </c>
      <c r="K209" s="7">
        <v>0</v>
      </c>
      <c r="L209" s="7">
        <v>0</v>
      </c>
      <c r="M209" s="7">
        <v>0</v>
      </c>
      <c r="N209" s="7">
        <v>0</v>
      </c>
      <c r="O209" s="22">
        <v>5.4</v>
      </c>
    </row>
    <row r="210" spans="2:15" x14ac:dyDescent="0.2">
      <c r="B210" s="2" t="s">
        <v>392</v>
      </c>
      <c r="C210" s="7">
        <v>0</v>
      </c>
      <c r="D210" s="7">
        <v>0</v>
      </c>
      <c r="E210" s="7">
        <v>0</v>
      </c>
      <c r="F210" s="7">
        <v>0.06</v>
      </c>
      <c r="G210" s="7">
        <v>0</v>
      </c>
      <c r="H210" s="7">
        <v>0.82</v>
      </c>
      <c r="I210" s="7">
        <v>0</v>
      </c>
      <c r="J210" s="7">
        <v>0</v>
      </c>
      <c r="K210" s="7">
        <v>0</v>
      </c>
      <c r="L210" s="7">
        <v>0</v>
      </c>
      <c r="M210" s="7">
        <v>0</v>
      </c>
      <c r="N210" s="7">
        <v>0</v>
      </c>
      <c r="O210" s="22">
        <v>0.87999999999999989</v>
      </c>
    </row>
    <row r="211" spans="2:15" x14ac:dyDescent="0.2">
      <c r="B211" s="2" t="s">
        <v>393</v>
      </c>
      <c r="C211" s="7">
        <v>0.01</v>
      </c>
      <c r="D211" s="7">
        <v>0.04</v>
      </c>
      <c r="E211" s="7">
        <v>0.44</v>
      </c>
      <c r="F211" s="7">
        <v>0.04</v>
      </c>
      <c r="G211" s="7">
        <v>0.04</v>
      </c>
      <c r="H211" s="7">
        <v>0.04</v>
      </c>
      <c r="I211" s="7">
        <v>0.03</v>
      </c>
      <c r="J211" s="7">
        <v>0.56999999999999995</v>
      </c>
      <c r="K211" s="7">
        <v>0.06</v>
      </c>
      <c r="L211" s="7">
        <v>0.06</v>
      </c>
      <c r="M211" s="7">
        <v>0.41</v>
      </c>
      <c r="N211" s="7">
        <v>0.01</v>
      </c>
      <c r="O211" s="22">
        <v>1.75</v>
      </c>
    </row>
    <row r="212" spans="2:15" x14ac:dyDescent="0.2">
      <c r="B212" s="2" t="s">
        <v>394</v>
      </c>
      <c r="C212" s="7">
        <v>0.12</v>
      </c>
      <c r="D212" s="7">
        <v>0.01</v>
      </c>
      <c r="E212" s="7">
        <v>0.2</v>
      </c>
      <c r="F212" s="7">
        <v>0.11</v>
      </c>
      <c r="G212" s="7">
        <v>1.62</v>
      </c>
      <c r="H212" s="7">
        <v>0.09</v>
      </c>
      <c r="I212" s="7">
        <v>7.0000000000000007E-2</v>
      </c>
      <c r="J212" s="7">
        <v>0.06</v>
      </c>
      <c r="K212" s="7">
        <v>0.1</v>
      </c>
      <c r="L212" s="7">
        <v>0.24</v>
      </c>
      <c r="M212" s="7">
        <v>1.4</v>
      </c>
      <c r="N212" s="7">
        <v>0.1</v>
      </c>
      <c r="O212" s="22">
        <v>4.1199999999999992</v>
      </c>
    </row>
    <row r="213" spans="2:15" x14ac:dyDescent="0.2">
      <c r="B213" s="2" t="s">
        <v>395</v>
      </c>
      <c r="C213" s="7">
        <v>0</v>
      </c>
      <c r="D213" s="7">
        <v>0</v>
      </c>
      <c r="E213" s="7">
        <v>0</v>
      </c>
      <c r="F213" s="7">
        <v>0</v>
      </c>
      <c r="G213" s="7">
        <v>0</v>
      </c>
      <c r="H213" s="7">
        <v>0</v>
      </c>
      <c r="I213" s="7">
        <v>0.01</v>
      </c>
      <c r="J213" s="7">
        <v>0</v>
      </c>
      <c r="K213" s="7">
        <v>0</v>
      </c>
      <c r="L213" s="7">
        <v>0</v>
      </c>
      <c r="M213" s="7">
        <v>0.2</v>
      </c>
      <c r="N213" s="7">
        <v>0</v>
      </c>
      <c r="O213" s="22">
        <v>0.21000000000000002</v>
      </c>
    </row>
    <row r="214" spans="2:15" x14ac:dyDescent="0.2">
      <c r="B214" s="2" t="s">
        <v>396</v>
      </c>
      <c r="C214" s="7">
        <v>0.03</v>
      </c>
      <c r="D214" s="7">
        <v>1.27</v>
      </c>
      <c r="E214" s="7">
        <v>0.38</v>
      </c>
      <c r="F214" s="7">
        <v>1.36</v>
      </c>
      <c r="G214" s="7">
        <v>0.03</v>
      </c>
      <c r="H214" s="7">
        <v>0.03</v>
      </c>
      <c r="I214" s="7">
        <v>0.01</v>
      </c>
      <c r="J214" s="7">
        <v>0</v>
      </c>
      <c r="K214" s="7">
        <v>0.01</v>
      </c>
      <c r="L214" s="7">
        <v>0.01</v>
      </c>
      <c r="M214" s="7">
        <v>0.02</v>
      </c>
      <c r="N214" s="7">
        <v>0.01</v>
      </c>
      <c r="O214" s="22">
        <v>3.1599999999999988</v>
      </c>
    </row>
    <row r="215" spans="2:15" x14ac:dyDescent="0.2">
      <c r="B215" s="2" t="s">
        <v>397</v>
      </c>
      <c r="C215" s="7">
        <v>0</v>
      </c>
      <c r="D215" s="7">
        <v>0</v>
      </c>
      <c r="E215" s="7">
        <v>0</v>
      </c>
      <c r="F215" s="7">
        <v>0</v>
      </c>
      <c r="G215" s="7">
        <v>0</v>
      </c>
      <c r="H215" s="7">
        <v>0</v>
      </c>
      <c r="I215" s="7">
        <v>0</v>
      </c>
      <c r="J215" s="7">
        <v>0</v>
      </c>
      <c r="K215" s="7">
        <v>0</v>
      </c>
      <c r="L215" s="7">
        <v>0</v>
      </c>
      <c r="M215" s="7">
        <v>0</v>
      </c>
      <c r="N215" s="7">
        <v>0</v>
      </c>
      <c r="O215" s="22">
        <v>0</v>
      </c>
    </row>
    <row r="216" spans="2:15" x14ac:dyDescent="0.2">
      <c r="B216" s="2" t="s">
        <v>398</v>
      </c>
      <c r="C216" s="7">
        <v>0</v>
      </c>
      <c r="D216" s="7">
        <v>0</v>
      </c>
      <c r="E216" s="7">
        <v>0</v>
      </c>
      <c r="F216" s="7">
        <v>0</v>
      </c>
      <c r="G216" s="7">
        <v>0</v>
      </c>
      <c r="H216" s="7">
        <v>0</v>
      </c>
      <c r="I216" s="7">
        <v>0</v>
      </c>
      <c r="J216" s="7">
        <v>0</v>
      </c>
      <c r="K216" s="7">
        <v>0</v>
      </c>
      <c r="L216" s="7">
        <v>0</v>
      </c>
      <c r="M216" s="7">
        <v>0</v>
      </c>
      <c r="N216" s="7">
        <v>0</v>
      </c>
      <c r="O216" s="22">
        <v>0</v>
      </c>
    </row>
    <row r="217" spans="2:15" x14ac:dyDescent="0.2">
      <c r="B217" s="2" t="s">
        <v>399</v>
      </c>
      <c r="C217" s="7">
        <v>0.01</v>
      </c>
      <c r="D217" s="7">
        <v>0</v>
      </c>
      <c r="E217" s="7">
        <v>0</v>
      </c>
      <c r="F217" s="7">
        <v>0.02</v>
      </c>
      <c r="G217" s="7">
        <v>0</v>
      </c>
      <c r="H217" s="7">
        <v>0</v>
      </c>
      <c r="I217" s="7">
        <v>0</v>
      </c>
      <c r="J217" s="7">
        <v>0.01</v>
      </c>
      <c r="K217" s="7">
        <v>15.16</v>
      </c>
      <c r="L217" s="7">
        <v>0.01</v>
      </c>
      <c r="M217" s="7">
        <v>0</v>
      </c>
      <c r="N217" s="7">
        <v>0.01</v>
      </c>
      <c r="O217" s="22">
        <v>15.219999999999999</v>
      </c>
    </row>
    <row r="218" spans="2:15" x14ac:dyDescent="0.2">
      <c r="B218" s="2" t="s">
        <v>400</v>
      </c>
      <c r="C218" s="7">
        <v>0</v>
      </c>
      <c r="D218" s="7">
        <v>0</v>
      </c>
      <c r="E218" s="7">
        <v>0</v>
      </c>
      <c r="F218" s="7">
        <v>0</v>
      </c>
      <c r="G218" s="7">
        <v>0</v>
      </c>
      <c r="H218" s="7">
        <v>0</v>
      </c>
      <c r="I218" s="7">
        <v>0</v>
      </c>
      <c r="J218" s="7">
        <v>0</v>
      </c>
      <c r="K218" s="7">
        <v>0</v>
      </c>
      <c r="L218" s="7">
        <v>0</v>
      </c>
      <c r="M218" s="7">
        <v>0</v>
      </c>
      <c r="N218" s="7">
        <v>0</v>
      </c>
      <c r="O218" s="22">
        <v>0</v>
      </c>
    </row>
    <row r="219" spans="2:15" x14ac:dyDescent="0.2">
      <c r="B219" s="2" t="s">
        <v>401</v>
      </c>
      <c r="C219" s="7">
        <v>0.04</v>
      </c>
      <c r="D219" s="7">
        <v>0.06</v>
      </c>
      <c r="E219" s="7">
        <v>0.17</v>
      </c>
      <c r="F219" s="7">
        <v>7.0000000000000007E-2</v>
      </c>
      <c r="G219" s="7">
        <v>0.12</v>
      </c>
      <c r="H219" s="7">
        <v>0.14000000000000001</v>
      </c>
      <c r="I219" s="7">
        <v>0.15</v>
      </c>
      <c r="J219" s="7">
        <v>0.04</v>
      </c>
      <c r="K219" s="7">
        <v>0.11</v>
      </c>
      <c r="L219" s="7">
        <v>7.0000000000000007E-2</v>
      </c>
      <c r="M219" s="7">
        <v>0.18</v>
      </c>
      <c r="N219" s="7">
        <v>0.03</v>
      </c>
      <c r="O219" s="22">
        <v>1.1800000000000002</v>
      </c>
    </row>
    <row r="220" spans="2:15" x14ac:dyDescent="0.2">
      <c r="B220" s="2" t="s">
        <v>402</v>
      </c>
      <c r="C220" s="7">
        <v>0.01</v>
      </c>
      <c r="D220" s="7">
        <v>0</v>
      </c>
      <c r="E220" s="7">
        <v>0.3</v>
      </c>
      <c r="F220" s="7">
        <v>0</v>
      </c>
      <c r="G220" s="7">
        <v>0.03</v>
      </c>
      <c r="H220" s="7">
        <v>0</v>
      </c>
      <c r="I220" s="7">
        <v>0.01</v>
      </c>
      <c r="J220" s="7">
        <v>0.02</v>
      </c>
      <c r="K220" s="7">
        <v>0</v>
      </c>
      <c r="L220" s="7">
        <v>0</v>
      </c>
      <c r="M220" s="7">
        <v>0</v>
      </c>
      <c r="N220" s="7">
        <v>0.02</v>
      </c>
      <c r="O220" s="22">
        <v>0.39</v>
      </c>
    </row>
    <row r="221" spans="2:15" x14ac:dyDescent="0.2">
      <c r="B221" s="2" t="s">
        <v>403</v>
      </c>
      <c r="C221" s="7">
        <v>0</v>
      </c>
      <c r="D221" s="7">
        <v>0</v>
      </c>
      <c r="E221" s="7">
        <v>0</v>
      </c>
      <c r="F221" s="7">
        <v>0</v>
      </c>
      <c r="G221" s="7">
        <v>0</v>
      </c>
      <c r="H221" s="7">
        <v>0</v>
      </c>
      <c r="I221" s="7">
        <v>0</v>
      </c>
      <c r="J221" s="7">
        <v>0</v>
      </c>
      <c r="K221" s="7">
        <v>0</v>
      </c>
      <c r="L221" s="7">
        <v>0</v>
      </c>
      <c r="M221" s="7">
        <v>0</v>
      </c>
      <c r="N221" s="7">
        <v>0</v>
      </c>
      <c r="O221" s="22">
        <v>0</v>
      </c>
    </row>
    <row r="222" spans="2:15" x14ac:dyDescent="0.2">
      <c r="B222" s="2" t="s">
        <v>404</v>
      </c>
      <c r="C222" s="7">
        <v>0</v>
      </c>
      <c r="D222" s="7">
        <v>0</v>
      </c>
      <c r="E222" s="7">
        <v>0</v>
      </c>
      <c r="F222" s="7">
        <v>0.01</v>
      </c>
      <c r="G222" s="7">
        <v>0</v>
      </c>
      <c r="H222" s="7">
        <v>0</v>
      </c>
      <c r="I222" s="7">
        <v>0</v>
      </c>
      <c r="J222" s="7">
        <v>0</v>
      </c>
      <c r="K222" s="7">
        <v>0</v>
      </c>
      <c r="L222" s="7">
        <v>0.01</v>
      </c>
      <c r="M222" s="7">
        <v>0</v>
      </c>
      <c r="N222" s="7">
        <v>0</v>
      </c>
      <c r="O222" s="22">
        <v>0.02</v>
      </c>
    </row>
    <row r="223" spans="2:15" x14ac:dyDescent="0.2">
      <c r="B223" s="2" t="s">
        <v>405</v>
      </c>
      <c r="C223" s="7">
        <v>0</v>
      </c>
      <c r="D223" s="7">
        <v>0</v>
      </c>
      <c r="E223" s="7">
        <v>0</v>
      </c>
      <c r="F223" s="7">
        <v>0.02</v>
      </c>
      <c r="G223" s="7">
        <v>0.02</v>
      </c>
      <c r="H223" s="7">
        <v>0.02</v>
      </c>
      <c r="I223" s="7">
        <v>0</v>
      </c>
      <c r="J223" s="7">
        <v>0.13</v>
      </c>
      <c r="K223" s="7">
        <v>0.13</v>
      </c>
      <c r="L223" s="7">
        <v>0</v>
      </c>
      <c r="M223" s="7">
        <v>0.02</v>
      </c>
      <c r="N223" s="7">
        <v>0.01</v>
      </c>
      <c r="O223" s="22">
        <v>0.35000000000000003</v>
      </c>
    </row>
    <row r="224" spans="2:15" x14ac:dyDescent="0.2">
      <c r="B224" s="2" t="s">
        <v>406</v>
      </c>
      <c r="C224" s="7">
        <v>0</v>
      </c>
      <c r="D224" s="7">
        <v>0</v>
      </c>
      <c r="E224" s="7">
        <v>0</v>
      </c>
      <c r="F224" s="7">
        <v>0</v>
      </c>
      <c r="G224" s="7">
        <v>0</v>
      </c>
      <c r="H224" s="7">
        <v>0</v>
      </c>
      <c r="I224" s="7">
        <v>0</v>
      </c>
      <c r="J224" s="7">
        <v>0</v>
      </c>
      <c r="K224" s="7">
        <v>0</v>
      </c>
      <c r="L224" s="7">
        <v>0</v>
      </c>
      <c r="M224" s="7">
        <v>0</v>
      </c>
      <c r="N224" s="7">
        <v>0</v>
      </c>
      <c r="O224" s="22">
        <v>0</v>
      </c>
    </row>
    <row r="225" spans="1:15" x14ac:dyDescent="0.2">
      <c r="B225" s="2" t="s">
        <v>407</v>
      </c>
      <c r="C225" s="7">
        <v>0</v>
      </c>
      <c r="D225" s="7">
        <v>0</v>
      </c>
      <c r="E225" s="7">
        <v>0.01</v>
      </c>
      <c r="F225" s="7">
        <v>0.01</v>
      </c>
      <c r="G225" s="7">
        <v>0.01</v>
      </c>
      <c r="H225" s="7">
        <v>0</v>
      </c>
      <c r="I225" s="7">
        <v>0</v>
      </c>
      <c r="J225" s="7">
        <v>0</v>
      </c>
      <c r="K225" s="7">
        <v>0</v>
      </c>
      <c r="L225" s="7">
        <v>0</v>
      </c>
      <c r="M225" s="7">
        <v>0</v>
      </c>
      <c r="N225" s="7">
        <v>0</v>
      </c>
      <c r="O225" s="22">
        <v>0.03</v>
      </c>
    </row>
    <row r="226" spans="1:15" x14ac:dyDescent="0.2">
      <c r="B226" s="2" t="s">
        <v>408</v>
      </c>
      <c r="C226" s="7">
        <v>0</v>
      </c>
      <c r="D226" s="7">
        <v>0.2</v>
      </c>
      <c r="E226" s="7">
        <v>0.01</v>
      </c>
      <c r="F226" s="7">
        <v>0</v>
      </c>
      <c r="G226" s="7">
        <v>0</v>
      </c>
      <c r="H226" s="7">
        <v>0</v>
      </c>
      <c r="I226" s="7">
        <v>0</v>
      </c>
      <c r="J226" s="7">
        <v>0</v>
      </c>
      <c r="K226" s="7">
        <v>0</v>
      </c>
      <c r="L226" s="7">
        <v>0</v>
      </c>
      <c r="M226" s="7">
        <v>0</v>
      </c>
      <c r="N226" s="7">
        <v>0.01</v>
      </c>
      <c r="O226" s="22">
        <v>0.22000000000000003</v>
      </c>
    </row>
    <row r="227" spans="1:15" x14ac:dyDescent="0.2">
      <c r="B227" s="2" t="s">
        <v>409</v>
      </c>
      <c r="C227" s="7">
        <v>0.01</v>
      </c>
      <c r="D227" s="7">
        <v>0</v>
      </c>
      <c r="E227" s="7">
        <v>0.01</v>
      </c>
      <c r="F227" s="7">
        <v>0</v>
      </c>
      <c r="G227" s="7">
        <v>0</v>
      </c>
      <c r="H227" s="7">
        <v>0</v>
      </c>
      <c r="I227" s="7">
        <v>0</v>
      </c>
      <c r="J227" s="7">
        <v>0</v>
      </c>
      <c r="K227" s="7">
        <v>0</v>
      </c>
      <c r="L227" s="7">
        <v>0</v>
      </c>
      <c r="M227" s="7">
        <v>0</v>
      </c>
      <c r="N227" s="7">
        <v>0.01</v>
      </c>
      <c r="O227" s="22">
        <v>0.03</v>
      </c>
    </row>
    <row r="228" spans="1:15" x14ac:dyDescent="0.2">
      <c r="B228" s="2" t="s">
        <v>410</v>
      </c>
      <c r="C228" s="7">
        <v>6.4</v>
      </c>
      <c r="D228" s="7">
        <v>4.55</v>
      </c>
      <c r="E228" s="7">
        <v>1.55</v>
      </c>
      <c r="F228" s="7">
        <v>1.74</v>
      </c>
      <c r="G228" s="7">
        <v>1.85</v>
      </c>
      <c r="H228" s="7">
        <v>6.59</v>
      </c>
      <c r="I228" s="7">
        <v>2.42</v>
      </c>
      <c r="J228" s="7">
        <v>2.08</v>
      </c>
      <c r="K228" s="7">
        <v>3.19</v>
      </c>
      <c r="L228" s="7">
        <v>7.28</v>
      </c>
      <c r="M228" s="7">
        <v>3.07</v>
      </c>
      <c r="N228" s="7">
        <v>5.89</v>
      </c>
      <c r="O228" s="22">
        <v>46.61</v>
      </c>
    </row>
    <row r="229" spans="1:15" x14ac:dyDescent="0.2">
      <c r="C229" s="7"/>
      <c r="D229" s="7"/>
      <c r="E229" s="7"/>
      <c r="F229" s="7"/>
      <c r="G229" s="7"/>
      <c r="H229" s="7"/>
      <c r="I229" s="7"/>
      <c r="J229" s="7"/>
      <c r="K229" s="7"/>
      <c r="L229" s="7"/>
      <c r="M229" s="7"/>
      <c r="N229" s="7"/>
      <c r="O229" s="22"/>
    </row>
    <row r="230" spans="1:15" ht="15" x14ac:dyDescent="0.25">
      <c r="B230" s="1" t="s">
        <v>222</v>
      </c>
      <c r="C230" s="23">
        <v>2725.74</v>
      </c>
      <c r="D230" s="23">
        <v>2001.1100000000004</v>
      </c>
      <c r="E230" s="23">
        <v>3478.5200000000004</v>
      </c>
      <c r="F230" s="23">
        <v>2464.7099999999996</v>
      </c>
      <c r="G230" s="23">
        <v>3502.5199999999995</v>
      </c>
      <c r="H230" s="23">
        <v>2670.6399999999994</v>
      </c>
      <c r="I230" s="23">
        <v>2470.6799999999994</v>
      </c>
      <c r="J230" s="23">
        <v>2564.29</v>
      </c>
      <c r="K230" s="23">
        <v>2028.3600000000004</v>
      </c>
      <c r="L230" s="23">
        <v>3279.4500000000012</v>
      </c>
      <c r="M230" s="23">
        <v>4051.0499999999993</v>
      </c>
      <c r="N230" s="23">
        <v>1532.6600000000005</v>
      </c>
      <c r="O230" s="23">
        <v>32769.730000000003</v>
      </c>
    </row>
    <row r="231" spans="1:15" ht="12.75" customHeight="1" x14ac:dyDescent="0.2"/>
    <row r="232" spans="1:15" ht="12.75" customHeight="1" x14ac:dyDescent="0.2"/>
    <row r="233" spans="1:15" ht="12.75" customHeight="1" x14ac:dyDescent="0.2"/>
    <row r="234" spans="1:15" ht="12" customHeight="1" x14ac:dyDescent="0.2">
      <c r="B234" s="20" t="s">
        <v>225</v>
      </c>
    </row>
    <row r="235" spans="1:15" ht="12" customHeight="1" x14ac:dyDescent="0.2">
      <c r="I235" s="2" t="s">
        <v>6</v>
      </c>
    </row>
    <row r="236" spans="1:15" ht="12" customHeight="1" x14ac:dyDescent="0.2">
      <c r="A236" s="20" t="s">
        <v>226</v>
      </c>
      <c r="E236" s="2" t="s">
        <v>6</v>
      </c>
    </row>
    <row r="237" spans="1:15" ht="12" customHeight="1" x14ac:dyDescent="0.2"/>
    <row r="238" spans="1:15" ht="12" customHeight="1" x14ac:dyDescent="0.2"/>
    <row r="239" spans="1:15" ht="12" customHeight="1" x14ac:dyDescent="0.2"/>
  </sheetData>
  <mergeCells count="2">
    <mergeCell ref="A3:C3"/>
    <mergeCell ref="A6:B7"/>
  </mergeCells>
  <printOptions horizontalCentered="1"/>
  <pageMargins left="0" right="0" top="0.74803149606299213" bottom="0.39370078740157483" header="0" footer="0.39370078740157483"/>
  <pageSetup paperSize="9" scale="45" orientation="portrait" r:id="rId1"/>
  <headerFooter>
    <oddHeader>Page &amp;P</oddHeader>
  </headerFooter>
  <rowBreaks count="1" manualBreakCount="1">
    <brk id="12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21"/>
  <sheetViews>
    <sheetView topLeftCell="A6" zoomScaleNormal="100" workbookViewId="0">
      <selection activeCell="F22" sqref="F22"/>
    </sheetView>
  </sheetViews>
  <sheetFormatPr defaultColWidth="8.85546875" defaultRowHeight="14.25" x14ac:dyDescent="0.2"/>
  <cols>
    <col min="1" max="1" width="2.7109375" style="2" customWidth="1"/>
    <col min="2" max="2" width="61.7109375" style="2" customWidth="1"/>
    <col min="3" max="15" width="11.28515625" style="2" customWidth="1"/>
    <col min="16" max="218" width="9.140625" style="2"/>
    <col min="219" max="219" width="2.7109375" style="2" customWidth="1"/>
    <col min="220" max="220" width="50.42578125" style="2" customWidth="1"/>
    <col min="221" max="229" width="7.85546875" style="2" customWidth="1"/>
    <col min="230" max="230" width="9.140625" style="2" customWidth="1"/>
    <col min="231" max="232" width="7.85546875" style="2" customWidth="1"/>
    <col min="233" max="233" width="8.85546875" style="2" customWidth="1"/>
    <col min="234" max="235" width="9.140625" style="2"/>
    <col min="236" max="236" width="14.140625" style="2" customWidth="1"/>
    <col min="237" max="474" width="9.140625" style="2"/>
    <col min="475" max="475" width="2.7109375" style="2" customWidth="1"/>
    <col min="476" max="476" width="50.42578125" style="2" customWidth="1"/>
    <col min="477" max="485" width="7.85546875" style="2" customWidth="1"/>
    <col min="486" max="486" width="9.140625" style="2" customWidth="1"/>
    <col min="487" max="488" width="7.85546875" style="2" customWidth="1"/>
    <col min="489" max="489" width="8.85546875" style="2" customWidth="1"/>
    <col min="490" max="491" width="9.140625" style="2"/>
    <col min="492" max="492" width="14.140625" style="2" customWidth="1"/>
    <col min="493" max="730" width="9.140625" style="2"/>
    <col min="731" max="731" width="2.7109375" style="2" customWidth="1"/>
    <col min="732" max="732" width="50.42578125" style="2" customWidth="1"/>
    <col min="733" max="741" width="7.85546875" style="2" customWidth="1"/>
    <col min="742" max="742" width="9.140625" style="2" customWidth="1"/>
    <col min="743" max="744" width="7.85546875" style="2" customWidth="1"/>
    <col min="745" max="745" width="8.85546875" style="2" customWidth="1"/>
    <col min="746" max="747" width="9.140625" style="2"/>
    <col min="748" max="748" width="14.140625" style="2" customWidth="1"/>
    <col min="749" max="986" width="9.140625" style="2"/>
    <col min="987" max="987" width="2.7109375" style="2" customWidth="1"/>
    <col min="988" max="988" width="50.42578125" style="2" customWidth="1"/>
    <col min="989" max="997" width="7.85546875" style="2" customWidth="1"/>
    <col min="998" max="998" width="9.140625" style="2" customWidth="1"/>
    <col min="999" max="1000" width="7.85546875" style="2" customWidth="1"/>
    <col min="1001" max="1001" width="8.85546875" style="2" customWidth="1"/>
    <col min="1002" max="1003" width="9.140625" style="2"/>
    <col min="1004" max="1004" width="14.140625" style="2" customWidth="1"/>
    <col min="1005" max="1242" width="9.140625" style="2"/>
    <col min="1243" max="1243" width="2.7109375" style="2" customWidth="1"/>
    <col min="1244" max="1244" width="50.42578125" style="2" customWidth="1"/>
    <col min="1245" max="1253" width="7.85546875" style="2" customWidth="1"/>
    <col min="1254" max="1254" width="9.140625" style="2" customWidth="1"/>
    <col min="1255" max="1256" width="7.85546875" style="2" customWidth="1"/>
    <col min="1257" max="1257" width="8.85546875" style="2" customWidth="1"/>
    <col min="1258" max="1259" width="9.140625" style="2"/>
    <col min="1260" max="1260" width="14.140625" style="2" customWidth="1"/>
    <col min="1261" max="1498" width="9.140625" style="2"/>
    <col min="1499" max="1499" width="2.7109375" style="2" customWidth="1"/>
    <col min="1500" max="1500" width="50.42578125" style="2" customWidth="1"/>
    <col min="1501" max="1509" width="7.85546875" style="2" customWidth="1"/>
    <col min="1510" max="1510" width="9.140625" style="2" customWidth="1"/>
    <col min="1511" max="1512" width="7.85546875" style="2" customWidth="1"/>
    <col min="1513" max="1513" width="8.85546875" style="2" customWidth="1"/>
    <col min="1514" max="1515" width="9.140625" style="2"/>
    <col min="1516" max="1516" width="14.140625" style="2" customWidth="1"/>
    <col min="1517" max="1754" width="9.140625" style="2"/>
    <col min="1755" max="1755" width="2.7109375" style="2" customWidth="1"/>
    <col min="1756" max="1756" width="50.42578125" style="2" customWidth="1"/>
    <col min="1757" max="1765" width="7.85546875" style="2" customWidth="1"/>
    <col min="1766" max="1766" width="9.140625" style="2" customWidth="1"/>
    <col min="1767" max="1768" width="7.85546875" style="2" customWidth="1"/>
    <col min="1769" max="1769" width="8.85546875" style="2" customWidth="1"/>
    <col min="1770" max="1771" width="9.140625" style="2"/>
    <col min="1772" max="1772" width="14.140625" style="2" customWidth="1"/>
    <col min="1773" max="2010" width="9.140625" style="2"/>
    <col min="2011" max="2011" width="2.7109375" style="2" customWidth="1"/>
    <col min="2012" max="2012" width="50.42578125" style="2" customWidth="1"/>
    <col min="2013" max="2021" width="7.85546875" style="2" customWidth="1"/>
    <col min="2022" max="2022" width="9.140625" style="2" customWidth="1"/>
    <col min="2023" max="2024" width="7.85546875" style="2" customWidth="1"/>
    <col min="2025" max="2025" width="8.85546875" style="2" customWidth="1"/>
    <col min="2026" max="2027" width="9.140625" style="2"/>
    <col min="2028" max="2028" width="14.140625" style="2" customWidth="1"/>
    <col min="2029" max="2266" width="9.140625" style="2"/>
    <col min="2267" max="2267" width="2.7109375" style="2" customWidth="1"/>
    <col min="2268" max="2268" width="50.42578125" style="2" customWidth="1"/>
    <col min="2269" max="2277" width="7.85546875" style="2" customWidth="1"/>
    <col min="2278" max="2278" width="9.140625" style="2" customWidth="1"/>
    <col min="2279" max="2280" width="7.85546875" style="2" customWidth="1"/>
    <col min="2281" max="2281" width="8.85546875" style="2" customWidth="1"/>
    <col min="2282" max="2283" width="9.140625" style="2"/>
    <col min="2284" max="2284" width="14.140625" style="2" customWidth="1"/>
    <col min="2285" max="2522" width="9.140625" style="2"/>
    <col min="2523" max="2523" width="2.7109375" style="2" customWidth="1"/>
    <col min="2524" max="2524" width="50.42578125" style="2" customWidth="1"/>
    <col min="2525" max="2533" width="7.85546875" style="2" customWidth="1"/>
    <col min="2534" max="2534" width="9.140625" style="2" customWidth="1"/>
    <col min="2535" max="2536" width="7.85546875" style="2" customWidth="1"/>
    <col min="2537" max="2537" width="8.85546875" style="2" customWidth="1"/>
    <col min="2538" max="2539" width="9.140625" style="2"/>
    <col min="2540" max="2540" width="14.140625" style="2" customWidth="1"/>
    <col min="2541" max="2778" width="9.140625" style="2"/>
    <col min="2779" max="2779" width="2.7109375" style="2" customWidth="1"/>
    <col min="2780" max="2780" width="50.42578125" style="2" customWidth="1"/>
    <col min="2781" max="2789" width="7.85546875" style="2" customWidth="1"/>
    <col min="2790" max="2790" width="9.140625" style="2" customWidth="1"/>
    <col min="2791" max="2792" width="7.85546875" style="2" customWidth="1"/>
    <col min="2793" max="2793" width="8.85546875" style="2" customWidth="1"/>
    <col min="2794" max="2795" width="9.140625" style="2"/>
    <col min="2796" max="2796" width="14.140625" style="2" customWidth="1"/>
    <col min="2797" max="3034" width="9.140625" style="2"/>
    <col min="3035" max="3035" width="2.7109375" style="2" customWidth="1"/>
    <col min="3036" max="3036" width="50.42578125" style="2" customWidth="1"/>
    <col min="3037" max="3045" width="7.85546875" style="2" customWidth="1"/>
    <col min="3046" max="3046" width="9.140625" style="2" customWidth="1"/>
    <col min="3047" max="3048" width="7.85546875" style="2" customWidth="1"/>
    <col min="3049" max="3049" width="8.85546875" style="2" customWidth="1"/>
    <col min="3050" max="3051" width="9.140625" style="2"/>
    <col min="3052" max="3052" width="14.140625" style="2" customWidth="1"/>
    <col min="3053" max="3290" width="9.140625" style="2"/>
    <col min="3291" max="3291" width="2.7109375" style="2" customWidth="1"/>
    <col min="3292" max="3292" width="50.42578125" style="2" customWidth="1"/>
    <col min="3293" max="3301" width="7.85546875" style="2" customWidth="1"/>
    <col min="3302" max="3302" width="9.140625" style="2" customWidth="1"/>
    <col min="3303" max="3304" width="7.85546875" style="2" customWidth="1"/>
    <col min="3305" max="3305" width="8.85546875" style="2" customWidth="1"/>
    <col min="3306" max="3307" width="9.140625" style="2"/>
    <col min="3308" max="3308" width="14.140625" style="2" customWidth="1"/>
    <col min="3309" max="3546" width="9.140625" style="2"/>
    <col min="3547" max="3547" width="2.7109375" style="2" customWidth="1"/>
    <col min="3548" max="3548" width="50.42578125" style="2" customWidth="1"/>
    <col min="3549" max="3557" width="7.85546875" style="2" customWidth="1"/>
    <col min="3558" max="3558" width="9.140625" style="2" customWidth="1"/>
    <col min="3559" max="3560" width="7.85546875" style="2" customWidth="1"/>
    <col min="3561" max="3561" width="8.85546875" style="2" customWidth="1"/>
    <col min="3562" max="3563" width="9.140625" style="2"/>
    <col min="3564" max="3564" width="14.140625" style="2" customWidth="1"/>
    <col min="3565" max="3802" width="9.140625" style="2"/>
    <col min="3803" max="3803" width="2.7109375" style="2" customWidth="1"/>
    <col min="3804" max="3804" width="50.42578125" style="2" customWidth="1"/>
    <col min="3805" max="3813" width="7.85546875" style="2" customWidth="1"/>
    <col min="3814" max="3814" width="9.140625" style="2" customWidth="1"/>
    <col min="3815" max="3816" width="7.85546875" style="2" customWidth="1"/>
    <col min="3817" max="3817" width="8.85546875" style="2" customWidth="1"/>
    <col min="3818" max="3819" width="9.140625" style="2"/>
    <col min="3820" max="3820" width="14.140625" style="2" customWidth="1"/>
    <col min="3821" max="4058" width="9.140625" style="2"/>
    <col min="4059" max="4059" width="2.7109375" style="2" customWidth="1"/>
    <col min="4060" max="4060" width="50.42578125" style="2" customWidth="1"/>
    <col min="4061" max="4069" width="7.85546875" style="2" customWidth="1"/>
    <col min="4070" max="4070" width="9.140625" style="2" customWidth="1"/>
    <col min="4071" max="4072" width="7.85546875" style="2" customWidth="1"/>
    <col min="4073" max="4073" width="8.85546875" style="2" customWidth="1"/>
    <col min="4074" max="4075" width="9.140625" style="2"/>
    <col min="4076" max="4076" width="14.140625" style="2" customWidth="1"/>
    <col min="4077" max="4314" width="9.140625" style="2"/>
    <col min="4315" max="4315" width="2.7109375" style="2" customWidth="1"/>
    <col min="4316" max="4316" width="50.42578125" style="2" customWidth="1"/>
    <col min="4317" max="4325" width="7.85546875" style="2" customWidth="1"/>
    <col min="4326" max="4326" width="9.140625" style="2" customWidth="1"/>
    <col min="4327" max="4328" width="7.85546875" style="2" customWidth="1"/>
    <col min="4329" max="4329" width="8.85546875" style="2" customWidth="1"/>
    <col min="4330" max="4331" width="9.140625" style="2"/>
    <col min="4332" max="4332" width="14.140625" style="2" customWidth="1"/>
    <col min="4333" max="4570" width="9.140625" style="2"/>
    <col min="4571" max="4571" width="2.7109375" style="2" customWidth="1"/>
    <col min="4572" max="4572" width="50.42578125" style="2" customWidth="1"/>
    <col min="4573" max="4581" width="7.85546875" style="2" customWidth="1"/>
    <col min="4582" max="4582" width="9.140625" style="2" customWidth="1"/>
    <col min="4583" max="4584" width="7.85546875" style="2" customWidth="1"/>
    <col min="4585" max="4585" width="8.85546875" style="2" customWidth="1"/>
    <col min="4586" max="4587" width="9.140625" style="2"/>
    <col min="4588" max="4588" width="14.140625" style="2" customWidth="1"/>
    <col min="4589" max="4826" width="9.140625" style="2"/>
    <col min="4827" max="4827" width="2.7109375" style="2" customWidth="1"/>
    <col min="4828" max="4828" width="50.42578125" style="2" customWidth="1"/>
    <col min="4829" max="4837" width="7.85546875" style="2" customWidth="1"/>
    <col min="4838" max="4838" width="9.140625" style="2" customWidth="1"/>
    <col min="4839" max="4840" width="7.85546875" style="2" customWidth="1"/>
    <col min="4841" max="4841" width="8.85546875" style="2" customWidth="1"/>
    <col min="4842" max="4843" width="9.140625" style="2"/>
    <col min="4844" max="4844" width="14.140625" style="2" customWidth="1"/>
    <col min="4845" max="5082" width="9.140625" style="2"/>
    <col min="5083" max="5083" width="2.7109375" style="2" customWidth="1"/>
    <col min="5084" max="5084" width="50.42578125" style="2" customWidth="1"/>
    <col min="5085" max="5093" width="7.85546875" style="2" customWidth="1"/>
    <col min="5094" max="5094" width="9.140625" style="2" customWidth="1"/>
    <col min="5095" max="5096" width="7.85546875" style="2" customWidth="1"/>
    <col min="5097" max="5097" width="8.85546875" style="2" customWidth="1"/>
    <col min="5098" max="5099" width="9.140625" style="2"/>
    <col min="5100" max="5100" width="14.140625" style="2" customWidth="1"/>
    <col min="5101" max="5338" width="9.140625" style="2"/>
    <col min="5339" max="5339" width="2.7109375" style="2" customWidth="1"/>
    <col min="5340" max="5340" width="50.42578125" style="2" customWidth="1"/>
    <col min="5341" max="5349" width="7.85546875" style="2" customWidth="1"/>
    <col min="5350" max="5350" width="9.140625" style="2" customWidth="1"/>
    <col min="5351" max="5352" width="7.85546875" style="2" customWidth="1"/>
    <col min="5353" max="5353" width="8.85546875" style="2" customWidth="1"/>
    <col min="5354" max="5355" width="9.140625" style="2"/>
    <col min="5356" max="5356" width="14.140625" style="2" customWidth="1"/>
    <col min="5357" max="5594" width="9.140625" style="2"/>
    <col min="5595" max="5595" width="2.7109375" style="2" customWidth="1"/>
    <col min="5596" max="5596" width="50.42578125" style="2" customWidth="1"/>
    <col min="5597" max="5605" width="7.85546875" style="2" customWidth="1"/>
    <col min="5606" max="5606" width="9.140625" style="2" customWidth="1"/>
    <col min="5607" max="5608" width="7.85546875" style="2" customWidth="1"/>
    <col min="5609" max="5609" width="8.85546875" style="2" customWidth="1"/>
    <col min="5610" max="5611" width="9.140625" style="2"/>
    <col min="5612" max="5612" width="14.140625" style="2" customWidth="1"/>
    <col min="5613" max="5850" width="9.140625" style="2"/>
    <col min="5851" max="5851" width="2.7109375" style="2" customWidth="1"/>
    <col min="5852" max="5852" width="50.42578125" style="2" customWidth="1"/>
    <col min="5853" max="5861" width="7.85546875" style="2" customWidth="1"/>
    <col min="5862" max="5862" width="9.140625" style="2" customWidth="1"/>
    <col min="5863" max="5864" width="7.85546875" style="2" customWidth="1"/>
    <col min="5865" max="5865" width="8.85546875" style="2" customWidth="1"/>
    <col min="5866" max="5867" width="9.140625" style="2"/>
    <col min="5868" max="5868" width="14.140625" style="2" customWidth="1"/>
    <col min="5869" max="6106" width="9.140625" style="2"/>
    <col min="6107" max="6107" width="2.7109375" style="2" customWidth="1"/>
    <col min="6108" max="6108" width="50.42578125" style="2" customWidth="1"/>
    <col min="6109" max="6117" width="7.85546875" style="2" customWidth="1"/>
    <col min="6118" max="6118" width="9.140625" style="2" customWidth="1"/>
    <col min="6119" max="6120" width="7.85546875" style="2" customWidth="1"/>
    <col min="6121" max="6121" width="8.85546875" style="2" customWidth="1"/>
    <col min="6122" max="6123" width="9.140625" style="2"/>
    <col min="6124" max="6124" width="14.140625" style="2" customWidth="1"/>
    <col min="6125" max="6362" width="9.140625" style="2"/>
    <col min="6363" max="6363" width="2.7109375" style="2" customWidth="1"/>
    <col min="6364" max="6364" width="50.42578125" style="2" customWidth="1"/>
    <col min="6365" max="6373" width="7.85546875" style="2" customWidth="1"/>
    <col min="6374" max="6374" width="9.140625" style="2" customWidth="1"/>
    <col min="6375" max="6376" width="7.85546875" style="2" customWidth="1"/>
    <col min="6377" max="6377" width="8.85546875" style="2" customWidth="1"/>
    <col min="6378" max="6379" width="9.140625" style="2"/>
    <col min="6380" max="6380" width="14.140625" style="2" customWidth="1"/>
    <col min="6381" max="6618" width="9.140625" style="2"/>
    <col min="6619" max="6619" width="2.7109375" style="2" customWidth="1"/>
    <col min="6620" max="6620" width="50.42578125" style="2" customWidth="1"/>
    <col min="6621" max="6629" width="7.85546875" style="2" customWidth="1"/>
    <col min="6630" max="6630" width="9.140625" style="2" customWidth="1"/>
    <col min="6631" max="6632" width="7.85546875" style="2" customWidth="1"/>
    <col min="6633" max="6633" width="8.85546875" style="2" customWidth="1"/>
    <col min="6634" max="6635" width="9.140625" style="2"/>
    <col min="6636" max="6636" width="14.140625" style="2" customWidth="1"/>
    <col min="6637" max="6874" width="9.140625" style="2"/>
    <col min="6875" max="6875" width="2.7109375" style="2" customWidth="1"/>
    <col min="6876" max="6876" width="50.42578125" style="2" customWidth="1"/>
    <col min="6877" max="6885" width="7.85546875" style="2" customWidth="1"/>
    <col min="6886" max="6886" width="9.140625" style="2" customWidth="1"/>
    <col min="6887" max="6888" width="7.85546875" style="2" customWidth="1"/>
    <col min="6889" max="6889" width="8.85546875" style="2" customWidth="1"/>
    <col min="6890" max="6891" width="9.140625" style="2"/>
    <col min="6892" max="6892" width="14.140625" style="2" customWidth="1"/>
    <col min="6893" max="7130" width="9.140625" style="2"/>
    <col min="7131" max="7131" width="2.7109375" style="2" customWidth="1"/>
    <col min="7132" max="7132" width="50.42578125" style="2" customWidth="1"/>
    <col min="7133" max="7141" width="7.85546875" style="2" customWidth="1"/>
    <col min="7142" max="7142" width="9.140625" style="2" customWidth="1"/>
    <col min="7143" max="7144" width="7.85546875" style="2" customWidth="1"/>
    <col min="7145" max="7145" width="8.85546875" style="2" customWidth="1"/>
    <col min="7146" max="7147" width="9.140625" style="2"/>
    <col min="7148" max="7148" width="14.140625" style="2" customWidth="1"/>
    <col min="7149" max="7386" width="9.140625" style="2"/>
    <col min="7387" max="7387" width="2.7109375" style="2" customWidth="1"/>
    <col min="7388" max="7388" width="50.42578125" style="2" customWidth="1"/>
    <col min="7389" max="7397" width="7.85546875" style="2" customWidth="1"/>
    <col min="7398" max="7398" width="9.140625" style="2" customWidth="1"/>
    <col min="7399" max="7400" width="7.85546875" style="2" customWidth="1"/>
    <col min="7401" max="7401" width="8.85546875" style="2" customWidth="1"/>
    <col min="7402" max="7403" width="9.140625" style="2"/>
    <col min="7404" max="7404" width="14.140625" style="2" customWidth="1"/>
    <col min="7405" max="7642" width="9.140625" style="2"/>
    <col min="7643" max="7643" width="2.7109375" style="2" customWidth="1"/>
    <col min="7644" max="7644" width="50.42578125" style="2" customWidth="1"/>
    <col min="7645" max="7653" width="7.85546875" style="2" customWidth="1"/>
    <col min="7654" max="7654" width="9.140625" style="2" customWidth="1"/>
    <col min="7655" max="7656" width="7.85546875" style="2" customWidth="1"/>
    <col min="7657" max="7657" width="8.85546875" style="2" customWidth="1"/>
    <col min="7658" max="7659" width="9.140625" style="2"/>
    <col min="7660" max="7660" width="14.140625" style="2" customWidth="1"/>
    <col min="7661" max="7898" width="9.140625" style="2"/>
    <col min="7899" max="7899" width="2.7109375" style="2" customWidth="1"/>
    <col min="7900" max="7900" width="50.42578125" style="2" customWidth="1"/>
    <col min="7901" max="7909" width="7.85546875" style="2" customWidth="1"/>
    <col min="7910" max="7910" width="9.140625" style="2" customWidth="1"/>
    <col min="7911" max="7912" width="7.85546875" style="2" customWidth="1"/>
    <col min="7913" max="7913" width="8.85546875" style="2" customWidth="1"/>
    <col min="7914" max="7915" width="9.140625" style="2"/>
    <col min="7916" max="7916" width="14.140625" style="2" customWidth="1"/>
    <col min="7917" max="8154" width="9.140625" style="2"/>
    <col min="8155" max="8155" width="2.7109375" style="2" customWidth="1"/>
    <col min="8156" max="8156" width="50.42578125" style="2" customWidth="1"/>
    <col min="8157" max="8165" width="7.85546875" style="2" customWidth="1"/>
    <col min="8166" max="8166" width="9.140625" style="2" customWidth="1"/>
    <col min="8167" max="8168" width="7.85546875" style="2" customWidth="1"/>
    <col min="8169" max="8169" width="8.85546875" style="2" customWidth="1"/>
    <col min="8170" max="8171" width="9.140625" style="2"/>
    <col min="8172" max="8172" width="14.140625" style="2" customWidth="1"/>
    <col min="8173" max="8410" width="9.140625" style="2"/>
    <col min="8411" max="8411" width="2.7109375" style="2" customWidth="1"/>
    <col min="8412" max="8412" width="50.42578125" style="2" customWidth="1"/>
    <col min="8413" max="8421" width="7.85546875" style="2" customWidth="1"/>
    <col min="8422" max="8422" width="9.140625" style="2" customWidth="1"/>
    <col min="8423" max="8424" width="7.85546875" style="2" customWidth="1"/>
    <col min="8425" max="8425" width="8.85546875" style="2" customWidth="1"/>
    <col min="8426" max="8427" width="9.140625" style="2"/>
    <col min="8428" max="8428" width="14.140625" style="2" customWidth="1"/>
    <col min="8429" max="8666" width="9.140625" style="2"/>
    <col min="8667" max="8667" width="2.7109375" style="2" customWidth="1"/>
    <col min="8668" max="8668" width="50.42578125" style="2" customWidth="1"/>
    <col min="8669" max="8677" width="7.85546875" style="2" customWidth="1"/>
    <col min="8678" max="8678" width="9.140625" style="2" customWidth="1"/>
    <col min="8679" max="8680" width="7.85546875" style="2" customWidth="1"/>
    <col min="8681" max="8681" width="8.85546875" style="2" customWidth="1"/>
    <col min="8682" max="8683" width="9.140625" style="2"/>
    <col min="8684" max="8684" width="14.140625" style="2" customWidth="1"/>
    <col min="8685" max="8922" width="9.140625" style="2"/>
    <col min="8923" max="8923" width="2.7109375" style="2" customWidth="1"/>
    <col min="8924" max="8924" width="50.42578125" style="2" customWidth="1"/>
    <col min="8925" max="8933" width="7.85546875" style="2" customWidth="1"/>
    <col min="8934" max="8934" width="9.140625" style="2" customWidth="1"/>
    <col min="8935" max="8936" width="7.85546875" style="2" customWidth="1"/>
    <col min="8937" max="8937" width="8.85546875" style="2" customWidth="1"/>
    <col min="8938" max="8939" width="9.140625" style="2"/>
    <col min="8940" max="8940" width="14.140625" style="2" customWidth="1"/>
    <col min="8941" max="9178" width="9.140625" style="2"/>
    <col min="9179" max="9179" width="2.7109375" style="2" customWidth="1"/>
    <col min="9180" max="9180" width="50.42578125" style="2" customWidth="1"/>
    <col min="9181" max="9189" width="7.85546875" style="2" customWidth="1"/>
    <col min="9190" max="9190" width="9.140625" style="2" customWidth="1"/>
    <col min="9191" max="9192" width="7.85546875" style="2" customWidth="1"/>
    <col min="9193" max="9193" width="8.85546875" style="2" customWidth="1"/>
    <col min="9194" max="9195" width="9.140625" style="2"/>
    <col min="9196" max="9196" width="14.140625" style="2" customWidth="1"/>
    <col min="9197" max="9434" width="9.140625" style="2"/>
    <col min="9435" max="9435" width="2.7109375" style="2" customWidth="1"/>
    <col min="9436" max="9436" width="50.42578125" style="2" customWidth="1"/>
    <col min="9437" max="9445" width="7.85546875" style="2" customWidth="1"/>
    <col min="9446" max="9446" width="9.140625" style="2" customWidth="1"/>
    <col min="9447" max="9448" width="7.85546875" style="2" customWidth="1"/>
    <col min="9449" max="9449" width="8.85546875" style="2" customWidth="1"/>
    <col min="9450" max="9451" width="9.140625" style="2"/>
    <col min="9452" max="9452" width="14.140625" style="2" customWidth="1"/>
    <col min="9453" max="9690" width="9.140625" style="2"/>
    <col min="9691" max="9691" width="2.7109375" style="2" customWidth="1"/>
    <col min="9692" max="9692" width="50.42578125" style="2" customWidth="1"/>
    <col min="9693" max="9701" width="7.85546875" style="2" customWidth="1"/>
    <col min="9702" max="9702" width="9.140625" style="2" customWidth="1"/>
    <col min="9703" max="9704" width="7.85546875" style="2" customWidth="1"/>
    <col min="9705" max="9705" width="8.85546875" style="2" customWidth="1"/>
    <col min="9706" max="9707" width="9.140625" style="2"/>
    <col min="9708" max="9708" width="14.140625" style="2" customWidth="1"/>
    <col min="9709" max="9946" width="9.140625" style="2"/>
    <col min="9947" max="9947" width="2.7109375" style="2" customWidth="1"/>
    <col min="9948" max="9948" width="50.42578125" style="2" customWidth="1"/>
    <col min="9949" max="9957" width="7.85546875" style="2" customWidth="1"/>
    <col min="9958" max="9958" width="9.140625" style="2" customWidth="1"/>
    <col min="9959" max="9960" width="7.85546875" style="2" customWidth="1"/>
    <col min="9961" max="9961" width="8.85546875" style="2" customWidth="1"/>
    <col min="9962" max="9963" width="9.140625" style="2"/>
    <col min="9964" max="9964" width="14.140625" style="2" customWidth="1"/>
    <col min="9965" max="10202" width="9.140625" style="2"/>
    <col min="10203" max="10203" width="2.7109375" style="2" customWidth="1"/>
    <col min="10204" max="10204" width="50.42578125" style="2" customWidth="1"/>
    <col min="10205" max="10213" width="7.85546875" style="2" customWidth="1"/>
    <col min="10214" max="10214" width="9.140625" style="2" customWidth="1"/>
    <col min="10215" max="10216" width="7.85546875" style="2" customWidth="1"/>
    <col min="10217" max="10217" width="8.85546875" style="2" customWidth="1"/>
    <col min="10218" max="10219" width="9.140625" style="2"/>
    <col min="10220" max="10220" width="14.140625" style="2" customWidth="1"/>
    <col min="10221" max="10458" width="9.140625" style="2"/>
    <col min="10459" max="10459" width="2.7109375" style="2" customWidth="1"/>
    <col min="10460" max="10460" width="50.42578125" style="2" customWidth="1"/>
    <col min="10461" max="10469" width="7.85546875" style="2" customWidth="1"/>
    <col min="10470" max="10470" width="9.140625" style="2" customWidth="1"/>
    <col min="10471" max="10472" width="7.85546875" style="2" customWidth="1"/>
    <col min="10473" max="10473" width="8.85546875" style="2" customWidth="1"/>
    <col min="10474" max="10475" width="9.140625" style="2"/>
    <col min="10476" max="10476" width="14.140625" style="2" customWidth="1"/>
    <col min="10477" max="10714" width="9.140625" style="2"/>
    <col min="10715" max="10715" width="2.7109375" style="2" customWidth="1"/>
    <col min="10716" max="10716" width="50.42578125" style="2" customWidth="1"/>
    <col min="10717" max="10725" width="7.85546875" style="2" customWidth="1"/>
    <col min="10726" max="10726" width="9.140625" style="2" customWidth="1"/>
    <col min="10727" max="10728" width="7.85546875" style="2" customWidth="1"/>
    <col min="10729" max="10729" width="8.85546875" style="2" customWidth="1"/>
    <col min="10730" max="10731" width="9.140625" style="2"/>
    <col min="10732" max="10732" width="14.140625" style="2" customWidth="1"/>
    <col min="10733" max="10970" width="9.140625" style="2"/>
    <col min="10971" max="10971" width="2.7109375" style="2" customWidth="1"/>
    <col min="10972" max="10972" width="50.42578125" style="2" customWidth="1"/>
    <col min="10973" max="10981" width="7.85546875" style="2" customWidth="1"/>
    <col min="10982" max="10982" width="9.140625" style="2" customWidth="1"/>
    <col min="10983" max="10984" width="7.85546875" style="2" customWidth="1"/>
    <col min="10985" max="10985" width="8.85546875" style="2" customWidth="1"/>
    <col min="10986" max="10987" width="9.140625" style="2"/>
    <col min="10988" max="10988" width="14.140625" style="2" customWidth="1"/>
    <col min="10989" max="11226" width="9.140625" style="2"/>
    <col min="11227" max="11227" width="2.7109375" style="2" customWidth="1"/>
    <col min="11228" max="11228" width="50.42578125" style="2" customWidth="1"/>
    <col min="11229" max="11237" width="7.85546875" style="2" customWidth="1"/>
    <col min="11238" max="11238" width="9.140625" style="2" customWidth="1"/>
    <col min="11239" max="11240" width="7.85546875" style="2" customWidth="1"/>
    <col min="11241" max="11241" width="8.85546875" style="2" customWidth="1"/>
    <col min="11242" max="11243" width="9.140625" style="2"/>
    <col min="11244" max="11244" width="14.140625" style="2" customWidth="1"/>
    <col min="11245" max="11482" width="9.140625" style="2"/>
    <col min="11483" max="11483" width="2.7109375" style="2" customWidth="1"/>
    <col min="11484" max="11484" width="50.42578125" style="2" customWidth="1"/>
    <col min="11485" max="11493" width="7.85546875" style="2" customWidth="1"/>
    <col min="11494" max="11494" width="9.140625" style="2" customWidth="1"/>
    <col min="11495" max="11496" width="7.85546875" style="2" customWidth="1"/>
    <col min="11497" max="11497" width="8.85546875" style="2" customWidth="1"/>
    <col min="11498" max="11499" width="9.140625" style="2"/>
    <col min="11500" max="11500" width="14.140625" style="2" customWidth="1"/>
    <col min="11501" max="11738" width="9.140625" style="2"/>
    <col min="11739" max="11739" width="2.7109375" style="2" customWidth="1"/>
    <col min="11740" max="11740" width="50.42578125" style="2" customWidth="1"/>
    <col min="11741" max="11749" width="7.85546875" style="2" customWidth="1"/>
    <col min="11750" max="11750" width="9.140625" style="2" customWidth="1"/>
    <col min="11751" max="11752" width="7.85546875" style="2" customWidth="1"/>
    <col min="11753" max="11753" width="8.85546875" style="2" customWidth="1"/>
    <col min="11754" max="11755" width="9.140625" style="2"/>
    <col min="11756" max="11756" width="14.140625" style="2" customWidth="1"/>
    <col min="11757" max="11994" width="9.140625" style="2"/>
    <col min="11995" max="11995" width="2.7109375" style="2" customWidth="1"/>
    <col min="11996" max="11996" width="50.42578125" style="2" customWidth="1"/>
    <col min="11997" max="12005" width="7.85546875" style="2" customWidth="1"/>
    <col min="12006" max="12006" width="9.140625" style="2" customWidth="1"/>
    <col min="12007" max="12008" width="7.85546875" style="2" customWidth="1"/>
    <col min="12009" max="12009" width="8.85546875" style="2" customWidth="1"/>
    <col min="12010" max="12011" width="9.140625" style="2"/>
    <col min="12012" max="12012" width="14.140625" style="2" customWidth="1"/>
    <col min="12013" max="12250" width="9.140625" style="2"/>
    <col min="12251" max="12251" width="2.7109375" style="2" customWidth="1"/>
    <col min="12252" max="12252" width="50.42578125" style="2" customWidth="1"/>
    <col min="12253" max="12261" width="7.85546875" style="2" customWidth="1"/>
    <col min="12262" max="12262" width="9.140625" style="2" customWidth="1"/>
    <col min="12263" max="12264" width="7.85546875" style="2" customWidth="1"/>
    <col min="12265" max="12265" width="8.85546875" style="2" customWidth="1"/>
    <col min="12266" max="12267" width="9.140625" style="2"/>
    <col min="12268" max="12268" width="14.140625" style="2" customWidth="1"/>
    <col min="12269" max="12506" width="9.140625" style="2"/>
    <col min="12507" max="12507" width="2.7109375" style="2" customWidth="1"/>
    <col min="12508" max="12508" width="50.42578125" style="2" customWidth="1"/>
    <col min="12509" max="12517" width="7.85546875" style="2" customWidth="1"/>
    <col min="12518" max="12518" width="9.140625" style="2" customWidth="1"/>
    <col min="12519" max="12520" width="7.85546875" style="2" customWidth="1"/>
    <col min="12521" max="12521" width="8.85546875" style="2" customWidth="1"/>
    <col min="12522" max="12523" width="9.140625" style="2"/>
    <col min="12524" max="12524" width="14.140625" style="2" customWidth="1"/>
    <col min="12525" max="12762" width="9.140625" style="2"/>
    <col min="12763" max="12763" width="2.7109375" style="2" customWidth="1"/>
    <col min="12764" max="12764" width="50.42578125" style="2" customWidth="1"/>
    <col min="12765" max="12773" width="7.85546875" style="2" customWidth="1"/>
    <col min="12774" max="12774" width="9.140625" style="2" customWidth="1"/>
    <col min="12775" max="12776" width="7.85546875" style="2" customWidth="1"/>
    <col min="12777" max="12777" width="8.85546875" style="2" customWidth="1"/>
    <col min="12778" max="12779" width="9.140625" style="2"/>
    <col min="12780" max="12780" width="14.140625" style="2" customWidth="1"/>
    <col min="12781" max="13018" width="9.140625" style="2"/>
    <col min="13019" max="13019" width="2.7109375" style="2" customWidth="1"/>
    <col min="13020" max="13020" width="50.42578125" style="2" customWidth="1"/>
    <col min="13021" max="13029" width="7.85546875" style="2" customWidth="1"/>
    <col min="13030" max="13030" width="9.140625" style="2" customWidth="1"/>
    <col min="13031" max="13032" width="7.85546875" style="2" customWidth="1"/>
    <col min="13033" max="13033" width="8.85546875" style="2" customWidth="1"/>
    <col min="13034" max="13035" width="9.140625" style="2"/>
    <col min="13036" max="13036" width="14.140625" style="2" customWidth="1"/>
    <col min="13037" max="13274" width="9.140625" style="2"/>
    <col min="13275" max="13275" width="2.7109375" style="2" customWidth="1"/>
    <col min="13276" max="13276" width="50.42578125" style="2" customWidth="1"/>
    <col min="13277" max="13285" width="7.85546875" style="2" customWidth="1"/>
    <col min="13286" max="13286" width="9.140625" style="2" customWidth="1"/>
    <col min="13287" max="13288" width="7.85546875" style="2" customWidth="1"/>
    <col min="13289" max="13289" width="8.85546875" style="2" customWidth="1"/>
    <col min="13290" max="13291" width="9.140625" style="2"/>
    <col min="13292" max="13292" width="14.140625" style="2" customWidth="1"/>
    <col min="13293" max="13530" width="9.140625" style="2"/>
    <col min="13531" max="13531" width="2.7109375" style="2" customWidth="1"/>
    <col min="13532" max="13532" width="50.42578125" style="2" customWidth="1"/>
    <col min="13533" max="13541" width="7.85546875" style="2" customWidth="1"/>
    <col min="13542" max="13542" width="9.140625" style="2" customWidth="1"/>
    <col min="13543" max="13544" width="7.85546875" style="2" customWidth="1"/>
    <col min="13545" max="13545" width="8.85546875" style="2" customWidth="1"/>
    <col min="13546" max="13547" width="9.140625" style="2"/>
    <col min="13548" max="13548" width="14.140625" style="2" customWidth="1"/>
    <col min="13549" max="13786" width="9.140625" style="2"/>
    <col min="13787" max="13787" width="2.7109375" style="2" customWidth="1"/>
    <col min="13788" max="13788" width="50.42578125" style="2" customWidth="1"/>
    <col min="13789" max="13797" width="7.85546875" style="2" customWidth="1"/>
    <col min="13798" max="13798" width="9.140625" style="2" customWidth="1"/>
    <col min="13799" max="13800" width="7.85546875" style="2" customWidth="1"/>
    <col min="13801" max="13801" width="8.85546875" style="2" customWidth="1"/>
    <col min="13802" max="13803" width="9.140625" style="2"/>
    <col min="13804" max="13804" width="14.140625" style="2" customWidth="1"/>
    <col min="13805" max="14042" width="9.140625" style="2"/>
    <col min="14043" max="14043" width="2.7109375" style="2" customWidth="1"/>
    <col min="14044" max="14044" width="50.42578125" style="2" customWidth="1"/>
    <col min="14045" max="14053" width="7.85546875" style="2" customWidth="1"/>
    <col min="14054" max="14054" width="9.140625" style="2" customWidth="1"/>
    <col min="14055" max="14056" width="7.85546875" style="2" customWidth="1"/>
    <col min="14057" max="14057" width="8.85546875" style="2" customWidth="1"/>
    <col min="14058" max="14059" width="9.140625" style="2"/>
    <col min="14060" max="14060" width="14.140625" style="2" customWidth="1"/>
    <col min="14061" max="14298" width="9.140625" style="2"/>
    <col min="14299" max="14299" width="2.7109375" style="2" customWidth="1"/>
    <col min="14300" max="14300" width="50.42578125" style="2" customWidth="1"/>
    <col min="14301" max="14309" width="7.85546875" style="2" customWidth="1"/>
    <col min="14310" max="14310" width="9.140625" style="2" customWidth="1"/>
    <col min="14311" max="14312" width="7.85546875" style="2" customWidth="1"/>
    <col min="14313" max="14313" width="8.85546875" style="2" customWidth="1"/>
    <col min="14314" max="14315" width="9.140625" style="2"/>
    <col min="14316" max="14316" width="14.140625" style="2" customWidth="1"/>
    <col min="14317" max="14554" width="9.140625" style="2"/>
    <col min="14555" max="14555" width="2.7109375" style="2" customWidth="1"/>
    <col min="14556" max="14556" width="50.42578125" style="2" customWidth="1"/>
    <col min="14557" max="14565" width="7.85546875" style="2" customWidth="1"/>
    <col min="14566" max="14566" width="9.140625" style="2" customWidth="1"/>
    <col min="14567" max="14568" width="7.85546875" style="2" customWidth="1"/>
    <col min="14569" max="14569" width="8.85546875" style="2" customWidth="1"/>
    <col min="14570" max="14571" width="9.140625" style="2"/>
    <col min="14572" max="14572" width="14.140625" style="2" customWidth="1"/>
    <col min="14573" max="14810" width="9.140625" style="2"/>
    <col min="14811" max="14811" width="2.7109375" style="2" customWidth="1"/>
    <col min="14812" max="14812" width="50.42578125" style="2" customWidth="1"/>
    <col min="14813" max="14821" width="7.85546875" style="2" customWidth="1"/>
    <col min="14822" max="14822" width="9.140625" style="2" customWidth="1"/>
    <col min="14823" max="14824" width="7.85546875" style="2" customWidth="1"/>
    <col min="14825" max="14825" width="8.85546875" style="2" customWidth="1"/>
    <col min="14826" max="14827" width="9.140625" style="2"/>
    <col min="14828" max="14828" width="14.140625" style="2" customWidth="1"/>
    <col min="14829" max="15066" width="9.140625" style="2"/>
    <col min="15067" max="15067" width="2.7109375" style="2" customWidth="1"/>
    <col min="15068" max="15068" width="50.42578125" style="2" customWidth="1"/>
    <col min="15069" max="15077" width="7.85546875" style="2" customWidth="1"/>
    <col min="15078" max="15078" width="9.140625" style="2" customWidth="1"/>
    <col min="15079" max="15080" width="7.85546875" style="2" customWidth="1"/>
    <col min="15081" max="15081" width="8.85546875" style="2" customWidth="1"/>
    <col min="15082" max="15083" width="9.140625" style="2"/>
    <col min="15084" max="15084" width="14.140625" style="2" customWidth="1"/>
    <col min="15085" max="15322" width="9.140625" style="2"/>
    <col min="15323" max="15323" width="2.7109375" style="2" customWidth="1"/>
    <col min="15324" max="15324" width="50.42578125" style="2" customWidth="1"/>
    <col min="15325" max="15333" width="7.85546875" style="2" customWidth="1"/>
    <col min="15334" max="15334" width="9.140625" style="2" customWidth="1"/>
    <col min="15335" max="15336" width="7.85546875" style="2" customWidth="1"/>
    <col min="15337" max="15337" width="8.85546875" style="2" customWidth="1"/>
    <col min="15338" max="15339" width="9.140625" style="2"/>
    <col min="15340" max="15340" width="14.140625" style="2" customWidth="1"/>
    <col min="15341" max="15578" width="9.140625" style="2"/>
    <col min="15579" max="15579" width="2.7109375" style="2" customWidth="1"/>
    <col min="15580" max="15580" width="50.42578125" style="2" customWidth="1"/>
    <col min="15581" max="15589" width="7.85546875" style="2" customWidth="1"/>
    <col min="15590" max="15590" width="9.140625" style="2" customWidth="1"/>
    <col min="15591" max="15592" width="7.85546875" style="2" customWidth="1"/>
    <col min="15593" max="15593" width="8.85546875" style="2" customWidth="1"/>
    <col min="15594" max="15595" width="9.140625" style="2"/>
    <col min="15596" max="15596" width="14.140625" style="2" customWidth="1"/>
    <col min="15597" max="15834" width="9.140625" style="2"/>
    <col min="15835" max="15835" width="2.7109375" style="2" customWidth="1"/>
    <col min="15836" max="15836" width="50.42578125" style="2" customWidth="1"/>
    <col min="15837" max="15845" width="7.85546875" style="2" customWidth="1"/>
    <col min="15846" max="15846" width="9.140625" style="2" customWidth="1"/>
    <col min="15847" max="15848" width="7.85546875" style="2" customWidth="1"/>
    <col min="15849" max="15849" width="8.85546875" style="2" customWidth="1"/>
    <col min="15850" max="15851" width="9.140625" style="2"/>
    <col min="15852" max="15852" width="14.140625" style="2" customWidth="1"/>
    <col min="15853" max="16090" width="9.140625" style="2"/>
    <col min="16091" max="16091" width="2.7109375" style="2" customWidth="1"/>
    <col min="16092" max="16092" width="50.42578125" style="2" customWidth="1"/>
    <col min="16093" max="16101" width="7.85546875" style="2" customWidth="1"/>
    <col min="16102" max="16102" width="9.140625" style="2" customWidth="1"/>
    <col min="16103" max="16104" width="7.85546875" style="2" customWidth="1"/>
    <col min="16105" max="16105" width="8.85546875" style="2" customWidth="1"/>
    <col min="16106" max="16107" width="9.140625" style="2"/>
    <col min="16108" max="16108" width="14.140625" style="2" customWidth="1"/>
    <col min="16109" max="16384" width="9.140625" style="2"/>
  </cols>
  <sheetData>
    <row r="1" spans="1:15" ht="15" x14ac:dyDescent="0.25">
      <c r="A1" s="1" t="s">
        <v>0</v>
      </c>
      <c r="B1" s="1"/>
      <c r="C1" s="1"/>
    </row>
    <row r="2" spans="1:15" ht="15" x14ac:dyDescent="0.25">
      <c r="A2" s="1" t="s">
        <v>1</v>
      </c>
      <c r="B2" s="1"/>
      <c r="C2" s="1"/>
    </row>
    <row r="3" spans="1:15" ht="15" x14ac:dyDescent="0.25">
      <c r="A3" s="315" t="s">
        <v>411</v>
      </c>
      <c r="B3" s="315"/>
      <c r="C3" s="315"/>
    </row>
    <row r="4" spans="1:15" x14ac:dyDescent="0.2">
      <c r="A4" s="2" t="s">
        <v>3</v>
      </c>
    </row>
    <row r="6" spans="1:15" x14ac:dyDescent="0.2">
      <c r="A6" s="317" t="s">
        <v>5</v>
      </c>
      <c r="B6" s="317"/>
      <c r="C6" s="126"/>
      <c r="D6" s="126"/>
      <c r="E6" s="126"/>
      <c r="F6" s="126"/>
      <c r="G6" s="126"/>
      <c r="H6" s="126"/>
      <c r="I6" s="126"/>
      <c r="J6" s="126"/>
      <c r="K6" s="126"/>
      <c r="L6" s="126"/>
      <c r="M6" s="126"/>
      <c r="N6" s="126"/>
      <c r="O6" s="323" t="s">
        <v>19</v>
      </c>
    </row>
    <row r="7" spans="1:15" ht="15" thickBot="1" x14ac:dyDescent="0.25">
      <c r="A7" s="319"/>
      <c r="B7" s="319"/>
      <c r="C7" s="127" t="s">
        <v>7</v>
      </c>
      <c r="D7" s="127" t="s">
        <v>8</v>
      </c>
      <c r="E7" s="127" t="s">
        <v>412</v>
      </c>
      <c r="F7" s="127" t="s">
        <v>10</v>
      </c>
      <c r="G7" s="127" t="s">
        <v>11</v>
      </c>
      <c r="H7" s="127" t="s">
        <v>12</v>
      </c>
      <c r="I7" s="127" t="s">
        <v>13</v>
      </c>
      <c r="J7" s="127" t="s">
        <v>14</v>
      </c>
      <c r="K7" s="127" t="s">
        <v>15</v>
      </c>
      <c r="L7" s="127" t="s">
        <v>16</v>
      </c>
      <c r="M7" s="127" t="s">
        <v>17</v>
      </c>
      <c r="N7" s="127" t="s">
        <v>18</v>
      </c>
      <c r="O7" s="324"/>
    </row>
    <row r="8" spans="1:15" ht="15.75" thickTop="1" x14ac:dyDescent="0.25">
      <c r="A8" s="24"/>
      <c r="B8" s="24"/>
      <c r="C8" s="24"/>
    </row>
    <row r="9" spans="1:15" s="4" customFormat="1" ht="15" x14ac:dyDescent="0.25">
      <c r="A9" s="3" t="s">
        <v>20</v>
      </c>
      <c r="C9" s="5">
        <v>482.09999999999991</v>
      </c>
      <c r="D9" s="5">
        <v>734.87</v>
      </c>
      <c r="E9" s="5">
        <v>258.09999999999997</v>
      </c>
      <c r="F9" s="5">
        <v>304</v>
      </c>
      <c r="G9" s="5">
        <v>363.95</v>
      </c>
      <c r="H9" s="5">
        <v>280.59000000000003</v>
      </c>
      <c r="I9" s="5">
        <v>333.98999999999995</v>
      </c>
      <c r="J9" s="5">
        <v>664.47</v>
      </c>
      <c r="K9" s="5">
        <v>343.09999999999997</v>
      </c>
      <c r="L9" s="29">
        <v>2593.5700000000002</v>
      </c>
      <c r="M9" s="29">
        <v>270.06000000000006</v>
      </c>
      <c r="N9" s="29">
        <v>356.21</v>
      </c>
      <c r="O9" s="21">
        <v>6985.01</v>
      </c>
    </row>
    <row r="10" spans="1:15" x14ac:dyDescent="0.2">
      <c r="B10" s="2" t="s">
        <v>239</v>
      </c>
      <c r="C10" s="7">
        <v>1.31</v>
      </c>
      <c r="D10" s="7">
        <v>1.53</v>
      </c>
      <c r="E10" s="7">
        <v>0.84</v>
      </c>
      <c r="F10" s="7">
        <v>0.75</v>
      </c>
      <c r="G10" s="7">
        <v>0.74</v>
      </c>
      <c r="H10" s="7">
        <v>0.69</v>
      </c>
      <c r="I10" s="7">
        <v>1.05</v>
      </c>
      <c r="J10" s="7">
        <v>2.78</v>
      </c>
      <c r="K10" s="7">
        <v>0.34</v>
      </c>
      <c r="L10" s="7">
        <v>3</v>
      </c>
      <c r="M10" s="7">
        <v>0.83</v>
      </c>
      <c r="N10" s="7">
        <v>0.56999999999999995</v>
      </c>
      <c r="O10" s="22">
        <v>14.43</v>
      </c>
    </row>
    <row r="11" spans="1:15" x14ac:dyDescent="0.2">
      <c r="B11" s="2" t="s">
        <v>240</v>
      </c>
      <c r="C11" s="7">
        <v>3.15</v>
      </c>
      <c r="D11" s="7">
        <v>6.29</v>
      </c>
      <c r="E11" s="7">
        <v>3.94</v>
      </c>
      <c r="F11" s="7">
        <v>3.68</v>
      </c>
      <c r="G11" s="7">
        <v>3.25</v>
      </c>
      <c r="H11" s="7">
        <v>3.39</v>
      </c>
      <c r="I11" s="7">
        <v>6.44</v>
      </c>
      <c r="J11" s="7">
        <v>14.24</v>
      </c>
      <c r="K11" s="7">
        <v>3.13</v>
      </c>
      <c r="L11" s="7">
        <v>2.94</v>
      </c>
      <c r="M11" s="7">
        <v>9.81</v>
      </c>
      <c r="N11" s="7">
        <v>1.47</v>
      </c>
      <c r="O11" s="22">
        <v>61.730000000000004</v>
      </c>
    </row>
    <row r="12" spans="1:15" x14ac:dyDescent="0.2">
      <c r="B12" s="2" t="s">
        <v>241</v>
      </c>
      <c r="C12" s="7">
        <v>2.37</v>
      </c>
      <c r="D12" s="7">
        <v>2.11</v>
      </c>
      <c r="E12" s="7">
        <v>1.64</v>
      </c>
      <c r="F12" s="7">
        <v>2.91</v>
      </c>
      <c r="G12" s="7">
        <v>2.2400000000000002</v>
      </c>
      <c r="H12" s="7">
        <v>1.92</v>
      </c>
      <c r="I12" s="7">
        <v>3.15</v>
      </c>
      <c r="J12" s="7">
        <v>2.5299999999999998</v>
      </c>
      <c r="K12" s="7">
        <v>1.77</v>
      </c>
      <c r="L12" s="7">
        <v>1.74</v>
      </c>
      <c r="M12" s="7">
        <v>2.8</v>
      </c>
      <c r="N12" s="7">
        <v>1.63</v>
      </c>
      <c r="O12" s="22">
        <v>26.81</v>
      </c>
    </row>
    <row r="13" spans="1:15" x14ac:dyDescent="0.2">
      <c r="B13" s="2" t="s">
        <v>242</v>
      </c>
      <c r="C13" s="7">
        <v>2.71</v>
      </c>
      <c r="D13" s="7">
        <v>2.4300000000000002</v>
      </c>
      <c r="E13" s="7">
        <v>2.04</v>
      </c>
      <c r="F13" s="7">
        <v>2.0499999999999998</v>
      </c>
      <c r="G13" s="7">
        <v>1.92</v>
      </c>
      <c r="H13" s="7">
        <v>6.89</v>
      </c>
      <c r="I13" s="7">
        <v>2.44</v>
      </c>
      <c r="J13" s="7">
        <v>1.33</v>
      </c>
      <c r="K13" s="7">
        <v>1.36</v>
      </c>
      <c r="L13" s="7">
        <v>2.29</v>
      </c>
      <c r="M13" s="7">
        <v>1.98</v>
      </c>
      <c r="N13" s="7">
        <v>1.6</v>
      </c>
      <c r="O13" s="22">
        <v>29.040000000000003</v>
      </c>
    </row>
    <row r="14" spans="1:15" x14ac:dyDescent="0.2">
      <c r="B14" s="2" t="s">
        <v>243</v>
      </c>
      <c r="C14" s="7">
        <v>18.190000000000001</v>
      </c>
      <c r="D14" s="7">
        <v>9.9700000000000006</v>
      </c>
      <c r="E14" s="7">
        <v>12.86</v>
      </c>
      <c r="F14" s="7">
        <v>4.96</v>
      </c>
      <c r="G14" s="7">
        <v>5.69</v>
      </c>
      <c r="H14" s="7">
        <v>3.98</v>
      </c>
      <c r="I14" s="7">
        <v>11.69</v>
      </c>
      <c r="J14" s="7">
        <v>106.69</v>
      </c>
      <c r="K14" s="7">
        <v>54.61</v>
      </c>
      <c r="L14" s="7">
        <v>733.11</v>
      </c>
      <c r="M14" s="7">
        <v>6.77</v>
      </c>
      <c r="N14" s="7">
        <v>132.06</v>
      </c>
      <c r="O14" s="22">
        <v>1100.58</v>
      </c>
    </row>
    <row r="15" spans="1:15" x14ac:dyDescent="0.2">
      <c r="B15" s="2" t="s">
        <v>244</v>
      </c>
      <c r="C15" s="7">
        <v>0.63</v>
      </c>
      <c r="D15" s="7">
        <v>1.44</v>
      </c>
      <c r="E15" s="7">
        <v>0.82</v>
      </c>
      <c r="F15" s="7">
        <v>1.6</v>
      </c>
      <c r="G15" s="7">
        <v>0.42</v>
      </c>
      <c r="H15" s="7">
        <v>0.18</v>
      </c>
      <c r="I15" s="7">
        <v>0.47</v>
      </c>
      <c r="J15" s="7">
        <v>0.3</v>
      </c>
      <c r="K15" s="7">
        <v>0.28000000000000003</v>
      </c>
      <c r="L15" s="7">
        <v>0.31</v>
      </c>
      <c r="M15" s="7">
        <v>0.39</v>
      </c>
      <c r="N15" s="7">
        <v>0.2</v>
      </c>
      <c r="O15" s="22">
        <v>7.0399999999999991</v>
      </c>
    </row>
    <row r="16" spans="1:15" x14ac:dyDescent="0.2">
      <c r="B16" s="2" t="s">
        <v>413</v>
      </c>
      <c r="C16" s="7">
        <v>0</v>
      </c>
      <c r="D16" s="7">
        <v>0.01</v>
      </c>
      <c r="E16" s="7">
        <v>0</v>
      </c>
      <c r="F16" s="7">
        <v>0</v>
      </c>
      <c r="G16" s="7">
        <v>0</v>
      </c>
      <c r="H16" s="7">
        <v>0.01</v>
      </c>
      <c r="I16" s="7">
        <v>0</v>
      </c>
      <c r="J16" s="7">
        <v>0</v>
      </c>
      <c r="K16" s="7">
        <v>0</v>
      </c>
      <c r="L16" s="7">
        <v>0</v>
      </c>
      <c r="M16" s="7">
        <v>0</v>
      </c>
      <c r="N16" s="7">
        <v>0</v>
      </c>
      <c r="O16" s="22">
        <v>0.02</v>
      </c>
    </row>
    <row r="17" spans="1:15" x14ac:dyDescent="0.2">
      <c r="B17" s="2" t="s">
        <v>246</v>
      </c>
      <c r="C17" s="7">
        <v>11.39</v>
      </c>
      <c r="D17" s="7">
        <v>5.41</v>
      </c>
      <c r="E17" s="7">
        <v>5.28</v>
      </c>
      <c r="F17" s="7">
        <v>7.92</v>
      </c>
      <c r="G17" s="7">
        <v>5.07</v>
      </c>
      <c r="H17" s="7">
        <v>2.6</v>
      </c>
      <c r="I17" s="7">
        <v>9.5</v>
      </c>
      <c r="J17" s="7">
        <v>4.6100000000000003</v>
      </c>
      <c r="K17" s="7">
        <v>3.37</v>
      </c>
      <c r="L17" s="7">
        <v>9.2200000000000006</v>
      </c>
      <c r="M17" s="7">
        <v>0</v>
      </c>
      <c r="N17" s="7">
        <v>0</v>
      </c>
      <c r="O17" s="22">
        <v>64.37</v>
      </c>
    </row>
    <row r="18" spans="1:15" x14ac:dyDescent="0.2">
      <c r="B18" s="2" t="s">
        <v>247</v>
      </c>
      <c r="C18" s="7">
        <v>0</v>
      </c>
      <c r="D18" s="7">
        <v>7.0000000000000007E-2</v>
      </c>
      <c r="E18" s="7">
        <v>0.02</v>
      </c>
      <c r="F18" s="7">
        <v>0.03</v>
      </c>
      <c r="G18" s="7">
        <v>0.03</v>
      </c>
      <c r="H18" s="7">
        <v>0.02</v>
      </c>
      <c r="I18" s="7">
        <v>0.03</v>
      </c>
      <c r="J18" s="7">
        <v>0.15</v>
      </c>
      <c r="K18" s="7">
        <v>0.02</v>
      </c>
      <c r="L18" s="7">
        <v>0.01</v>
      </c>
      <c r="M18" s="7">
        <v>0.01</v>
      </c>
      <c r="N18" s="7">
        <v>0</v>
      </c>
      <c r="O18" s="22">
        <v>0.39</v>
      </c>
    </row>
    <row r="19" spans="1:15" x14ac:dyDescent="0.2">
      <c r="B19" s="2" t="s">
        <v>248</v>
      </c>
      <c r="C19" s="7">
        <v>0.38</v>
      </c>
      <c r="D19" s="7">
        <v>0</v>
      </c>
      <c r="E19" s="7">
        <v>0.04</v>
      </c>
      <c r="F19" s="7">
        <v>0</v>
      </c>
      <c r="G19" s="7">
        <v>0.02</v>
      </c>
      <c r="H19" s="7">
        <v>0.01</v>
      </c>
      <c r="I19" s="7">
        <v>0.04</v>
      </c>
      <c r="J19" s="7">
        <v>0</v>
      </c>
      <c r="K19" s="7">
        <v>0</v>
      </c>
      <c r="L19" s="7">
        <v>0</v>
      </c>
      <c r="M19" s="7">
        <v>0</v>
      </c>
      <c r="N19" s="7">
        <v>0</v>
      </c>
      <c r="O19" s="22">
        <v>0.49</v>
      </c>
    </row>
    <row r="20" spans="1:15" x14ac:dyDescent="0.2">
      <c r="B20" s="2" t="s">
        <v>249</v>
      </c>
      <c r="C20" s="7">
        <v>1.18</v>
      </c>
      <c r="D20" s="7">
        <v>0.56000000000000005</v>
      </c>
      <c r="E20" s="7">
        <v>0.47</v>
      </c>
      <c r="F20" s="7">
        <v>0.2</v>
      </c>
      <c r="G20" s="7">
        <v>0.21</v>
      </c>
      <c r="H20" s="7">
        <v>0.23</v>
      </c>
      <c r="I20" s="7">
        <v>1</v>
      </c>
      <c r="J20" s="7">
        <v>0.68</v>
      </c>
      <c r="K20" s="7">
        <v>0.5</v>
      </c>
      <c r="L20" s="7">
        <v>0.78</v>
      </c>
      <c r="M20" s="7">
        <v>0.42</v>
      </c>
      <c r="N20" s="7">
        <v>0.28000000000000003</v>
      </c>
      <c r="O20" s="22">
        <v>6.5100000000000007</v>
      </c>
    </row>
    <row r="21" spans="1:15" x14ac:dyDescent="0.2">
      <c r="B21" s="2" t="s">
        <v>251</v>
      </c>
      <c r="C21" s="7">
        <v>313.76</v>
      </c>
      <c r="D21" s="7">
        <v>634.94000000000005</v>
      </c>
      <c r="E21" s="7">
        <v>164.27</v>
      </c>
      <c r="F21" s="7">
        <v>192.9</v>
      </c>
      <c r="G21" s="7">
        <v>220.14</v>
      </c>
      <c r="H21" s="7">
        <v>172.85</v>
      </c>
      <c r="I21" s="7">
        <v>212.69</v>
      </c>
      <c r="J21" s="7">
        <v>472.71</v>
      </c>
      <c r="K21" s="7">
        <v>214.14</v>
      </c>
      <c r="L21" s="28">
        <v>1751.94</v>
      </c>
      <c r="M21" s="28">
        <v>184.29</v>
      </c>
      <c r="N21" s="7">
        <v>113.35</v>
      </c>
      <c r="O21" s="22">
        <v>4647.9800000000005</v>
      </c>
    </row>
    <row r="22" spans="1:15" x14ac:dyDescent="0.2">
      <c r="B22" s="2" t="s">
        <v>414</v>
      </c>
      <c r="C22" s="7">
        <v>0</v>
      </c>
      <c r="D22" s="7">
        <v>0</v>
      </c>
      <c r="E22" s="7">
        <v>0.01</v>
      </c>
      <c r="F22" s="7">
        <v>0</v>
      </c>
      <c r="G22" s="7">
        <v>0.02</v>
      </c>
      <c r="H22" s="7">
        <v>0</v>
      </c>
      <c r="I22" s="7">
        <v>0.02</v>
      </c>
      <c r="J22" s="7">
        <v>0</v>
      </c>
      <c r="K22" s="7">
        <v>0.01</v>
      </c>
      <c r="L22" s="7">
        <v>0</v>
      </c>
      <c r="M22" s="7">
        <v>0</v>
      </c>
      <c r="N22" s="7">
        <v>0</v>
      </c>
      <c r="O22" s="22">
        <v>6.0000000000000005E-2</v>
      </c>
    </row>
    <row r="23" spans="1:15" x14ac:dyDescent="0.2">
      <c r="B23" s="2" t="s">
        <v>252</v>
      </c>
      <c r="C23" s="7">
        <v>1.55</v>
      </c>
      <c r="D23" s="7">
        <v>0.31</v>
      </c>
      <c r="E23" s="7">
        <v>0.27</v>
      </c>
      <c r="F23" s="7">
        <v>0.78</v>
      </c>
      <c r="G23" s="7">
        <v>1.3</v>
      </c>
      <c r="H23" s="7">
        <v>0.78</v>
      </c>
      <c r="I23" s="7">
        <v>1.1299999999999999</v>
      </c>
      <c r="J23" s="7">
        <v>0.82</v>
      </c>
      <c r="K23" s="7">
        <v>0.72</v>
      </c>
      <c r="L23" s="7">
        <v>1.19</v>
      </c>
      <c r="M23" s="7">
        <v>0.19</v>
      </c>
      <c r="N23" s="7">
        <v>0.55000000000000004</v>
      </c>
      <c r="O23" s="22">
        <v>9.59</v>
      </c>
    </row>
    <row r="24" spans="1:15" x14ac:dyDescent="0.2">
      <c r="B24" s="2" t="s">
        <v>253</v>
      </c>
      <c r="C24" s="7">
        <v>14.09</v>
      </c>
      <c r="D24" s="7">
        <v>10.95</v>
      </c>
      <c r="E24" s="7">
        <v>4.93</v>
      </c>
      <c r="F24" s="7">
        <v>9.25</v>
      </c>
      <c r="G24" s="7">
        <v>11.01</v>
      </c>
      <c r="H24" s="7">
        <v>2.8</v>
      </c>
      <c r="I24" s="7">
        <v>5.43</v>
      </c>
      <c r="J24" s="7">
        <v>4.43</v>
      </c>
      <c r="K24" s="7">
        <v>6.44</v>
      </c>
      <c r="L24" s="7">
        <v>10.64</v>
      </c>
      <c r="M24" s="7">
        <v>3.45</v>
      </c>
      <c r="N24" s="7">
        <v>4.09</v>
      </c>
      <c r="O24" s="22">
        <v>87.51</v>
      </c>
    </row>
    <row r="25" spans="1:15" x14ac:dyDescent="0.2">
      <c r="B25" s="2" t="s">
        <v>255</v>
      </c>
      <c r="C25" s="7">
        <v>106.02</v>
      </c>
      <c r="D25" s="7">
        <v>56.05</v>
      </c>
      <c r="E25" s="7">
        <v>58.59</v>
      </c>
      <c r="F25" s="7">
        <v>74.12</v>
      </c>
      <c r="G25" s="7">
        <v>101.64</v>
      </c>
      <c r="H25" s="7">
        <v>82.27</v>
      </c>
      <c r="I25" s="7">
        <v>75.41</v>
      </c>
      <c r="J25" s="7">
        <v>51.36</v>
      </c>
      <c r="K25" s="7">
        <v>54.59</v>
      </c>
      <c r="L25" s="7">
        <v>75.02</v>
      </c>
      <c r="M25" s="7">
        <v>58.04</v>
      </c>
      <c r="N25" s="7">
        <v>99.9</v>
      </c>
      <c r="O25" s="22">
        <v>893.00999999999988</v>
      </c>
    </row>
    <row r="26" spans="1:15" x14ac:dyDescent="0.2">
      <c r="B26" s="2" t="s">
        <v>257</v>
      </c>
      <c r="C26" s="7">
        <v>0.08</v>
      </c>
      <c r="D26" s="7">
        <v>0.06</v>
      </c>
      <c r="E26" s="7">
        <v>7.0000000000000007E-2</v>
      </c>
      <c r="F26" s="7">
        <v>0.06</v>
      </c>
      <c r="G26" s="7">
        <v>0.05</v>
      </c>
      <c r="H26" s="7">
        <v>0.04</v>
      </c>
      <c r="I26" s="7">
        <v>0.09</v>
      </c>
      <c r="J26" s="7">
        <v>0.11</v>
      </c>
      <c r="K26" s="7">
        <v>0.06</v>
      </c>
      <c r="L26" s="7">
        <v>0.09</v>
      </c>
      <c r="M26" s="7">
        <v>0.16</v>
      </c>
      <c r="N26" s="7">
        <v>0.03</v>
      </c>
      <c r="O26" s="22">
        <v>0.89999999999999991</v>
      </c>
    </row>
    <row r="27" spans="1:15" x14ac:dyDescent="0.2">
      <c r="B27" s="2" t="s">
        <v>258</v>
      </c>
      <c r="C27" s="7">
        <v>0.01</v>
      </c>
      <c r="D27" s="7">
        <v>0</v>
      </c>
      <c r="E27" s="7">
        <v>0</v>
      </c>
      <c r="F27" s="7">
        <v>0</v>
      </c>
      <c r="G27" s="7">
        <v>0</v>
      </c>
      <c r="H27" s="7">
        <v>0</v>
      </c>
      <c r="I27" s="7">
        <v>0</v>
      </c>
      <c r="J27" s="7">
        <v>0</v>
      </c>
      <c r="K27" s="7">
        <v>0</v>
      </c>
      <c r="L27" s="7">
        <v>0</v>
      </c>
      <c r="M27" s="7">
        <v>0</v>
      </c>
      <c r="N27" s="7">
        <v>0.03</v>
      </c>
      <c r="O27" s="22">
        <v>0.04</v>
      </c>
    </row>
    <row r="28" spans="1:15" x14ac:dyDescent="0.2">
      <c r="B28" s="2" t="s">
        <v>254</v>
      </c>
      <c r="C28" s="7">
        <v>0</v>
      </c>
      <c r="D28" s="7">
        <v>0</v>
      </c>
      <c r="E28" s="7">
        <v>0</v>
      </c>
      <c r="F28" s="7">
        <v>0</v>
      </c>
      <c r="G28" s="7">
        <v>0</v>
      </c>
      <c r="H28" s="7">
        <v>0</v>
      </c>
      <c r="I28" s="7">
        <v>0.01</v>
      </c>
      <c r="J28" s="7">
        <v>0.02</v>
      </c>
      <c r="K28" s="7">
        <v>0</v>
      </c>
      <c r="L28" s="7">
        <v>0.02</v>
      </c>
      <c r="M28" s="7">
        <v>0</v>
      </c>
      <c r="N28" s="7">
        <v>0</v>
      </c>
      <c r="O28" s="22">
        <v>0.05</v>
      </c>
    </row>
    <row r="29" spans="1:15" x14ac:dyDescent="0.2">
      <c r="B29" s="2" t="s">
        <v>259</v>
      </c>
      <c r="C29" s="7">
        <v>5.28</v>
      </c>
      <c r="D29" s="7">
        <v>2.74</v>
      </c>
      <c r="E29" s="7">
        <v>2.0099999999999998</v>
      </c>
      <c r="F29" s="7">
        <v>2.79</v>
      </c>
      <c r="G29" s="7">
        <v>10.199999999999999</v>
      </c>
      <c r="H29" s="7">
        <v>1.93</v>
      </c>
      <c r="I29" s="7">
        <v>3.4</v>
      </c>
      <c r="J29" s="7">
        <v>1.71</v>
      </c>
      <c r="K29" s="7">
        <v>1.76</v>
      </c>
      <c r="L29" s="7">
        <v>1.27</v>
      </c>
      <c r="M29" s="7">
        <v>0.92</v>
      </c>
      <c r="N29" s="7">
        <v>0.45</v>
      </c>
      <c r="O29" s="22">
        <v>34.460000000000008</v>
      </c>
    </row>
    <row r="30" spans="1:15" x14ac:dyDescent="0.2">
      <c r="C30" s="7"/>
      <c r="D30" s="7"/>
      <c r="E30" s="7"/>
      <c r="F30" s="7"/>
      <c r="G30" s="7"/>
      <c r="H30" s="7"/>
      <c r="I30" s="7"/>
      <c r="J30" s="7"/>
      <c r="K30" s="7"/>
      <c r="L30" s="7"/>
      <c r="M30" s="7"/>
      <c r="N30" s="7"/>
      <c r="O30" s="22"/>
    </row>
    <row r="31" spans="1:15" s="4" customFormat="1" ht="15" x14ac:dyDescent="0.25">
      <c r="A31" s="3" t="s">
        <v>69</v>
      </c>
      <c r="C31" s="5">
        <v>0.04</v>
      </c>
      <c r="D31" s="5">
        <v>0.12</v>
      </c>
      <c r="E31" s="5">
        <v>0</v>
      </c>
      <c r="F31" s="5">
        <v>0.01</v>
      </c>
      <c r="G31" s="5">
        <v>0</v>
      </c>
      <c r="H31" s="5">
        <v>0</v>
      </c>
      <c r="I31" s="5">
        <v>0</v>
      </c>
      <c r="J31" s="5">
        <v>0</v>
      </c>
      <c r="K31" s="5">
        <v>0</v>
      </c>
      <c r="L31" s="5">
        <v>0.02</v>
      </c>
      <c r="M31" s="5">
        <v>0.02</v>
      </c>
      <c r="N31" s="5">
        <v>0</v>
      </c>
      <c r="O31" s="21">
        <v>0.21</v>
      </c>
    </row>
    <row r="32" spans="1:15" x14ac:dyDescent="0.2">
      <c r="B32" s="2" t="s">
        <v>281</v>
      </c>
      <c r="C32" s="7">
        <v>0.04</v>
      </c>
      <c r="D32" s="7">
        <v>0.12</v>
      </c>
      <c r="E32" s="7">
        <v>0</v>
      </c>
      <c r="F32" s="7">
        <v>0.01</v>
      </c>
      <c r="G32" s="7">
        <v>0</v>
      </c>
      <c r="H32" s="7">
        <v>0</v>
      </c>
      <c r="I32" s="7">
        <v>0</v>
      </c>
      <c r="J32" s="7">
        <v>0</v>
      </c>
      <c r="K32" s="7">
        <v>0</v>
      </c>
      <c r="L32" s="7">
        <v>0.02</v>
      </c>
      <c r="M32" s="7">
        <v>0.02</v>
      </c>
      <c r="N32" s="7">
        <v>0</v>
      </c>
      <c r="O32" s="22">
        <v>0.21</v>
      </c>
    </row>
    <row r="33" spans="1:15" x14ac:dyDescent="0.2">
      <c r="C33" s="7"/>
      <c r="D33" s="7"/>
      <c r="E33" s="7"/>
      <c r="F33" s="7"/>
      <c r="G33" s="7"/>
      <c r="H33" s="7"/>
      <c r="I33" s="7"/>
      <c r="J33" s="7"/>
      <c r="K33" s="7"/>
      <c r="L33" s="7"/>
      <c r="M33" s="7"/>
      <c r="N33" s="7"/>
      <c r="O33" s="22"/>
    </row>
    <row r="34" spans="1:15" s="4" customFormat="1" ht="15" x14ac:dyDescent="0.25">
      <c r="A34" s="3" t="s">
        <v>122</v>
      </c>
      <c r="C34" s="5">
        <v>45.029999999999994</v>
      </c>
      <c r="D34" s="5">
        <v>92.649999999999991</v>
      </c>
      <c r="E34" s="5">
        <v>77.569999999999993</v>
      </c>
      <c r="F34" s="5">
        <v>53.900000000000006</v>
      </c>
      <c r="G34" s="5">
        <v>76.02000000000001</v>
      </c>
      <c r="H34" s="5">
        <v>34.71</v>
      </c>
      <c r="I34" s="5">
        <v>96.72</v>
      </c>
      <c r="J34" s="5">
        <v>51.48</v>
      </c>
      <c r="K34" s="5">
        <v>54.29</v>
      </c>
      <c r="L34" s="5">
        <v>55.97</v>
      </c>
      <c r="M34" s="5">
        <v>66.089999999999989</v>
      </c>
      <c r="N34" s="5">
        <v>30.080000000000002</v>
      </c>
      <c r="O34" s="21">
        <v>734.51</v>
      </c>
    </row>
    <row r="35" spans="1:15" x14ac:dyDescent="0.2">
      <c r="B35" s="2" t="s">
        <v>331</v>
      </c>
      <c r="C35" s="7">
        <v>0.05</v>
      </c>
      <c r="D35" s="7">
        <v>0.08</v>
      </c>
      <c r="E35" s="7">
        <v>0.1</v>
      </c>
      <c r="F35" s="7">
        <v>0.09</v>
      </c>
      <c r="G35" s="7">
        <v>0.04</v>
      </c>
      <c r="H35" s="7">
        <v>0.03</v>
      </c>
      <c r="I35" s="7">
        <v>0.02</v>
      </c>
      <c r="J35" s="7">
        <v>0.04</v>
      </c>
      <c r="K35" s="7">
        <v>0.09</v>
      </c>
      <c r="L35" s="7">
        <v>0.24</v>
      </c>
      <c r="M35" s="7">
        <v>0.02</v>
      </c>
      <c r="N35" s="7">
        <v>0.05</v>
      </c>
      <c r="O35" s="22">
        <v>0.85000000000000009</v>
      </c>
    </row>
    <row r="36" spans="1:15" x14ac:dyDescent="0.2">
      <c r="B36" s="2" t="s">
        <v>332</v>
      </c>
      <c r="C36" s="7">
        <v>44.66</v>
      </c>
      <c r="D36" s="7">
        <v>92.55</v>
      </c>
      <c r="E36" s="7">
        <v>77.47</v>
      </c>
      <c r="F36" s="7">
        <v>53.52</v>
      </c>
      <c r="G36" s="7">
        <v>75.97</v>
      </c>
      <c r="H36" s="7">
        <v>34.67</v>
      </c>
      <c r="I36" s="7">
        <v>96.7</v>
      </c>
      <c r="J36" s="7">
        <v>51.43</v>
      </c>
      <c r="K36" s="7">
        <v>53.98</v>
      </c>
      <c r="L36" s="7">
        <v>55.72</v>
      </c>
      <c r="M36" s="7">
        <v>66.05</v>
      </c>
      <c r="N36" s="7">
        <v>29.85</v>
      </c>
      <c r="O36" s="22">
        <v>732.56999999999994</v>
      </c>
    </row>
    <row r="37" spans="1:15" x14ac:dyDescent="0.2">
      <c r="B37" s="2" t="s">
        <v>334</v>
      </c>
      <c r="C37" s="7">
        <v>0.11</v>
      </c>
      <c r="D37" s="7">
        <v>0</v>
      </c>
      <c r="E37" s="7">
        <v>0</v>
      </c>
      <c r="F37" s="7">
        <v>0</v>
      </c>
      <c r="G37" s="7">
        <v>0</v>
      </c>
      <c r="H37" s="7">
        <v>0</v>
      </c>
      <c r="I37" s="7">
        <v>0</v>
      </c>
      <c r="J37" s="7">
        <v>0</v>
      </c>
      <c r="K37" s="7">
        <v>0</v>
      </c>
      <c r="L37" s="7">
        <v>0</v>
      </c>
      <c r="M37" s="7">
        <v>0</v>
      </c>
      <c r="N37" s="7">
        <v>0</v>
      </c>
      <c r="O37" s="22">
        <v>0.11</v>
      </c>
    </row>
    <row r="38" spans="1:15" x14ac:dyDescent="0.2">
      <c r="B38" s="2" t="s">
        <v>415</v>
      </c>
      <c r="C38" s="7">
        <v>0</v>
      </c>
      <c r="D38" s="7">
        <v>0</v>
      </c>
      <c r="E38" s="7">
        <v>0</v>
      </c>
      <c r="F38" s="7">
        <v>0</v>
      </c>
      <c r="G38" s="7">
        <v>0</v>
      </c>
      <c r="H38" s="7">
        <v>0</v>
      </c>
      <c r="I38" s="7">
        <v>0</v>
      </c>
      <c r="J38" s="7">
        <v>0</v>
      </c>
      <c r="K38" s="7">
        <v>0</v>
      </c>
      <c r="L38" s="7">
        <v>0</v>
      </c>
      <c r="M38" s="7">
        <v>0</v>
      </c>
      <c r="N38" s="7">
        <v>0</v>
      </c>
      <c r="O38" s="22">
        <v>0</v>
      </c>
    </row>
    <row r="39" spans="1:15" x14ac:dyDescent="0.2">
      <c r="B39" s="2" t="s">
        <v>335</v>
      </c>
      <c r="C39" s="7">
        <v>0.21</v>
      </c>
      <c r="D39" s="7">
        <v>0.02</v>
      </c>
      <c r="E39" s="7">
        <v>0</v>
      </c>
      <c r="F39" s="7">
        <v>0.28999999999999998</v>
      </c>
      <c r="G39" s="7">
        <v>0.01</v>
      </c>
      <c r="H39" s="7">
        <v>0.01</v>
      </c>
      <c r="I39" s="7">
        <v>0</v>
      </c>
      <c r="J39" s="7">
        <v>0.01</v>
      </c>
      <c r="K39" s="7">
        <v>0.22</v>
      </c>
      <c r="L39" s="7">
        <v>0.01</v>
      </c>
      <c r="M39" s="7">
        <v>0.02</v>
      </c>
      <c r="N39" s="7">
        <v>0.18</v>
      </c>
      <c r="O39" s="22">
        <v>0.98</v>
      </c>
    </row>
    <row r="40" spans="1:15" x14ac:dyDescent="0.2">
      <c r="C40" s="7"/>
      <c r="D40" s="7"/>
      <c r="E40" s="7"/>
      <c r="F40" s="7"/>
      <c r="G40" s="7"/>
      <c r="H40" s="7"/>
      <c r="I40" s="7"/>
      <c r="J40" s="7"/>
      <c r="K40" s="7"/>
      <c r="L40" s="7"/>
      <c r="M40" s="7"/>
      <c r="N40" s="7"/>
      <c r="O40" s="22"/>
    </row>
    <row r="41" spans="1:15" s="4" customFormat="1" ht="15" x14ac:dyDescent="0.25">
      <c r="A41" s="3" t="s">
        <v>121</v>
      </c>
      <c r="C41" s="5">
        <v>6.43</v>
      </c>
      <c r="D41" s="5">
        <v>1.48</v>
      </c>
      <c r="E41" s="5">
        <v>1.53</v>
      </c>
      <c r="F41" s="5">
        <v>1.6</v>
      </c>
      <c r="G41" s="5">
        <v>4.45</v>
      </c>
      <c r="H41" s="5">
        <v>1.57</v>
      </c>
      <c r="I41" s="5">
        <v>1.92</v>
      </c>
      <c r="J41" s="5">
        <v>1.1200000000000001</v>
      </c>
      <c r="K41" s="5">
        <v>2.15</v>
      </c>
      <c r="L41" s="5">
        <v>1.42</v>
      </c>
      <c r="M41" s="5">
        <v>1.72</v>
      </c>
      <c r="N41" s="5">
        <v>1.42</v>
      </c>
      <c r="O41" s="21">
        <v>26.809999999999995</v>
      </c>
    </row>
    <row r="42" spans="1:15" x14ac:dyDescent="0.2">
      <c r="B42" s="2" t="s">
        <v>312</v>
      </c>
      <c r="C42" s="7">
        <v>6.43</v>
      </c>
      <c r="D42" s="7">
        <v>1.48</v>
      </c>
      <c r="E42" s="7">
        <v>1.53</v>
      </c>
      <c r="F42" s="7">
        <v>1.6</v>
      </c>
      <c r="G42" s="7">
        <v>4.45</v>
      </c>
      <c r="H42" s="7">
        <v>1.57</v>
      </c>
      <c r="I42" s="7">
        <v>1.92</v>
      </c>
      <c r="J42" s="7">
        <v>1.1200000000000001</v>
      </c>
      <c r="K42" s="7">
        <v>2.15</v>
      </c>
      <c r="L42" s="7">
        <v>1.42</v>
      </c>
      <c r="M42" s="7">
        <v>1.72</v>
      </c>
      <c r="N42" s="7">
        <v>1.42</v>
      </c>
      <c r="O42" s="22">
        <v>26.809999999999995</v>
      </c>
    </row>
    <row r="43" spans="1:15" x14ac:dyDescent="0.2">
      <c r="C43" s="7"/>
      <c r="D43" s="7"/>
      <c r="E43" s="7"/>
      <c r="F43" s="7"/>
      <c r="G43" s="7"/>
      <c r="H43" s="7"/>
      <c r="I43" s="7"/>
      <c r="J43" s="7"/>
      <c r="K43" s="7"/>
      <c r="L43" s="7"/>
      <c r="M43" s="7"/>
      <c r="N43" s="7"/>
      <c r="O43" s="22"/>
    </row>
    <row r="44" spans="1:15" s="4" customFormat="1" ht="15" x14ac:dyDescent="0.25">
      <c r="A44" s="3" t="s">
        <v>54</v>
      </c>
      <c r="C44" s="5">
        <v>59.24</v>
      </c>
      <c r="D44" s="5">
        <v>49.51</v>
      </c>
      <c r="E44" s="5">
        <v>17.510000000000005</v>
      </c>
      <c r="F44" s="5">
        <v>19.86</v>
      </c>
      <c r="G44" s="5">
        <v>23.820000000000004</v>
      </c>
      <c r="H44" s="5">
        <v>14.990000000000002</v>
      </c>
      <c r="I44" s="5">
        <v>25.000000000000004</v>
      </c>
      <c r="J44" s="5">
        <v>22.3</v>
      </c>
      <c r="K44" s="5">
        <v>19.579999999999998</v>
      </c>
      <c r="L44" s="5">
        <v>29.490000000000002</v>
      </c>
      <c r="M44" s="5">
        <v>27.92</v>
      </c>
      <c r="N44" s="5">
        <v>17.55</v>
      </c>
      <c r="O44" s="21">
        <v>326.77000000000004</v>
      </c>
    </row>
    <row r="45" spans="1:15" x14ac:dyDescent="0.2">
      <c r="B45" s="2" t="s">
        <v>267</v>
      </c>
      <c r="C45" s="7">
        <v>30.97</v>
      </c>
      <c r="D45" s="7">
        <v>28.2</v>
      </c>
      <c r="E45" s="7">
        <v>2.14</v>
      </c>
      <c r="F45" s="7">
        <v>2.78</v>
      </c>
      <c r="G45" s="7">
        <v>3.49</v>
      </c>
      <c r="H45" s="7">
        <v>1.54</v>
      </c>
      <c r="I45" s="7">
        <v>2.4900000000000002</v>
      </c>
      <c r="J45" s="7">
        <v>4.63</v>
      </c>
      <c r="K45" s="7">
        <v>4.59</v>
      </c>
      <c r="L45" s="7">
        <v>6.6</v>
      </c>
      <c r="M45" s="7">
        <v>8.69</v>
      </c>
      <c r="N45" s="7">
        <v>3.19</v>
      </c>
      <c r="O45" s="22">
        <v>99.309999999999988</v>
      </c>
    </row>
    <row r="46" spans="1:15" x14ac:dyDescent="0.2">
      <c r="B46" s="2" t="s">
        <v>268</v>
      </c>
      <c r="C46" s="7">
        <v>0</v>
      </c>
      <c r="D46" s="7">
        <v>0.06</v>
      </c>
      <c r="E46" s="7">
        <v>0</v>
      </c>
      <c r="F46" s="7">
        <v>0.15</v>
      </c>
      <c r="G46" s="7">
        <v>0.33</v>
      </c>
      <c r="H46" s="7">
        <v>0.01</v>
      </c>
      <c r="I46" s="7">
        <v>0.21</v>
      </c>
      <c r="J46" s="7">
        <v>0.05</v>
      </c>
      <c r="K46" s="7">
        <v>0.01</v>
      </c>
      <c r="L46" s="7">
        <v>0</v>
      </c>
      <c r="M46" s="7">
        <v>7.0000000000000007E-2</v>
      </c>
      <c r="N46" s="7">
        <v>0.1</v>
      </c>
      <c r="O46" s="22">
        <v>0.9900000000000001</v>
      </c>
    </row>
    <row r="47" spans="1:15" x14ac:dyDescent="0.2">
      <c r="B47" s="2" t="s">
        <v>269</v>
      </c>
      <c r="C47" s="7">
        <v>16.760000000000002</v>
      </c>
      <c r="D47" s="7">
        <v>12.27</v>
      </c>
      <c r="E47" s="7">
        <v>11.41</v>
      </c>
      <c r="F47" s="7">
        <v>13.97</v>
      </c>
      <c r="G47" s="7">
        <v>15.25</v>
      </c>
      <c r="H47" s="7">
        <v>10.54</v>
      </c>
      <c r="I47" s="7">
        <v>16.77</v>
      </c>
      <c r="J47" s="7">
        <v>13.32</v>
      </c>
      <c r="K47" s="7">
        <v>10.89</v>
      </c>
      <c r="L47" s="7">
        <v>18.07</v>
      </c>
      <c r="M47" s="7">
        <v>14.23</v>
      </c>
      <c r="N47" s="7">
        <v>8.5</v>
      </c>
      <c r="O47" s="22">
        <v>161.97999999999999</v>
      </c>
    </row>
    <row r="48" spans="1:15" x14ac:dyDescent="0.2">
      <c r="B48" s="2" t="s">
        <v>270</v>
      </c>
      <c r="C48" s="7">
        <v>10.029999999999999</v>
      </c>
      <c r="D48" s="7">
        <v>6.36</v>
      </c>
      <c r="E48" s="7">
        <v>3</v>
      </c>
      <c r="F48" s="7">
        <v>2.29</v>
      </c>
      <c r="G48" s="7">
        <v>2.73</v>
      </c>
      <c r="H48" s="7">
        <v>1.97</v>
      </c>
      <c r="I48" s="7">
        <v>3.9</v>
      </c>
      <c r="J48" s="7">
        <v>2.21</v>
      </c>
      <c r="K48" s="7">
        <v>2.93</v>
      </c>
      <c r="L48" s="7">
        <v>3.57</v>
      </c>
      <c r="M48" s="7">
        <v>2.9</v>
      </c>
      <c r="N48" s="7">
        <v>4.6900000000000004</v>
      </c>
      <c r="O48" s="22">
        <v>46.579999999999991</v>
      </c>
    </row>
    <row r="49" spans="1:15" x14ac:dyDescent="0.2">
      <c r="B49" s="2" t="s">
        <v>271</v>
      </c>
      <c r="C49" s="7">
        <v>0.42</v>
      </c>
      <c r="D49" s="7">
        <v>1.2</v>
      </c>
      <c r="E49" s="7">
        <v>0.35</v>
      </c>
      <c r="F49" s="7">
        <v>0.15</v>
      </c>
      <c r="G49" s="7">
        <v>1</v>
      </c>
      <c r="H49" s="7">
        <v>0.39</v>
      </c>
      <c r="I49" s="7">
        <v>0.3</v>
      </c>
      <c r="J49" s="7">
        <v>0.78</v>
      </c>
      <c r="K49" s="7">
        <v>0.61</v>
      </c>
      <c r="L49" s="7">
        <v>0.5</v>
      </c>
      <c r="M49" s="7">
        <v>0.98</v>
      </c>
      <c r="N49" s="7">
        <v>0.28000000000000003</v>
      </c>
      <c r="O49" s="22">
        <v>6.96</v>
      </c>
    </row>
    <row r="50" spans="1:15" x14ac:dyDescent="0.2">
      <c r="B50" s="2" t="s">
        <v>272</v>
      </c>
      <c r="C50" s="7">
        <v>0.18</v>
      </c>
      <c r="D50" s="7">
        <v>0.39</v>
      </c>
      <c r="E50" s="7">
        <v>0.22</v>
      </c>
      <c r="F50" s="7">
        <v>0.14000000000000001</v>
      </c>
      <c r="G50" s="7">
        <v>0.17</v>
      </c>
      <c r="H50" s="7">
        <v>0.13</v>
      </c>
      <c r="I50" s="7">
        <v>0.42</v>
      </c>
      <c r="J50" s="7">
        <v>7.0000000000000007E-2</v>
      </c>
      <c r="K50" s="7">
        <v>0.15</v>
      </c>
      <c r="L50" s="7">
        <v>0.24</v>
      </c>
      <c r="M50" s="7">
        <v>0.24</v>
      </c>
      <c r="N50" s="7">
        <v>0.32</v>
      </c>
      <c r="O50" s="22">
        <v>2.6699999999999995</v>
      </c>
    </row>
    <row r="51" spans="1:15" x14ac:dyDescent="0.2">
      <c r="B51" s="2" t="s">
        <v>273</v>
      </c>
      <c r="C51" s="7">
        <v>0.01</v>
      </c>
      <c r="D51" s="7">
        <v>0</v>
      </c>
      <c r="E51" s="7">
        <v>0</v>
      </c>
      <c r="F51" s="7">
        <v>0</v>
      </c>
      <c r="G51" s="7">
        <v>0</v>
      </c>
      <c r="H51" s="7">
        <v>0</v>
      </c>
      <c r="I51" s="7">
        <v>0.01</v>
      </c>
      <c r="J51" s="7">
        <v>0.02</v>
      </c>
      <c r="K51" s="7">
        <v>0.01</v>
      </c>
      <c r="L51" s="7">
        <v>0.01</v>
      </c>
      <c r="M51" s="7">
        <v>0.02</v>
      </c>
      <c r="N51" s="7">
        <v>0</v>
      </c>
      <c r="O51" s="22">
        <v>0.08</v>
      </c>
    </row>
    <row r="52" spans="1:15" x14ac:dyDescent="0.2">
      <c r="B52" s="2" t="s">
        <v>274</v>
      </c>
      <c r="C52" s="7">
        <v>7.0000000000000007E-2</v>
      </c>
      <c r="D52" s="7">
        <v>0.05</v>
      </c>
      <c r="E52" s="7">
        <v>0.01</v>
      </c>
      <c r="F52" s="7">
        <v>0.1</v>
      </c>
      <c r="G52" s="7">
        <v>0.12</v>
      </c>
      <c r="H52" s="7">
        <v>0.06</v>
      </c>
      <c r="I52" s="7">
        <v>0.12</v>
      </c>
      <c r="J52" s="7">
        <v>0.09</v>
      </c>
      <c r="K52" s="7">
        <v>7.0000000000000007E-2</v>
      </c>
      <c r="L52" s="7">
        <v>0.12</v>
      </c>
      <c r="M52" s="7">
        <v>0.32</v>
      </c>
      <c r="N52" s="7">
        <v>0.08</v>
      </c>
      <c r="O52" s="22">
        <v>1.21</v>
      </c>
    </row>
    <row r="53" spans="1:15" x14ac:dyDescent="0.2">
      <c r="B53" s="2" t="s">
        <v>275</v>
      </c>
      <c r="C53" s="7">
        <v>0.4</v>
      </c>
      <c r="D53" s="7">
        <v>0.16</v>
      </c>
      <c r="E53" s="7">
        <v>0.12</v>
      </c>
      <c r="F53" s="7">
        <v>0.09</v>
      </c>
      <c r="G53" s="7">
        <v>0.15</v>
      </c>
      <c r="H53" s="7">
        <v>0.19</v>
      </c>
      <c r="I53" s="7">
        <v>0.23</v>
      </c>
      <c r="J53" s="7">
        <v>0.23</v>
      </c>
      <c r="K53" s="7">
        <v>0.15</v>
      </c>
      <c r="L53" s="7">
        <v>0.15</v>
      </c>
      <c r="M53" s="7">
        <v>0.09</v>
      </c>
      <c r="N53" s="7">
        <v>0.09</v>
      </c>
      <c r="O53" s="22">
        <v>2.0499999999999998</v>
      </c>
    </row>
    <row r="54" spans="1:15" x14ac:dyDescent="0.2">
      <c r="B54" s="2" t="s">
        <v>277</v>
      </c>
      <c r="C54" s="7">
        <v>0.32</v>
      </c>
      <c r="D54" s="7">
        <v>0.56000000000000005</v>
      </c>
      <c r="E54" s="7">
        <v>0.17</v>
      </c>
      <c r="F54" s="7">
        <v>0.17</v>
      </c>
      <c r="G54" s="7">
        <v>0.37</v>
      </c>
      <c r="H54" s="7">
        <v>0.16</v>
      </c>
      <c r="I54" s="7">
        <v>0.52</v>
      </c>
      <c r="J54" s="7">
        <v>0.74</v>
      </c>
      <c r="K54" s="7">
        <v>0.15</v>
      </c>
      <c r="L54" s="7">
        <v>0.2</v>
      </c>
      <c r="M54" s="7">
        <v>0.36</v>
      </c>
      <c r="N54" s="7">
        <v>0.19</v>
      </c>
      <c r="O54" s="22">
        <v>3.9099999999999997</v>
      </c>
    </row>
    <row r="55" spans="1:15" x14ac:dyDescent="0.2">
      <c r="B55" s="2" t="s">
        <v>278</v>
      </c>
      <c r="C55" s="7">
        <v>0.01</v>
      </c>
      <c r="D55" s="7">
        <v>0.01</v>
      </c>
      <c r="E55" s="7">
        <v>0.08</v>
      </c>
      <c r="F55" s="7">
        <v>0</v>
      </c>
      <c r="G55" s="7">
        <v>0.16</v>
      </c>
      <c r="H55" s="7">
        <v>0</v>
      </c>
      <c r="I55" s="7">
        <v>0</v>
      </c>
      <c r="J55" s="7">
        <v>0.14000000000000001</v>
      </c>
      <c r="K55" s="7">
        <v>0</v>
      </c>
      <c r="L55" s="7">
        <v>0</v>
      </c>
      <c r="M55" s="7">
        <v>0</v>
      </c>
      <c r="N55" s="7">
        <v>0</v>
      </c>
      <c r="O55" s="22">
        <v>0.4</v>
      </c>
    </row>
    <row r="56" spans="1:15" x14ac:dyDescent="0.2">
      <c r="B56" s="2" t="s">
        <v>416</v>
      </c>
      <c r="C56" s="7">
        <v>0</v>
      </c>
      <c r="D56" s="7">
        <v>0.25</v>
      </c>
      <c r="E56" s="7">
        <v>0.01</v>
      </c>
      <c r="F56" s="7">
        <v>0.02</v>
      </c>
      <c r="G56" s="7">
        <v>0.05</v>
      </c>
      <c r="H56" s="7">
        <v>0</v>
      </c>
      <c r="I56" s="7">
        <v>0.02</v>
      </c>
      <c r="J56" s="7">
        <v>0.02</v>
      </c>
      <c r="K56" s="7">
        <v>0.02</v>
      </c>
      <c r="L56" s="7">
        <v>0.03</v>
      </c>
      <c r="M56" s="7">
        <v>0.01</v>
      </c>
      <c r="N56" s="7">
        <v>0.03</v>
      </c>
      <c r="O56" s="22">
        <v>0.46000000000000008</v>
      </c>
    </row>
    <row r="57" spans="1:15" x14ac:dyDescent="0.2">
      <c r="B57" s="2" t="s">
        <v>280</v>
      </c>
      <c r="C57" s="7">
        <v>7.0000000000000007E-2</v>
      </c>
      <c r="D57" s="7">
        <v>0</v>
      </c>
      <c r="E57" s="7">
        <v>0</v>
      </c>
      <c r="F57" s="7">
        <v>0</v>
      </c>
      <c r="G57" s="7">
        <v>0</v>
      </c>
      <c r="H57" s="7">
        <v>0</v>
      </c>
      <c r="I57" s="7">
        <v>0.01</v>
      </c>
      <c r="J57" s="7">
        <v>0</v>
      </c>
      <c r="K57" s="7">
        <v>0</v>
      </c>
      <c r="L57" s="7">
        <v>0</v>
      </c>
      <c r="M57" s="7">
        <v>0.01</v>
      </c>
      <c r="N57" s="7">
        <v>0.08</v>
      </c>
      <c r="O57" s="22">
        <v>0.16999999999999998</v>
      </c>
    </row>
    <row r="58" spans="1:15" x14ac:dyDescent="0.2">
      <c r="C58" s="7"/>
      <c r="D58" s="7"/>
      <c r="E58" s="7"/>
      <c r="F58" s="7"/>
      <c r="G58" s="7"/>
      <c r="H58" s="7"/>
      <c r="I58" s="7"/>
      <c r="J58" s="7"/>
      <c r="K58" s="7"/>
      <c r="L58" s="7"/>
      <c r="M58" s="7"/>
      <c r="N58" s="7"/>
      <c r="O58" s="22"/>
    </row>
    <row r="59" spans="1:15" s="4" customFormat="1" ht="15" x14ac:dyDescent="0.25">
      <c r="A59" s="3" t="s">
        <v>417</v>
      </c>
      <c r="C59" s="5">
        <v>17.09</v>
      </c>
      <c r="D59" s="5">
        <v>6.29</v>
      </c>
      <c r="E59" s="5">
        <v>7.08</v>
      </c>
      <c r="F59" s="5">
        <v>21.77</v>
      </c>
      <c r="G59" s="5">
        <v>16.97</v>
      </c>
      <c r="H59" s="5">
        <v>13.709999999999999</v>
      </c>
      <c r="I59" s="5">
        <v>10.45</v>
      </c>
      <c r="J59" s="5">
        <v>4.3199999999999994</v>
      </c>
      <c r="K59" s="5">
        <v>4.8099999999999996</v>
      </c>
      <c r="L59" s="5">
        <v>7.0299999999999994</v>
      </c>
      <c r="M59" s="5">
        <v>6.92</v>
      </c>
      <c r="N59" s="5">
        <v>4.42</v>
      </c>
      <c r="O59" s="21">
        <v>120.86</v>
      </c>
    </row>
    <row r="60" spans="1:15" x14ac:dyDescent="0.2">
      <c r="B60" s="2" t="s">
        <v>282</v>
      </c>
      <c r="C60" s="7">
        <v>17.07</v>
      </c>
      <c r="D60" s="7">
        <v>6.28</v>
      </c>
      <c r="E60" s="7">
        <v>7.07</v>
      </c>
      <c r="F60" s="7">
        <v>21.75</v>
      </c>
      <c r="G60" s="7">
        <v>16.95</v>
      </c>
      <c r="H60" s="7">
        <v>13.68</v>
      </c>
      <c r="I60" s="7">
        <v>10.44</v>
      </c>
      <c r="J60" s="7">
        <v>4.3099999999999996</v>
      </c>
      <c r="K60" s="7">
        <v>4.8</v>
      </c>
      <c r="L60" s="7">
        <v>7.02</v>
      </c>
      <c r="M60" s="7">
        <v>6.91</v>
      </c>
      <c r="N60" s="7">
        <v>4.41</v>
      </c>
      <c r="O60" s="22">
        <v>120.69</v>
      </c>
    </row>
    <row r="61" spans="1:15" x14ac:dyDescent="0.2">
      <c r="B61" s="2" t="s">
        <v>285</v>
      </c>
      <c r="C61" s="7">
        <v>0.02</v>
      </c>
      <c r="D61" s="7">
        <v>0.01</v>
      </c>
      <c r="E61" s="7">
        <v>0.01</v>
      </c>
      <c r="F61" s="7">
        <v>0.02</v>
      </c>
      <c r="G61" s="7">
        <v>0.02</v>
      </c>
      <c r="H61" s="7">
        <v>0.03</v>
      </c>
      <c r="I61" s="7">
        <v>0.01</v>
      </c>
      <c r="J61" s="7">
        <v>0.01</v>
      </c>
      <c r="K61" s="7">
        <v>0.01</v>
      </c>
      <c r="L61" s="7">
        <v>0.01</v>
      </c>
      <c r="M61" s="7">
        <v>0.01</v>
      </c>
      <c r="N61" s="7">
        <v>0.01</v>
      </c>
      <c r="O61" s="22">
        <v>0.17000000000000004</v>
      </c>
    </row>
    <row r="62" spans="1:15" x14ac:dyDescent="0.2">
      <c r="C62" s="7"/>
      <c r="D62" s="7"/>
      <c r="E62" s="7"/>
      <c r="F62" s="7"/>
      <c r="G62" s="7"/>
      <c r="H62" s="7"/>
      <c r="I62" s="7"/>
      <c r="J62" s="7"/>
      <c r="K62" s="7"/>
      <c r="L62" s="7"/>
      <c r="M62" s="7"/>
      <c r="N62" s="7"/>
      <c r="O62" s="22"/>
    </row>
    <row r="63" spans="1:15" s="4" customFormat="1" ht="15" x14ac:dyDescent="0.25">
      <c r="A63" s="3" t="s">
        <v>88</v>
      </c>
      <c r="C63" s="5">
        <v>417.09000000000003</v>
      </c>
      <c r="D63" s="5">
        <v>193.77</v>
      </c>
      <c r="E63" s="5">
        <v>212.75</v>
      </c>
      <c r="F63" s="5">
        <v>387.57</v>
      </c>
      <c r="G63" s="5">
        <v>223.23</v>
      </c>
      <c r="H63" s="5">
        <v>176.10999999999999</v>
      </c>
      <c r="I63" s="5">
        <v>360.68</v>
      </c>
      <c r="J63" s="5">
        <v>266.81</v>
      </c>
      <c r="K63" s="5">
        <v>184.57999999999998</v>
      </c>
      <c r="L63" s="5">
        <v>417.49</v>
      </c>
      <c r="M63" s="5">
        <v>346.63000000000005</v>
      </c>
      <c r="N63" s="5">
        <v>245.32</v>
      </c>
      <c r="O63" s="21">
        <v>3432.03</v>
      </c>
    </row>
    <row r="64" spans="1:15" x14ac:dyDescent="0.2">
      <c r="B64" s="2" t="s">
        <v>297</v>
      </c>
      <c r="C64" s="7">
        <v>5.07</v>
      </c>
      <c r="D64" s="7">
        <v>4.49</v>
      </c>
      <c r="E64" s="7">
        <v>8.43</v>
      </c>
      <c r="F64" s="7">
        <v>8.49</v>
      </c>
      <c r="G64" s="7">
        <v>4.78</v>
      </c>
      <c r="H64" s="7">
        <v>4.2699999999999996</v>
      </c>
      <c r="I64" s="7">
        <v>7.19</v>
      </c>
      <c r="J64" s="7">
        <v>3.78</v>
      </c>
      <c r="K64" s="7">
        <v>2.33</v>
      </c>
      <c r="L64" s="7">
        <v>7.58</v>
      </c>
      <c r="M64" s="7">
        <v>4.2300000000000004</v>
      </c>
      <c r="N64" s="7">
        <v>1.69</v>
      </c>
      <c r="O64" s="22">
        <v>62.33</v>
      </c>
    </row>
    <row r="65" spans="1:15" x14ac:dyDescent="0.2">
      <c r="B65" s="2" t="s">
        <v>299</v>
      </c>
      <c r="C65" s="7">
        <v>5.79</v>
      </c>
      <c r="D65" s="7">
        <v>6.57</v>
      </c>
      <c r="E65" s="7">
        <v>7.33</v>
      </c>
      <c r="F65" s="7">
        <v>4.7699999999999996</v>
      </c>
      <c r="G65" s="7">
        <v>8.26</v>
      </c>
      <c r="H65" s="7">
        <v>10.119999999999999</v>
      </c>
      <c r="I65" s="7">
        <v>15.23</v>
      </c>
      <c r="J65" s="7">
        <v>4.7699999999999996</v>
      </c>
      <c r="K65" s="7">
        <v>2.36</v>
      </c>
      <c r="L65" s="7">
        <v>7.1</v>
      </c>
      <c r="M65" s="7">
        <v>4.58</v>
      </c>
      <c r="N65" s="7">
        <v>3.85</v>
      </c>
      <c r="O65" s="22">
        <v>80.729999999999976</v>
      </c>
    </row>
    <row r="66" spans="1:15" x14ac:dyDescent="0.2">
      <c r="B66" s="2" t="s">
        <v>300</v>
      </c>
      <c r="C66" s="7">
        <v>405.07</v>
      </c>
      <c r="D66" s="7">
        <v>172.78</v>
      </c>
      <c r="E66" s="7">
        <v>196.53</v>
      </c>
      <c r="F66" s="7">
        <v>374.09</v>
      </c>
      <c r="G66" s="7">
        <v>204.51</v>
      </c>
      <c r="H66" s="7">
        <v>160.63999999999999</v>
      </c>
      <c r="I66" s="7">
        <v>337.52</v>
      </c>
      <c r="J66" s="7">
        <v>256.12</v>
      </c>
      <c r="K66" s="7">
        <v>178.16</v>
      </c>
      <c r="L66" s="7">
        <v>402.57</v>
      </c>
      <c r="M66" s="7">
        <v>337.72</v>
      </c>
      <c r="N66" s="7">
        <v>239.75</v>
      </c>
      <c r="O66" s="22">
        <v>3265.46</v>
      </c>
    </row>
    <row r="67" spans="1:15" x14ac:dyDescent="0.2">
      <c r="B67" s="2" t="s">
        <v>418</v>
      </c>
      <c r="C67" s="7">
        <v>0</v>
      </c>
      <c r="D67" s="7">
        <v>0</v>
      </c>
      <c r="E67" s="7">
        <v>0</v>
      </c>
      <c r="F67" s="7">
        <v>0</v>
      </c>
      <c r="G67" s="7">
        <v>0</v>
      </c>
      <c r="H67" s="7">
        <v>0</v>
      </c>
      <c r="I67" s="7">
        <v>0</v>
      </c>
      <c r="J67" s="7">
        <v>0</v>
      </c>
      <c r="K67" s="7">
        <v>0</v>
      </c>
      <c r="L67" s="7">
        <v>0</v>
      </c>
      <c r="M67" s="7">
        <v>0</v>
      </c>
      <c r="N67" s="7">
        <v>0</v>
      </c>
      <c r="O67" s="22">
        <v>0</v>
      </c>
    </row>
    <row r="68" spans="1:15" x14ac:dyDescent="0.2">
      <c r="B68" s="2" t="s">
        <v>298</v>
      </c>
      <c r="C68" s="7">
        <v>1.1599999999999999</v>
      </c>
      <c r="D68" s="7">
        <v>9.93</v>
      </c>
      <c r="E68" s="7">
        <v>0.46</v>
      </c>
      <c r="F68" s="7">
        <v>0.22</v>
      </c>
      <c r="G68" s="7">
        <v>5.68</v>
      </c>
      <c r="H68" s="7">
        <v>1.08</v>
      </c>
      <c r="I68" s="7">
        <v>0.74</v>
      </c>
      <c r="J68" s="7">
        <v>2.14</v>
      </c>
      <c r="K68" s="7">
        <v>1.73</v>
      </c>
      <c r="L68" s="7">
        <v>0.24</v>
      </c>
      <c r="M68" s="7">
        <v>0.1</v>
      </c>
      <c r="N68" s="7">
        <v>0.03</v>
      </c>
      <c r="O68" s="22">
        <v>23.51</v>
      </c>
    </row>
    <row r="69" spans="1:15" x14ac:dyDescent="0.2">
      <c r="C69" s="7"/>
      <c r="D69" s="7"/>
      <c r="E69" s="7"/>
      <c r="F69" s="7"/>
      <c r="G69" s="7"/>
      <c r="H69" s="7"/>
      <c r="I69" s="7"/>
      <c r="J69" s="7"/>
      <c r="K69" s="7"/>
      <c r="L69" s="7"/>
      <c r="M69" s="7"/>
      <c r="N69" s="7"/>
      <c r="O69" s="22"/>
    </row>
    <row r="70" spans="1:15" s="4" customFormat="1" ht="15" x14ac:dyDescent="0.25">
      <c r="A70" s="3" t="s">
        <v>92</v>
      </c>
      <c r="C70" s="5">
        <v>201.69</v>
      </c>
      <c r="D70" s="5">
        <v>181.52</v>
      </c>
      <c r="E70" s="5">
        <v>165.07</v>
      </c>
      <c r="F70" s="5">
        <v>211.26</v>
      </c>
      <c r="G70" s="5">
        <v>203.14999999999998</v>
      </c>
      <c r="H70" s="5">
        <v>138.67999999999998</v>
      </c>
      <c r="I70" s="5">
        <v>196.92</v>
      </c>
      <c r="J70" s="5">
        <v>135.91</v>
      </c>
      <c r="K70" s="5">
        <v>144.41999999999999</v>
      </c>
      <c r="L70" s="5">
        <v>188.05</v>
      </c>
      <c r="M70" s="5">
        <v>159.51000000000002</v>
      </c>
      <c r="N70" s="5">
        <v>117.51</v>
      </c>
      <c r="O70" s="21">
        <v>2043.69</v>
      </c>
    </row>
    <row r="71" spans="1:15" x14ac:dyDescent="0.2">
      <c r="B71" s="2" t="s">
        <v>301</v>
      </c>
      <c r="C71" s="7">
        <v>198.12</v>
      </c>
      <c r="D71" s="7">
        <v>178.56</v>
      </c>
      <c r="E71" s="7">
        <v>161.79</v>
      </c>
      <c r="F71" s="7">
        <v>207.78</v>
      </c>
      <c r="G71" s="7">
        <v>199.95</v>
      </c>
      <c r="H71" s="7">
        <v>136.29</v>
      </c>
      <c r="I71" s="7">
        <v>193.25</v>
      </c>
      <c r="J71" s="7">
        <v>133.37</v>
      </c>
      <c r="K71" s="7">
        <v>142.22</v>
      </c>
      <c r="L71" s="7">
        <v>184.71</v>
      </c>
      <c r="M71" s="7">
        <v>156.74</v>
      </c>
      <c r="N71" s="7">
        <v>115.89</v>
      </c>
      <c r="O71" s="22">
        <v>2008.6700000000003</v>
      </c>
    </row>
    <row r="72" spans="1:15" x14ac:dyDescent="0.2">
      <c r="B72" s="2" t="s">
        <v>302</v>
      </c>
      <c r="C72" s="7">
        <v>3.57</v>
      </c>
      <c r="D72" s="7">
        <v>2.96</v>
      </c>
      <c r="E72" s="7">
        <v>3.28</v>
      </c>
      <c r="F72" s="7">
        <v>3.48</v>
      </c>
      <c r="G72" s="7">
        <v>3.2</v>
      </c>
      <c r="H72" s="7">
        <v>2.39</v>
      </c>
      <c r="I72" s="7">
        <v>3.67</v>
      </c>
      <c r="J72" s="7">
        <v>2.54</v>
      </c>
      <c r="K72" s="7">
        <v>2.2000000000000002</v>
      </c>
      <c r="L72" s="7">
        <v>3.34</v>
      </c>
      <c r="M72" s="7">
        <v>2.77</v>
      </c>
      <c r="N72" s="7">
        <v>1.62</v>
      </c>
      <c r="O72" s="22">
        <v>35.019999999999996</v>
      </c>
    </row>
    <row r="73" spans="1:15" x14ac:dyDescent="0.2">
      <c r="C73" s="7"/>
      <c r="D73" s="7"/>
      <c r="E73" s="7"/>
      <c r="F73" s="7"/>
      <c r="G73" s="7"/>
      <c r="H73" s="7"/>
      <c r="I73" s="7"/>
      <c r="J73" s="7"/>
      <c r="K73" s="7"/>
      <c r="L73" s="7"/>
      <c r="M73" s="7"/>
      <c r="N73" s="7"/>
      <c r="O73" s="22"/>
    </row>
    <row r="74" spans="1:15" s="4" customFormat="1" ht="15" x14ac:dyDescent="0.25">
      <c r="A74" s="3" t="s">
        <v>96</v>
      </c>
      <c r="C74" s="5">
        <v>30.49</v>
      </c>
      <c r="D74" s="5">
        <v>16.739999999999998</v>
      </c>
      <c r="E74" s="5">
        <v>21.7</v>
      </c>
      <c r="F74" s="5">
        <v>13.82</v>
      </c>
      <c r="G74" s="5">
        <v>23.1</v>
      </c>
      <c r="H74" s="5">
        <v>23.39</v>
      </c>
      <c r="I74" s="5">
        <v>13.71</v>
      </c>
      <c r="J74" s="5">
        <v>21.5</v>
      </c>
      <c r="K74" s="5">
        <v>17.899999999999999</v>
      </c>
      <c r="L74" s="5">
        <v>21.94</v>
      </c>
      <c r="M74" s="5">
        <v>23.7</v>
      </c>
      <c r="N74" s="5">
        <v>18.27</v>
      </c>
      <c r="O74" s="21">
        <v>246.26000000000002</v>
      </c>
    </row>
    <row r="75" spans="1:15" x14ac:dyDescent="0.2">
      <c r="B75" s="2" t="s">
        <v>304</v>
      </c>
      <c r="C75" s="7">
        <v>23.63</v>
      </c>
      <c r="D75" s="7">
        <v>11.54</v>
      </c>
      <c r="E75" s="7">
        <v>15.16</v>
      </c>
      <c r="F75" s="7">
        <v>7.73</v>
      </c>
      <c r="G75" s="7">
        <v>17.22</v>
      </c>
      <c r="H75" s="7">
        <v>18.12</v>
      </c>
      <c r="I75" s="7">
        <v>5.08</v>
      </c>
      <c r="J75" s="7">
        <v>16.260000000000002</v>
      </c>
      <c r="K75" s="7">
        <v>13.34</v>
      </c>
      <c r="L75" s="7">
        <v>14.07</v>
      </c>
      <c r="M75" s="7">
        <v>17.97</v>
      </c>
      <c r="N75" s="7">
        <v>14.52</v>
      </c>
      <c r="O75" s="22">
        <v>174.64000000000001</v>
      </c>
    </row>
    <row r="76" spans="1:15" x14ac:dyDescent="0.2">
      <c r="B76" s="2" t="s">
        <v>305</v>
      </c>
      <c r="C76" s="7">
        <v>0.83</v>
      </c>
      <c r="D76" s="7">
        <v>0.53</v>
      </c>
      <c r="E76" s="7">
        <v>2.09</v>
      </c>
      <c r="F76" s="7">
        <v>0.67</v>
      </c>
      <c r="G76" s="7">
        <v>0.48</v>
      </c>
      <c r="H76" s="7">
        <v>0.32</v>
      </c>
      <c r="I76" s="7">
        <v>0.65</v>
      </c>
      <c r="J76" s="7">
        <v>0.48</v>
      </c>
      <c r="K76" s="7">
        <v>0.34</v>
      </c>
      <c r="L76" s="7">
        <v>0.65</v>
      </c>
      <c r="M76" s="7">
        <v>0.51</v>
      </c>
      <c r="N76" s="7">
        <v>0.31</v>
      </c>
      <c r="O76" s="22">
        <v>7.86</v>
      </c>
    </row>
    <row r="77" spans="1:15" x14ac:dyDescent="0.2">
      <c r="B77" s="2" t="s">
        <v>306</v>
      </c>
      <c r="C77" s="7">
        <v>6.03</v>
      </c>
      <c r="D77" s="7">
        <v>4.67</v>
      </c>
      <c r="E77" s="7">
        <v>4.45</v>
      </c>
      <c r="F77" s="7">
        <v>5.42</v>
      </c>
      <c r="G77" s="7">
        <v>5.4</v>
      </c>
      <c r="H77" s="7">
        <v>4.95</v>
      </c>
      <c r="I77" s="7">
        <v>7.98</v>
      </c>
      <c r="J77" s="7">
        <v>4.76</v>
      </c>
      <c r="K77" s="7">
        <v>4.22</v>
      </c>
      <c r="L77" s="7">
        <v>7.21</v>
      </c>
      <c r="M77" s="7">
        <v>5.22</v>
      </c>
      <c r="N77" s="7">
        <v>3.44</v>
      </c>
      <c r="O77" s="22">
        <v>63.749999999999993</v>
      </c>
    </row>
    <row r="78" spans="1:15" x14ac:dyDescent="0.2">
      <c r="B78" s="2" t="s">
        <v>307</v>
      </c>
      <c r="C78" s="7">
        <v>0</v>
      </c>
      <c r="D78" s="7">
        <v>0</v>
      </c>
      <c r="E78" s="7">
        <v>0</v>
      </c>
      <c r="F78" s="7">
        <v>0</v>
      </c>
      <c r="G78" s="7">
        <v>0</v>
      </c>
      <c r="H78" s="7">
        <v>0</v>
      </c>
      <c r="I78" s="7">
        <v>0</v>
      </c>
      <c r="J78" s="7">
        <v>0</v>
      </c>
      <c r="K78" s="7">
        <v>0</v>
      </c>
      <c r="L78" s="7">
        <v>0.01</v>
      </c>
      <c r="M78" s="7">
        <v>0</v>
      </c>
      <c r="N78" s="7">
        <v>0</v>
      </c>
      <c r="O78" s="22">
        <v>0.01</v>
      </c>
    </row>
    <row r="79" spans="1:15" x14ac:dyDescent="0.2">
      <c r="C79" s="7"/>
      <c r="D79" s="7"/>
      <c r="E79" s="7"/>
      <c r="F79" s="7"/>
      <c r="G79" s="7"/>
      <c r="H79" s="7"/>
      <c r="I79" s="7"/>
      <c r="J79" s="7"/>
      <c r="K79" s="7"/>
      <c r="L79" s="7"/>
      <c r="M79" s="7"/>
      <c r="N79" s="7"/>
      <c r="O79" s="22"/>
    </row>
    <row r="80" spans="1:15" s="4" customFormat="1" ht="15" x14ac:dyDescent="0.25">
      <c r="A80" s="3" t="s">
        <v>166</v>
      </c>
      <c r="C80" s="5">
        <v>41.1</v>
      </c>
      <c r="D80" s="5">
        <v>36.380000000000003</v>
      </c>
      <c r="E80" s="5">
        <v>24.449999999999996</v>
      </c>
      <c r="F80" s="5">
        <v>27.769999999999996</v>
      </c>
      <c r="G80" s="5">
        <v>26.83</v>
      </c>
      <c r="H80" s="5">
        <v>22.73</v>
      </c>
      <c r="I80" s="5">
        <v>31.439999999999998</v>
      </c>
      <c r="J80" s="5">
        <v>20.939999999999998</v>
      </c>
      <c r="K80" s="5">
        <v>23.41</v>
      </c>
      <c r="L80" s="5">
        <v>29.790000000000006</v>
      </c>
      <c r="M80" s="5">
        <v>24.139999999999997</v>
      </c>
      <c r="N80" s="5">
        <v>16.329999999999998</v>
      </c>
      <c r="O80" s="21">
        <v>325.30999999999995</v>
      </c>
    </row>
    <row r="81" spans="1:15" x14ac:dyDescent="0.2">
      <c r="B81" s="2" t="s">
        <v>367</v>
      </c>
      <c r="C81" s="7">
        <v>35.6</v>
      </c>
      <c r="D81" s="7">
        <v>31.67</v>
      </c>
      <c r="E81" s="7">
        <v>20.47</v>
      </c>
      <c r="F81" s="7">
        <v>23.06</v>
      </c>
      <c r="G81" s="7">
        <v>23.56</v>
      </c>
      <c r="H81" s="7">
        <v>19.989999999999998</v>
      </c>
      <c r="I81" s="7">
        <v>28.09</v>
      </c>
      <c r="J81" s="7">
        <v>18.32</v>
      </c>
      <c r="K81" s="7">
        <v>20.36</v>
      </c>
      <c r="L81" s="7">
        <v>25.76</v>
      </c>
      <c r="M81" s="7">
        <v>22.04</v>
      </c>
      <c r="N81" s="7">
        <v>13.61</v>
      </c>
      <c r="O81" s="22">
        <v>282.53000000000003</v>
      </c>
    </row>
    <row r="82" spans="1:15" x14ac:dyDescent="0.2">
      <c r="B82" s="2" t="s">
        <v>368</v>
      </c>
      <c r="C82" s="7">
        <v>4.8499999999999996</v>
      </c>
      <c r="D82" s="7">
        <v>3.81</v>
      </c>
      <c r="E82" s="7">
        <v>2.61</v>
      </c>
      <c r="F82" s="7">
        <v>3.24</v>
      </c>
      <c r="G82" s="7">
        <v>2.63</v>
      </c>
      <c r="H82" s="7">
        <v>2.5299999999999998</v>
      </c>
      <c r="I82" s="7">
        <v>3.03</v>
      </c>
      <c r="J82" s="7">
        <v>2.38</v>
      </c>
      <c r="K82" s="7">
        <v>2.74</v>
      </c>
      <c r="L82" s="7">
        <v>3.69</v>
      </c>
      <c r="M82" s="7">
        <v>1.95</v>
      </c>
      <c r="N82" s="7">
        <v>1.58</v>
      </c>
      <c r="O82" s="22">
        <v>35.04</v>
      </c>
    </row>
    <row r="83" spans="1:15" x14ac:dyDescent="0.2">
      <c r="B83" s="2" t="s">
        <v>369</v>
      </c>
      <c r="C83" s="7">
        <v>0.22</v>
      </c>
      <c r="D83" s="7">
        <v>0.14000000000000001</v>
      </c>
      <c r="E83" s="7">
        <v>0.13</v>
      </c>
      <c r="F83" s="7">
        <v>0.1</v>
      </c>
      <c r="G83" s="7">
        <v>0.15</v>
      </c>
      <c r="H83" s="7">
        <v>0.12</v>
      </c>
      <c r="I83" s="7">
        <v>0.13</v>
      </c>
      <c r="J83" s="7">
        <v>0.09</v>
      </c>
      <c r="K83" s="7">
        <v>0.13</v>
      </c>
      <c r="L83" s="7">
        <v>0.05</v>
      </c>
      <c r="M83" s="7">
        <v>0.06</v>
      </c>
      <c r="N83" s="7">
        <v>0.04</v>
      </c>
      <c r="O83" s="22">
        <v>1.36</v>
      </c>
    </row>
    <row r="84" spans="1:15" x14ac:dyDescent="0.2">
      <c r="B84" s="2" t="s">
        <v>370</v>
      </c>
      <c r="C84" s="7">
        <v>0</v>
      </c>
      <c r="D84" s="7">
        <v>0</v>
      </c>
      <c r="E84" s="7">
        <v>0</v>
      </c>
      <c r="F84" s="7">
        <v>7.0000000000000007E-2</v>
      </c>
      <c r="G84" s="7">
        <v>0</v>
      </c>
      <c r="H84" s="7">
        <v>0</v>
      </c>
      <c r="I84" s="7">
        <v>0</v>
      </c>
      <c r="J84" s="7">
        <v>0</v>
      </c>
      <c r="K84" s="7">
        <v>0</v>
      </c>
      <c r="L84" s="7">
        <v>0</v>
      </c>
      <c r="M84" s="7">
        <v>0</v>
      </c>
      <c r="N84" s="7">
        <v>0</v>
      </c>
      <c r="O84" s="22">
        <v>7.0000000000000007E-2</v>
      </c>
    </row>
    <row r="85" spans="1:15" x14ac:dyDescent="0.2">
      <c r="B85" s="2" t="s">
        <v>371</v>
      </c>
      <c r="C85" s="7">
        <v>0</v>
      </c>
      <c r="D85" s="7">
        <v>0.01</v>
      </c>
      <c r="E85" s="7">
        <v>0</v>
      </c>
      <c r="F85" s="7">
        <v>0.06</v>
      </c>
      <c r="G85" s="7">
        <v>0.01</v>
      </c>
      <c r="H85" s="7">
        <v>0</v>
      </c>
      <c r="I85" s="7">
        <v>0.06</v>
      </c>
      <c r="J85" s="7">
        <v>0</v>
      </c>
      <c r="K85" s="7">
        <v>0</v>
      </c>
      <c r="L85" s="7">
        <v>0.03</v>
      </c>
      <c r="M85" s="7">
        <v>0.01</v>
      </c>
      <c r="N85" s="7">
        <v>0</v>
      </c>
      <c r="O85" s="22">
        <v>0.18</v>
      </c>
    </row>
    <row r="86" spans="1:15" x14ac:dyDescent="0.2">
      <c r="B86" s="2" t="s">
        <v>372</v>
      </c>
      <c r="C86" s="7">
        <v>0.43</v>
      </c>
      <c r="D86" s="7">
        <v>0.75</v>
      </c>
      <c r="E86" s="7">
        <v>1.24</v>
      </c>
      <c r="F86" s="7">
        <v>1.24</v>
      </c>
      <c r="G86" s="7">
        <v>0.48</v>
      </c>
      <c r="H86" s="7">
        <v>0.09</v>
      </c>
      <c r="I86" s="7">
        <v>0.13</v>
      </c>
      <c r="J86" s="7">
        <v>0.15</v>
      </c>
      <c r="K86" s="7">
        <v>0.18</v>
      </c>
      <c r="L86" s="7">
        <v>0.26</v>
      </c>
      <c r="M86" s="7">
        <v>0.08</v>
      </c>
      <c r="N86" s="7">
        <v>1.1000000000000001</v>
      </c>
      <c r="O86" s="22">
        <v>6.1300000000000008</v>
      </c>
    </row>
    <row r="87" spans="1:15" x14ac:dyDescent="0.2">
      <c r="C87" s="7"/>
      <c r="D87" s="7"/>
      <c r="E87" s="7"/>
      <c r="F87" s="7"/>
      <c r="G87" s="7"/>
      <c r="H87" s="7"/>
      <c r="I87" s="7"/>
      <c r="J87" s="7"/>
      <c r="K87" s="7"/>
      <c r="L87" s="7"/>
      <c r="M87" s="7"/>
      <c r="N87" s="7"/>
      <c r="O87" s="22"/>
    </row>
    <row r="88" spans="1:15" s="4" customFormat="1" ht="15" x14ac:dyDescent="0.25">
      <c r="A88" s="3" t="s">
        <v>107</v>
      </c>
      <c r="C88" s="5">
        <v>685.85</v>
      </c>
      <c r="D88" s="5">
        <v>583.58999999999992</v>
      </c>
      <c r="E88" s="5">
        <v>451.32</v>
      </c>
      <c r="F88" s="5">
        <v>508.9</v>
      </c>
      <c r="G88" s="5">
        <v>536.67000000000007</v>
      </c>
      <c r="H88" s="5">
        <v>388.76</v>
      </c>
      <c r="I88" s="5">
        <v>668.22</v>
      </c>
      <c r="J88" s="5">
        <v>469.32</v>
      </c>
      <c r="K88" s="5">
        <v>401.27</v>
      </c>
      <c r="L88" s="5">
        <v>670.46999999999991</v>
      </c>
      <c r="M88" s="5">
        <v>519.72</v>
      </c>
      <c r="N88" s="5">
        <v>389.07999999999993</v>
      </c>
      <c r="O88" s="21">
        <v>6273.17</v>
      </c>
    </row>
    <row r="89" spans="1:15" x14ac:dyDescent="0.2">
      <c r="B89" s="2" t="s">
        <v>312</v>
      </c>
      <c r="C89" s="7">
        <v>3.47</v>
      </c>
      <c r="D89" s="7">
        <v>2.29</v>
      </c>
      <c r="E89" s="7">
        <v>2.61</v>
      </c>
      <c r="F89" s="7">
        <v>3.03</v>
      </c>
      <c r="G89" s="7">
        <v>3.52</v>
      </c>
      <c r="H89" s="7">
        <v>1.85</v>
      </c>
      <c r="I89" s="7">
        <v>4.53</v>
      </c>
      <c r="J89" s="7">
        <v>2.0699999999999998</v>
      </c>
      <c r="K89" s="7">
        <v>2.5299999999999998</v>
      </c>
      <c r="L89" s="7">
        <v>3.95</v>
      </c>
      <c r="M89" s="7">
        <v>3.33</v>
      </c>
      <c r="N89" s="7">
        <v>2.64</v>
      </c>
      <c r="O89" s="22">
        <v>35.82</v>
      </c>
    </row>
    <row r="90" spans="1:15" x14ac:dyDescent="0.2">
      <c r="B90" s="2" t="s">
        <v>313</v>
      </c>
      <c r="C90" s="7">
        <v>0.08</v>
      </c>
      <c r="D90" s="7">
        <v>0.03</v>
      </c>
      <c r="E90" s="7">
        <v>0</v>
      </c>
      <c r="F90" s="7">
        <v>0.01</v>
      </c>
      <c r="G90" s="7">
        <v>0.03</v>
      </c>
      <c r="H90" s="7">
        <v>0.02</v>
      </c>
      <c r="I90" s="7">
        <v>0</v>
      </c>
      <c r="J90" s="7">
        <v>0.01</v>
      </c>
      <c r="K90" s="7">
        <v>0.03</v>
      </c>
      <c r="L90" s="7">
        <v>0.03</v>
      </c>
      <c r="M90" s="7">
        <v>0.01</v>
      </c>
      <c r="N90" s="7">
        <v>0.03</v>
      </c>
      <c r="O90" s="22">
        <v>0.28000000000000003</v>
      </c>
    </row>
    <row r="91" spans="1:15" x14ac:dyDescent="0.2">
      <c r="B91" s="2" t="s">
        <v>314</v>
      </c>
      <c r="C91" s="7">
        <v>277.08</v>
      </c>
      <c r="D91" s="7">
        <v>235.39</v>
      </c>
      <c r="E91" s="7">
        <v>161.91999999999999</v>
      </c>
      <c r="F91" s="7">
        <v>196.89</v>
      </c>
      <c r="G91" s="7">
        <v>218.89</v>
      </c>
      <c r="H91" s="7">
        <v>151.13</v>
      </c>
      <c r="I91" s="7">
        <v>262.02</v>
      </c>
      <c r="J91" s="7">
        <v>167.89</v>
      </c>
      <c r="K91" s="7">
        <v>124.38</v>
      </c>
      <c r="L91" s="7">
        <v>248.93</v>
      </c>
      <c r="M91" s="7">
        <v>194.57</v>
      </c>
      <c r="N91" s="7">
        <v>141.35</v>
      </c>
      <c r="O91" s="22">
        <v>2380.44</v>
      </c>
    </row>
    <row r="92" spans="1:15" x14ac:dyDescent="0.2">
      <c r="B92" s="2" t="s">
        <v>315</v>
      </c>
      <c r="C92" s="7">
        <v>351.35</v>
      </c>
      <c r="D92" s="7">
        <v>295.57</v>
      </c>
      <c r="E92" s="7">
        <v>246.87</v>
      </c>
      <c r="F92" s="7">
        <v>261.07</v>
      </c>
      <c r="G92" s="7">
        <v>266.67</v>
      </c>
      <c r="H92" s="7">
        <v>196.99</v>
      </c>
      <c r="I92" s="7">
        <v>348.86</v>
      </c>
      <c r="J92" s="7">
        <v>263.55</v>
      </c>
      <c r="K92" s="7">
        <v>238.46</v>
      </c>
      <c r="L92" s="7">
        <v>371.89</v>
      </c>
      <c r="M92" s="7">
        <v>285.54000000000002</v>
      </c>
      <c r="N92" s="7">
        <v>220.53</v>
      </c>
      <c r="O92" s="22">
        <v>3347.3500000000004</v>
      </c>
    </row>
    <row r="93" spans="1:15" x14ac:dyDescent="0.2">
      <c r="B93" s="2" t="s">
        <v>316</v>
      </c>
      <c r="C93" s="7">
        <v>53.87</v>
      </c>
      <c r="D93" s="7">
        <v>50.31</v>
      </c>
      <c r="E93" s="7">
        <v>39.92</v>
      </c>
      <c r="F93" s="7">
        <v>47.9</v>
      </c>
      <c r="G93" s="7">
        <v>47.56</v>
      </c>
      <c r="H93" s="7">
        <v>38.770000000000003</v>
      </c>
      <c r="I93" s="7">
        <v>52.81</v>
      </c>
      <c r="J93" s="7">
        <v>35.799999999999997</v>
      </c>
      <c r="K93" s="7">
        <v>35.869999999999997</v>
      </c>
      <c r="L93" s="7">
        <v>45.67</v>
      </c>
      <c r="M93" s="7">
        <v>36.270000000000003</v>
      </c>
      <c r="N93" s="7">
        <v>24.53</v>
      </c>
      <c r="O93" s="22">
        <v>509.28000000000009</v>
      </c>
    </row>
    <row r="94" spans="1:15" x14ac:dyDescent="0.2">
      <c r="C94" s="7"/>
      <c r="D94" s="7"/>
      <c r="E94" s="7"/>
      <c r="F94" s="7"/>
      <c r="G94" s="7"/>
      <c r="H94" s="7"/>
      <c r="I94" s="7"/>
      <c r="J94" s="7"/>
      <c r="K94" s="7"/>
      <c r="L94" s="7"/>
      <c r="M94" s="7"/>
      <c r="N94" s="7"/>
      <c r="O94" s="22"/>
    </row>
    <row r="95" spans="1:15" s="4" customFormat="1" ht="15" x14ac:dyDescent="0.25">
      <c r="A95" s="3" t="s">
        <v>113</v>
      </c>
      <c r="C95" s="5">
        <v>95.97999999999999</v>
      </c>
      <c r="D95" s="5">
        <v>47.089999999999996</v>
      </c>
      <c r="E95" s="5">
        <v>47.25</v>
      </c>
      <c r="F95" s="5">
        <v>52.339999999999996</v>
      </c>
      <c r="G95" s="5">
        <v>55.37</v>
      </c>
      <c r="H95" s="5">
        <v>44.64</v>
      </c>
      <c r="I95" s="5">
        <v>68.990000000000009</v>
      </c>
      <c r="J95" s="5">
        <v>43.06</v>
      </c>
      <c r="K95" s="5">
        <v>46.79</v>
      </c>
      <c r="L95" s="5">
        <v>70.650000000000006</v>
      </c>
      <c r="M95" s="5">
        <v>47.150000000000006</v>
      </c>
      <c r="N95" s="5">
        <v>35.449999999999996</v>
      </c>
      <c r="O95" s="21">
        <v>654.76</v>
      </c>
    </row>
    <row r="96" spans="1:15" x14ac:dyDescent="0.2">
      <c r="B96" s="2" t="s">
        <v>312</v>
      </c>
      <c r="C96" s="7">
        <v>47.66</v>
      </c>
      <c r="D96" s="7">
        <v>14.81</v>
      </c>
      <c r="E96" s="7">
        <v>14.7</v>
      </c>
      <c r="F96" s="7">
        <v>16.39</v>
      </c>
      <c r="G96" s="7">
        <v>16.93</v>
      </c>
      <c r="H96" s="7">
        <v>13.49</v>
      </c>
      <c r="I96" s="7">
        <v>22.56</v>
      </c>
      <c r="J96" s="7">
        <v>14.9</v>
      </c>
      <c r="K96" s="7">
        <v>14.98</v>
      </c>
      <c r="L96" s="7">
        <v>24.65</v>
      </c>
      <c r="M96" s="7">
        <v>16.89</v>
      </c>
      <c r="N96" s="7">
        <v>12.77</v>
      </c>
      <c r="O96" s="22">
        <v>230.73</v>
      </c>
    </row>
    <row r="97" spans="1:15" x14ac:dyDescent="0.2">
      <c r="B97" s="2" t="s">
        <v>317</v>
      </c>
      <c r="C97" s="7">
        <v>0.01</v>
      </c>
      <c r="D97" s="7">
        <v>0</v>
      </c>
      <c r="E97" s="7">
        <v>0</v>
      </c>
      <c r="F97" s="7">
        <v>0.04</v>
      </c>
      <c r="G97" s="7">
        <v>7.0000000000000007E-2</v>
      </c>
      <c r="H97" s="7">
        <v>0</v>
      </c>
      <c r="I97" s="7">
        <v>0.02</v>
      </c>
      <c r="J97" s="7">
        <v>0</v>
      </c>
      <c r="K97" s="7">
        <v>0</v>
      </c>
      <c r="L97" s="7">
        <v>0.02</v>
      </c>
      <c r="M97" s="7">
        <v>0.01</v>
      </c>
      <c r="N97" s="7">
        <v>0</v>
      </c>
      <c r="O97" s="22">
        <v>0.17</v>
      </c>
    </row>
    <row r="98" spans="1:15" x14ac:dyDescent="0.2">
      <c r="B98" s="2" t="s">
        <v>318</v>
      </c>
      <c r="C98" s="7">
        <v>0.12</v>
      </c>
      <c r="D98" s="7">
        <v>0.04</v>
      </c>
      <c r="E98" s="7">
        <v>2.25</v>
      </c>
      <c r="F98" s="7">
        <v>0.12</v>
      </c>
      <c r="G98" s="7">
        <v>0.11</v>
      </c>
      <c r="H98" s="7">
        <v>7.0000000000000007E-2</v>
      </c>
      <c r="I98" s="7">
        <v>0.16</v>
      </c>
      <c r="J98" s="7">
        <v>0.38</v>
      </c>
      <c r="K98" s="7">
        <v>0.17</v>
      </c>
      <c r="L98" s="7">
        <v>0.14000000000000001</v>
      </c>
      <c r="M98" s="7">
        <v>0.39</v>
      </c>
      <c r="N98" s="7">
        <v>0.25</v>
      </c>
      <c r="O98" s="22">
        <v>4.2</v>
      </c>
    </row>
    <row r="99" spans="1:15" x14ac:dyDescent="0.2">
      <c r="B99" s="2" t="s">
        <v>319</v>
      </c>
      <c r="C99" s="7">
        <v>0.59</v>
      </c>
      <c r="D99" s="7">
        <v>0.01</v>
      </c>
      <c r="E99" s="7">
        <v>0</v>
      </c>
      <c r="F99" s="7">
        <v>0</v>
      </c>
      <c r="G99" s="7">
        <v>0.06</v>
      </c>
      <c r="H99" s="7">
        <v>0</v>
      </c>
      <c r="I99" s="7">
        <v>0.23</v>
      </c>
      <c r="J99" s="7">
        <v>0</v>
      </c>
      <c r="K99" s="7">
        <v>0</v>
      </c>
      <c r="L99" s="7">
        <v>0</v>
      </c>
      <c r="M99" s="7">
        <v>0.02</v>
      </c>
      <c r="N99" s="7">
        <v>0</v>
      </c>
      <c r="O99" s="22">
        <v>0.90999999999999992</v>
      </c>
    </row>
    <row r="100" spans="1:15" x14ac:dyDescent="0.2">
      <c r="B100" s="2" t="s">
        <v>321</v>
      </c>
      <c r="C100" s="7">
        <v>46.22</v>
      </c>
      <c r="D100" s="7">
        <v>29.65</v>
      </c>
      <c r="E100" s="7">
        <v>29.39</v>
      </c>
      <c r="F100" s="7">
        <v>35.31</v>
      </c>
      <c r="G100" s="7">
        <v>36.380000000000003</v>
      </c>
      <c r="H100" s="7">
        <v>27.77</v>
      </c>
      <c r="I100" s="7">
        <v>45.27</v>
      </c>
      <c r="J100" s="7">
        <v>22.84</v>
      </c>
      <c r="K100" s="7">
        <v>24.21</v>
      </c>
      <c r="L100" s="7">
        <v>44.84</v>
      </c>
      <c r="M100" s="7">
        <v>27.92</v>
      </c>
      <c r="N100" s="7">
        <v>20.78</v>
      </c>
      <c r="O100" s="22">
        <v>390.58000000000004</v>
      </c>
    </row>
    <row r="101" spans="1:15" x14ac:dyDescent="0.2">
      <c r="B101" s="2" t="s">
        <v>322</v>
      </c>
      <c r="C101" s="7">
        <v>1.38</v>
      </c>
      <c r="D101" s="7">
        <v>2.58</v>
      </c>
      <c r="E101" s="7">
        <v>0.91</v>
      </c>
      <c r="F101" s="7">
        <v>0.48</v>
      </c>
      <c r="G101" s="7">
        <v>1.82</v>
      </c>
      <c r="H101" s="7">
        <v>3.31</v>
      </c>
      <c r="I101" s="7">
        <v>0.75</v>
      </c>
      <c r="J101" s="7">
        <v>4.9400000000000004</v>
      </c>
      <c r="K101" s="7">
        <v>7.43</v>
      </c>
      <c r="L101" s="7">
        <v>1</v>
      </c>
      <c r="M101" s="7">
        <v>1.92</v>
      </c>
      <c r="N101" s="7">
        <v>1.65</v>
      </c>
      <c r="O101" s="22">
        <v>28.17</v>
      </c>
    </row>
    <row r="102" spans="1:15" x14ac:dyDescent="0.2">
      <c r="C102" s="7"/>
      <c r="D102" s="7"/>
      <c r="E102" s="7"/>
      <c r="F102" s="7"/>
      <c r="G102" s="7"/>
      <c r="H102" s="7"/>
      <c r="I102" s="7"/>
      <c r="J102" s="7"/>
      <c r="K102" s="7"/>
      <c r="L102" s="7"/>
      <c r="M102" s="7"/>
      <c r="N102" s="7"/>
      <c r="O102" s="22"/>
    </row>
    <row r="103" spans="1:15" s="4" customFormat="1" ht="15" x14ac:dyDescent="0.25">
      <c r="A103" s="3" t="s">
        <v>102</v>
      </c>
      <c r="C103" s="5">
        <v>13.05</v>
      </c>
      <c r="D103" s="5">
        <v>5.54</v>
      </c>
      <c r="E103" s="5">
        <v>4.9399999999999995</v>
      </c>
      <c r="F103" s="5">
        <v>14.93</v>
      </c>
      <c r="G103" s="5">
        <v>7.1000000000000005</v>
      </c>
      <c r="H103" s="5">
        <v>3.44</v>
      </c>
      <c r="I103" s="5">
        <v>8.1</v>
      </c>
      <c r="J103" s="5">
        <v>5.0900000000000007</v>
      </c>
      <c r="K103" s="5">
        <v>12.379999999999999</v>
      </c>
      <c r="L103" s="5">
        <v>6.3900000000000006</v>
      </c>
      <c r="M103" s="5">
        <v>6.42</v>
      </c>
      <c r="N103" s="5">
        <v>3.1900000000000004</v>
      </c>
      <c r="O103" s="21">
        <v>90.570000000000007</v>
      </c>
    </row>
    <row r="104" spans="1:15" x14ac:dyDescent="0.2">
      <c r="B104" s="2" t="s">
        <v>308</v>
      </c>
      <c r="C104" s="7">
        <v>11.67</v>
      </c>
      <c r="D104" s="7">
        <v>5.2</v>
      </c>
      <c r="E104" s="7">
        <v>4.3099999999999996</v>
      </c>
      <c r="F104" s="7">
        <v>6.17</v>
      </c>
      <c r="G104" s="7">
        <v>3.35</v>
      </c>
      <c r="H104" s="7">
        <v>2.48</v>
      </c>
      <c r="I104" s="7">
        <v>6.94</v>
      </c>
      <c r="J104" s="7">
        <v>1.88</v>
      </c>
      <c r="K104" s="7">
        <v>3.2</v>
      </c>
      <c r="L104" s="7">
        <v>3.93</v>
      </c>
      <c r="M104" s="7">
        <v>4.71</v>
      </c>
      <c r="N104" s="7">
        <v>2.58</v>
      </c>
      <c r="O104" s="22">
        <v>56.42</v>
      </c>
    </row>
    <row r="105" spans="1:15" x14ac:dyDescent="0.2">
      <c r="B105" s="2" t="s">
        <v>310</v>
      </c>
      <c r="C105" s="7">
        <v>0.3</v>
      </c>
      <c r="D105" s="7">
        <v>0.13</v>
      </c>
      <c r="E105" s="7">
        <v>0.18</v>
      </c>
      <c r="F105" s="7">
        <v>8.4700000000000006</v>
      </c>
      <c r="G105" s="7">
        <v>3.56</v>
      </c>
      <c r="H105" s="7">
        <v>0.78</v>
      </c>
      <c r="I105" s="7">
        <v>0.64</v>
      </c>
      <c r="J105" s="7">
        <v>2.68</v>
      </c>
      <c r="K105" s="7">
        <v>8.77</v>
      </c>
      <c r="L105" s="7">
        <v>1.8</v>
      </c>
      <c r="M105" s="7">
        <v>0.88</v>
      </c>
      <c r="N105" s="7">
        <v>0.41</v>
      </c>
      <c r="O105" s="22">
        <v>28.6</v>
      </c>
    </row>
    <row r="106" spans="1:15" x14ac:dyDescent="0.2">
      <c r="B106" s="2" t="s">
        <v>311</v>
      </c>
      <c r="C106" s="7">
        <v>1.08</v>
      </c>
      <c r="D106" s="7">
        <v>0.21</v>
      </c>
      <c r="E106" s="7">
        <v>0.45</v>
      </c>
      <c r="F106" s="7">
        <v>0.28999999999999998</v>
      </c>
      <c r="G106" s="7">
        <v>0.19</v>
      </c>
      <c r="H106" s="7">
        <v>0.18</v>
      </c>
      <c r="I106" s="7">
        <v>0.52</v>
      </c>
      <c r="J106" s="7">
        <v>0.53</v>
      </c>
      <c r="K106" s="7">
        <v>0.41</v>
      </c>
      <c r="L106" s="7">
        <v>0.66</v>
      </c>
      <c r="M106" s="7">
        <v>0.83</v>
      </c>
      <c r="N106" s="7">
        <v>0.2</v>
      </c>
      <c r="O106" s="22">
        <v>5.5500000000000007</v>
      </c>
    </row>
    <row r="107" spans="1:15" x14ac:dyDescent="0.2">
      <c r="C107" s="7"/>
      <c r="D107" s="7"/>
      <c r="E107" s="7"/>
      <c r="F107" s="7"/>
      <c r="G107" s="7"/>
      <c r="H107" s="7"/>
      <c r="I107" s="7"/>
      <c r="J107" s="7"/>
      <c r="K107" s="7"/>
      <c r="L107" s="7"/>
      <c r="M107" s="7"/>
      <c r="N107" s="7"/>
      <c r="O107" s="22"/>
    </row>
    <row r="108" spans="1:15" s="4" customFormat="1" ht="15" x14ac:dyDescent="0.25">
      <c r="A108" s="3" t="s">
        <v>324</v>
      </c>
      <c r="C108" s="5">
        <v>0</v>
      </c>
      <c r="D108" s="5">
        <v>0</v>
      </c>
      <c r="E108" s="5">
        <v>0.02</v>
      </c>
      <c r="F108" s="5">
        <v>0</v>
      </c>
      <c r="G108" s="5">
        <v>0</v>
      </c>
      <c r="H108" s="5">
        <v>0</v>
      </c>
      <c r="I108" s="5">
        <v>0</v>
      </c>
      <c r="J108" s="5">
        <v>0</v>
      </c>
      <c r="K108" s="5">
        <v>0</v>
      </c>
      <c r="L108" s="5">
        <v>0</v>
      </c>
      <c r="M108" s="5">
        <v>0</v>
      </c>
      <c r="N108" s="5">
        <v>0.01</v>
      </c>
      <c r="O108" s="21">
        <v>0.03</v>
      </c>
    </row>
    <row r="109" spans="1:15" ht="15" x14ac:dyDescent="0.25">
      <c r="A109" s="1"/>
      <c r="B109" s="2" t="s">
        <v>325</v>
      </c>
      <c r="C109" s="7">
        <v>0</v>
      </c>
      <c r="D109" s="7">
        <v>0</v>
      </c>
      <c r="E109" s="7">
        <v>0</v>
      </c>
      <c r="F109" s="7">
        <v>0</v>
      </c>
      <c r="G109" s="7">
        <v>0</v>
      </c>
      <c r="H109" s="7">
        <v>0</v>
      </c>
      <c r="I109" s="7">
        <v>0</v>
      </c>
      <c r="J109" s="7">
        <v>0</v>
      </c>
      <c r="K109" s="7">
        <v>0</v>
      </c>
      <c r="L109" s="7">
        <v>0</v>
      </c>
      <c r="M109" s="7">
        <v>0</v>
      </c>
      <c r="N109" s="7">
        <v>0</v>
      </c>
      <c r="O109" s="22">
        <v>0</v>
      </c>
    </row>
    <row r="110" spans="1:15" ht="15" x14ac:dyDescent="0.25">
      <c r="A110" s="1"/>
      <c r="B110" s="2" t="s">
        <v>326</v>
      </c>
      <c r="C110" s="7">
        <v>0</v>
      </c>
      <c r="D110" s="7">
        <v>0</v>
      </c>
      <c r="E110" s="7">
        <v>0</v>
      </c>
      <c r="F110" s="7">
        <v>0</v>
      </c>
      <c r="G110" s="7">
        <v>0</v>
      </c>
      <c r="H110" s="7">
        <v>0</v>
      </c>
      <c r="I110" s="7">
        <v>0</v>
      </c>
      <c r="J110" s="7">
        <v>0</v>
      </c>
      <c r="K110" s="7">
        <v>0</v>
      </c>
      <c r="L110" s="7">
        <v>0</v>
      </c>
      <c r="M110" s="7">
        <v>0</v>
      </c>
      <c r="N110" s="7">
        <v>0</v>
      </c>
      <c r="O110" s="22">
        <v>0</v>
      </c>
    </row>
    <row r="111" spans="1:15" ht="15" x14ac:dyDescent="0.25">
      <c r="A111" s="1"/>
      <c r="B111" s="2" t="s">
        <v>327</v>
      </c>
      <c r="C111" s="7">
        <v>0</v>
      </c>
      <c r="D111" s="7">
        <v>0</v>
      </c>
      <c r="E111" s="7">
        <v>0</v>
      </c>
      <c r="F111" s="7">
        <v>0</v>
      </c>
      <c r="G111" s="7">
        <v>0</v>
      </c>
      <c r="H111" s="7">
        <v>0</v>
      </c>
      <c r="I111" s="7">
        <v>0</v>
      </c>
      <c r="J111" s="7">
        <v>0</v>
      </c>
      <c r="K111" s="7">
        <v>0</v>
      </c>
      <c r="L111" s="7">
        <v>0</v>
      </c>
      <c r="M111" s="7">
        <v>0</v>
      </c>
      <c r="N111" s="7">
        <v>0</v>
      </c>
      <c r="O111" s="22">
        <v>0</v>
      </c>
    </row>
    <row r="112" spans="1:15" ht="15" x14ac:dyDescent="0.25">
      <c r="A112" s="1"/>
      <c r="B112" s="2" t="s">
        <v>328</v>
      </c>
      <c r="C112" s="7">
        <v>0</v>
      </c>
      <c r="D112" s="7">
        <v>0</v>
      </c>
      <c r="E112" s="7">
        <v>0</v>
      </c>
      <c r="F112" s="7">
        <v>0</v>
      </c>
      <c r="G112" s="7">
        <v>0</v>
      </c>
      <c r="H112" s="7">
        <v>0</v>
      </c>
      <c r="I112" s="7">
        <v>0</v>
      </c>
      <c r="J112" s="7">
        <v>0</v>
      </c>
      <c r="K112" s="7">
        <v>0</v>
      </c>
      <c r="L112" s="7">
        <v>0</v>
      </c>
      <c r="M112" s="7">
        <v>0</v>
      </c>
      <c r="N112" s="7">
        <v>0</v>
      </c>
      <c r="O112" s="22">
        <v>0</v>
      </c>
    </row>
    <row r="113" spans="1:15" ht="15" x14ac:dyDescent="0.25">
      <c r="A113" s="1"/>
      <c r="B113" s="2" t="s">
        <v>419</v>
      </c>
      <c r="C113" s="7">
        <v>0</v>
      </c>
      <c r="D113" s="7">
        <v>0</v>
      </c>
      <c r="E113" s="7">
        <v>0.02</v>
      </c>
      <c r="F113" s="7">
        <v>0</v>
      </c>
      <c r="G113" s="7">
        <v>0</v>
      </c>
      <c r="H113" s="7">
        <v>0</v>
      </c>
      <c r="I113" s="7">
        <v>0</v>
      </c>
      <c r="J113" s="7">
        <v>0</v>
      </c>
      <c r="K113" s="7">
        <v>0</v>
      </c>
      <c r="L113" s="7">
        <v>0</v>
      </c>
      <c r="M113" s="7">
        <v>0</v>
      </c>
      <c r="N113" s="7">
        <v>0</v>
      </c>
      <c r="O113" s="22">
        <v>0.02</v>
      </c>
    </row>
    <row r="114" spans="1:15" ht="15" x14ac:dyDescent="0.25">
      <c r="A114" s="1"/>
      <c r="B114" s="2" t="s">
        <v>329</v>
      </c>
      <c r="C114" s="7">
        <v>0</v>
      </c>
      <c r="D114" s="7">
        <v>0</v>
      </c>
      <c r="E114" s="7">
        <v>0</v>
      </c>
      <c r="F114" s="7">
        <v>0</v>
      </c>
      <c r="G114" s="7">
        <v>0</v>
      </c>
      <c r="H114" s="7">
        <v>0</v>
      </c>
      <c r="I114" s="7">
        <v>0</v>
      </c>
      <c r="J114" s="7">
        <v>0</v>
      </c>
      <c r="K114" s="7">
        <v>0</v>
      </c>
      <c r="L114" s="7">
        <v>0</v>
      </c>
      <c r="M114" s="7">
        <v>0</v>
      </c>
      <c r="N114" s="7">
        <v>0</v>
      </c>
      <c r="O114" s="22">
        <v>0</v>
      </c>
    </row>
    <row r="115" spans="1:15" ht="15" x14ac:dyDescent="0.25">
      <c r="A115" s="1"/>
      <c r="B115" s="2" t="s">
        <v>420</v>
      </c>
      <c r="C115" s="7">
        <v>0</v>
      </c>
      <c r="D115" s="7">
        <v>0</v>
      </c>
      <c r="E115" s="7">
        <v>0</v>
      </c>
      <c r="F115" s="7">
        <v>0</v>
      </c>
      <c r="G115" s="7">
        <v>0</v>
      </c>
      <c r="H115" s="7">
        <v>0</v>
      </c>
      <c r="I115" s="7">
        <v>0</v>
      </c>
      <c r="J115" s="7">
        <v>0</v>
      </c>
      <c r="K115" s="7">
        <v>0</v>
      </c>
      <c r="L115" s="7">
        <v>0</v>
      </c>
      <c r="M115" s="7">
        <v>0</v>
      </c>
      <c r="N115" s="7">
        <v>0.01</v>
      </c>
      <c r="O115" s="22">
        <v>0.01</v>
      </c>
    </row>
    <row r="116" spans="1:15" ht="15" x14ac:dyDescent="0.25">
      <c r="A116" s="1"/>
      <c r="B116" s="2" t="s">
        <v>330</v>
      </c>
      <c r="C116" s="7">
        <v>0</v>
      </c>
      <c r="D116" s="7">
        <v>0</v>
      </c>
      <c r="E116" s="7">
        <v>0</v>
      </c>
      <c r="F116" s="7">
        <v>0</v>
      </c>
      <c r="G116" s="7">
        <v>0</v>
      </c>
      <c r="H116" s="7">
        <v>0</v>
      </c>
      <c r="I116" s="7">
        <v>0</v>
      </c>
      <c r="J116" s="7">
        <v>0</v>
      </c>
      <c r="K116" s="7">
        <v>0</v>
      </c>
      <c r="L116" s="7">
        <v>0</v>
      </c>
      <c r="M116" s="7">
        <v>0</v>
      </c>
      <c r="N116" s="7">
        <v>0</v>
      </c>
      <c r="O116" s="22">
        <v>0</v>
      </c>
    </row>
    <row r="117" spans="1:15" x14ac:dyDescent="0.2">
      <c r="C117" s="7"/>
      <c r="D117" s="7"/>
      <c r="E117" s="7"/>
      <c r="F117" s="7"/>
      <c r="G117" s="7"/>
      <c r="H117" s="7"/>
      <c r="I117" s="7"/>
      <c r="J117" s="7"/>
      <c r="K117" s="7"/>
      <c r="L117" s="7"/>
      <c r="M117" s="7"/>
      <c r="N117" s="7"/>
      <c r="O117" s="22"/>
    </row>
    <row r="118" spans="1:15" s="4" customFormat="1" ht="15" x14ac:dyDescent="0.25">
      <c r="A118" s="3" t="s">
        <v>78</v>
      </c>
      <c r="C118" s="5">
        <v>94.179999999999993</v>
      </c>
      <c r="D118" s="5">
        <v>36.79</v>
      </c>
      <c r="E118" s="5">
        <v>100.98</v>
      </c>
      <c r="F118" s="5">
        <v>223.57</v>
      </c>
      <c r="G118" s="5">
        <v>81.86</v>
      </c>
      <c r="H118" s="5">
        <v>52.22</v>
      </c>
      <c r="I118" s="5">
        <v>164.95000000000002</v>
      </c>
      <c r="J118" s="5">
        <v>135.16999999999999</v>
      </c>
      <c r="K118" s="5">
        <v>244.69999999999996</v>
      </c>
      <c r="L118" s="5">
        <v>117.61000000000001</v>
      </c>
      <c r="M118" s="5">
        <v>72.580000000000013</v>
      </c>
      <c r="N118" s="5">
        <v>62.250000000000007</v>
      </c>
      <c r="O118" s="21">
        <v>1386.8600000000001</v>
      </c>
    </row>
    <row r="119" spans="1:15" x14ac:dyDescent="0.2">
      <c r="B119" s="2" t="s">
        <v>288</v>
      </c>
      <c r="C119" s="7">
        <v>36.69</v>
      </c>
      <c r="D119" s="7">
        <v>16.91</v>
      </c>
      <c r="E119" s="7">
        <v>24.42</v>
      </c>
      <c r="F119" s="7">
        <v>32.46</v>
      </c>
      <c r="G119" s="7">
        <v>14.65</v>
      </c>
      <c r="H119" s="7">
        <v>9.3699999999999992</v>
      </c>
      <c r="I119" s="7">
        <v>17.96</v>
      </c>
      <c r="J119" s="7">
        <v>15.96</v>
      </c>
      <c r="K119" s="7">
        <v>18.190000000000001</v>
      </c>
      <c r="L119" s="7">
        <v>16.48</v>
      </c>
      <c r="M119" s="7">
        <v>20.05</v>
      </c>
      <c r="N119" s="7">
        <v>12.67</v>
      </c>
      <c r="O119" s="22">
        <v>235.81</v>
      </c>
    </row>
    <row r="120" spans="1:15" x14ac:dyDescent="0.2">
      <c r="B120" s="2" t="s">
        <v>289</v>
      </c>
      <c r="C120" s="7">
        <v>0</v>
      </c>
      <c r="D120" s="7">
        <v>0.02</v>
      </c>
      <c r="E120" s="7">
        <v>0.01</v>
      </c>
      <c r="F120" s="7">
        <v>0.01</v>
      </c>
      <c r="G120" s="7">
        <v>0</v>
      </c>
      <c r="H120" s="7">
        <v>0</v>
      </c>
      <c r="I120" s="7">
        <v>0.02</v>
      </c>
      <c r="J120" s="7">
        <v>0.02</v>
      </c>
      <c r="K120" s="7">
        <v>0</v>
      </c>
      <c r="L120" s="7">
        <v>0.01</v>
      </c>
      <c r="M120" s="7">
        <v>0.01</v>
      </c>
      <c r="N120" s="7">
        <v>0</v>
      </c>
      <c r="O120" s="22">
        <v>9.9999999999999992E-2</v>
      </c>
    </row>
    <row r="121" spans="1:15" x14ac:dyDescent="0.2">
      <c r="B121" s="2" t="s">
        <v>290</v>
      </c>
      <c r="C121" s="7">
        <v>0.43</v>
      </c>
      <c r="D121" s="7">
        <v>0.27</v>
      </c>
      <c r="E121" s="7">
        <v>1.04</v>
      </c>
      <c r="F121" s="7">
        <v>0.13</v>
      </c>
      <c r="G121" s="7">
        <v>0.09</v>
      </c>
      <c r="H121" s="7">
        <v>0.02</v>
      </c>
      <c r="I121" s="7">
        <v>0.12</v>
      </c>
      <c r="J121" s="7">
        <v>0.02</v>
      </c>
      <c r="K121" s="7">
        <v>0.02</v>
      </c>
      <c r="L121" s="7">
        <v>0.48</v>
      </c>
      <c r="M121" s="7">
        <v>0.12</v>
      </c>
      <c r="N121" s="7">
        <v>0</v>
      </c>
      <c r="O121" s="22">
        <v>2.74</v>
      </c>
    </row>
    <row r="122" spans="1:15" x14ac:dyDescent="0.2">
      <c r="B122" s="2" t="s">
        <v>291</v>
      </c>
      <c r="C122" s="7">
        <v>7.17</v>
      </c>
      <c r="D122" s="7">
        <v>5.67</v>
      </c>
      <c r="E122" s="7">
        <v>5.15</v>
      </c>
      <c r="F122" s="7">
        <v>5.51</v>
      </c>
      <c r="G122" s="7">
        <v>6.23</v>
      </c>
      <c r="H122" s="7">
        <v>5.07</v>
      </c>
      <c r="I122" s="7">
        <v>8.23</v>
      </c>
      <c r="J122" s="7">
        <v>5.23</v>
      </c>
      <c r="K122" s="7">
        <v>7.54</v>
      </c>
      <c r="L122" s="7">
        <v>9.1199999999999992</v>
      </c>
      <c r="M122" s="7">
        <v>5.51</v>
      </c>
      <c r="N122" s="7">
        <v>3.88</v>
      </c>
      <c r="O122" s="22">
        <v>74.31</v>
      </c>
    </row>
    <row r="123" spans="1:15" x14ac:dyDescent="0.2">
      <c r="B123" s="2" t="s">
        <v>292</v>
      </c>
      <c r="C123" s="7">
        <v>0.3</v>
      </c>
      <c r="D123" s="7">
        <v>0.25</v>
      </c>
      <c r="E123" s="7">
        <v>0.17</v>
      </c>
      <c r="F123" s="7">
        <v>0.1</v>
      </c>
      <c r="G123" s="7">
        <v>0.24</v>
      </c>
      <c r="H123" s="7">
        <v>0.21</v>
      </c>
      <c r="I123" s="7">
        <v>0.35</v>
      </c>
      <c r="J123" s="7">
        <v>0.18</v>
      </c>
      <c r="K123" s="7">
        <v>7.0000000000000007E-2</v>
      </c>
      <c r="L123" s="7">
        <v>0.25</v>
      </c>
      <c r="M123" s="7">
        <v>0.13</v>
      </c>
      <c r="N123" s="7">
        <v>0.93</v>
      </c>
      <c r="O123" s="22">
        <v>3.18</v>
      </c>
    </row>
    <row r="124" spans="1:15" x14ac:dyDescent="0.2">
      <c r="B124" s="2" t="s">
        <v>293</v>
      </c>
      <c r="C124" s="7">
        <v>46.64</v>
      </c>
      <c r="D124" s="7">
        <v>11.39</v>
      </c>
      <c r="E124" s="7">
        <v>68.38</v>
      </c>
      <c r="F124" s="7">
        <v>184.1</v>
      </c>
      <c r="G124" s="7">
        <v>58.92</v>
      </c>
      <c r="H124" s="7">
        <v>32.65</v>
      </c>
      <c r="I124" s="7">
        <v>136.56</v>
      </c>
      <c r="J124" s="7">
        <v>112.12</v>
      </c>
      <c r="K124" s="7">
        <v>217.51</v>
      </c>
      <c r="L124" s="7">
        <v>84.16</v>
      </c>
      <c r="M124" s="7">
        <v>39.04</v>
      </c>
      <c r="N124" s="7">
        <v>43.22</v>
      </c>
      <c r="O124" s="22">
        <v>1034.6899999999998</v>
      </c>
    </row>
    <row r="125" spans="1:15" x14ac:dyDescent="0.2">
      <c r="B125" s="2" t="s">
        <v>294</v>
      </c>
      <c r="C125" s="7">
        <v>1.37</v>
      </c>
      <c r="D125" s="7">
        <v>0.71</v>
      </c>
      <c r="E125" s="7">
        <v>0.64</v>
      </c>
      <c r="F125" s="7">
        <v>0.54</v>
      </c>
      <c r="G125" s="7">
        <v>0.71</v>
      </c>
      <c r="H125" s="7">
        <v>0.43</v>
      </c>
      <c r="I125" s="7">
        <v>0.93</v>
      </c>
      <c r="J125" s="7">
        <v>0.59</v>
      </c>
      <c r="K125" s="7">
        <v>0.42</v>
      </c>
      <c r="L125" s="7">
        <v>0.59</v>
      </c>
      <c r="M125" s="7">
        <v>0.7</v>
      </c>
      <c r="N125" s="7">
        <v>0.71</v>
      </c>
      <c r="O125" s="22">
        <v>8.34</v>
      </c>
    </row>
    <row r="126" spans="1:15" x14ac:dyDescent="0.2">
      <c r="B126" s="2" t="s">
        <v>421</v>
      </c>
      <c r="C126" s="7">
        <v>1.53</v>
      </c>
      <c r="D126" s="7">
        <v>1.57</v>
      </c>
      <c r="E126" s="7">
        <v>1.1399999999999999</v>
      </c>
      <c r="F126" s="7">
        <v>0.71</v>
      </c>
      <c r="G126" s="7">
        <v>1.01</v>
      </c>
      <c r="H126" s="7">
        <v>4.46</v>
      </c>
      <c r="I126" s="7">
        <v>0.76</v>
      </c>
      <c r="J126" s="7">
        <v>1.04</v>
      </c>
      <c r="K126" s="7">
        <v>0.91</v>
      </c>
      <c r="L126" s="7">
        <v>6.5</v>
      </c>
      <c r="M126" s="7">
        <v>7.01</v>
      </c>
      <c r="N126" s="7">
        <v>0</v>
      </c>
      <c r="O126" s="22">
        <v>26.64</v>
      </c>
    </row>
    <row r="127" spans="1:15" x14ac:dyDescent="0.2">
      <c r="B127" s="2" t="s">
        <v>422</v>
      </c>
      <c r="C127" s="7">
        <v>0</v>
      </c>
      <c r="D127" s="7">
        <v>0</v>
      </c>
      <c r="E127" s="7">
        <v>0</v>
      </c>
      <c r="F127" s="7">
        <v>0.01</v>
      </c>
      <c r="G127" s="7">
        <v>0.01</v>
      </c>
      <c r="H127" s="7">
        <v>0.01</v>
      </c>
      <c r="I127" s="7">
        <v>0.02</v>
      </c>
      <c r="J127" s="7">
        <v>0.01</v>
      </c>
      <c r="K127" s="7">
        <v>0.04</v>
      </c>
      <c r="L127" s="7">
        <v>0.01</v>
      </c>
      <c r="M127" s="7">
        <v>0.01</v>
      </c>
      <c r="N127" s="7">
        <v>0.82</v>
      </c>
      <c r="O127" s="22">
        <v>0.94</v>
      </c>
    </row>
    <row r="128" spans="1:15" x14ac:dyDescent="0.2">
      <c r="B128" s="2" t="s">
        <v>296</v>
      </c>
      <c r="C128" s="7">
        <v>0.05</v>
      </c>
      <c r="D128" s="7">
        <v>0</v>
      </c>
      <c r="E128" s="7">
        <v>0.03</v>
      </c>
      <c r="F128" s="7">
        <v>0</v>
      </c>
      <c r="G128" s="7">
        <v>0</v>
      </c>
      <c r="H128" s="7">
        <v>0</v>
      </c>
      <c r="I128" s="7">
        <v>0</v>
      </c>
      <c r="J128" s="7">
        <v>0</v>
      </c>
      <c r="K128" s="7">
        <v>0</v>
      </c>
      <c r="L128" s="7">
        <v>0.01</v>
      </c>
      <c r="M128" s="7">
        <v>0</v>
      </c>
      <c r="N128" s="7">
        <v>0.02</v>
      </c>
      <c r="O128" s="22">
        <v>0.11</v>
      </c>
    </row>
    <row r="129" spans="1:15" x14ac:dyDescent="0.2">
      <c r="C129" s="7"/>
      <c r="D129" s="7"/>
      <c r="E129" s="7"/>
      <c r="F129" s="7"/>
      <c r="G129" s="7"/>
      <c r="H129" s="7"/>
      <c r="I129" s="7"/>
      <c r="J129" s="7"/>
      <c r="K129" s="7"/>
      <c r="L129" s="7"/>
      <c r="M129" s="7"/>
      <c r="N129" s="7"/>
      <c r="O129" s="22"/>
    </row>
    <row r="130" spans="1:15" s="4" customFormat="1" ht="15" x14ac:dyDescent="0.25">
      <c r="A130" s="3" t="s">
        <v>159</v>
      </c>
      <c r="C130" s="5">
        <v>1.6</v>
      </c>
      <c r="D130" s="5">
        <v>1.1399999999999999</v>
      </c>
      <c r="E130" s="5">
        <v>1.58</v>
      </c>
      <c r="F130" s="5">
        <v>5.26</v>
      </c>
      <c r="G130" s="5">
        <v>1.3</v>
      </c>
      <c r="H130" s="5">
        <v>3.76</v>
      </c>
      <c r="I130" s="5">
        <v>1.05</v>
      </c>
      <c r="J130" s="5">
        <v>1.31</v>
      </c>
      <c r="K130" s="5">
        <v>1.17</v>
      </c>
      <c r="L130" s="5">
        <v>1.74</v>
      </c>
      <c r="M130" s="5">
        <v>1.01</v>
      </c>
      <c r="N130" s="5">
        <v>0.76</v>
      </c>
      <c r="O130" s="21">
        <v>21.680000000000003</v>
      </c>
    </row>
    <row r="131" spans="1:15" x14ac:dyDescent="0.2">
      <c r="B131" s="2" t="s">
        <v>363</v>
      </c>
      <c r="C131" s="7">
        <v>1.6</v>
      </c>
      <c r="D131" s="7">
        <v>1.1399999999999999</v>
      </c>
      <c r="E131" s="7">
        <v>1.58</v>
      </c>
      <c r="F131" s="7">
        <v>5.26</v>
      </c>
      <c r="G131" s="7">
        <v>1.3</v>
      </c>
      <c r="H131" s="7">
        <v>3.76</v>
      </c>
      <c r="I131" s="7">
        <v>1.05</v>
      </c>
      <c r="J131" s="7">
        <v>1.31</v>
      </c>
      <c r="K131" s="7">
        <v>1.17</v>
      </c>
      <c r="L131" s="7">
        <v>1.74</v>
      </c>
      <c r="M131" s="7">
        <v>1.01</v>
      </c>
      <c r="N131" s="7">
        <v>0.76</v>
      </c>
      <c r="O131" s="22">
        <v>21.680000000000003</v>
      </c>
    </row>
    <row r="132" spans="1:15" x14ac:dyDescent="0.2">
      <c r="C132" s="7"/>
      <c r="D132" s="7"/>
      <c r="E132" s="7"/>
      <c r="F132" s="7"/>
      <c r="G132" s="7"/>
      <c r="H132" s="7"/>
      <c r="I132" s="7"/>
      <c r="J132" s="7"/>
      <c r="K132" s="7"/>
      <c r="L132" s="7"/>
      <c r="M132" s="7"/>
      <c r="N132" s="7"/>
      <c r="O132" s="22"/>
    </row>
    <row r="133" spans="1:15" s="4" customFormat="1" ht="15" x14ac:dyDescent="0.25">
      <c r="A133" s="3" t="s">
        <v>161</v>
      </c>
      <c r="C133" s="5">
        <v>6.67</v>
      </c>
      <c r="D133" s="5">
        <v>13.680000000000001</v>
      </c>
      <c r="E133" s="5">
        <v>2.0799999999999996</v>
      </c>
      <c r="F133" s="5">
        <v>3.75</v>
      </c>
      <c r="G133" s="5">
        <v>2.5100000000000002</v>
      </c>
      <c r="H133" s="5">
        <v>2.81</v>
      </c>
      <c r="I133" s="5">
        <v>3.02</v>
      </c>
      <c r="J133" s="5">
        <v>4.26</v>
      </c>
      <c r="K133" s="5">
        <v>1.21</v>
      </c>
      <c r="L133" s="5">
        <v>23.42</v>
      </c>
      <c r="M133" s="5">
        <v>3.73</v>
      </c>
      <c r="N133" s="5">
        <v>2.1399999999999997</v>
      </c>
      <c r="O133" s="21">
        <v>69.28</v>
      </c>
    </row>
    <row r="134" spans="1:15" x14ac:dyDescent="0.2">
      <c r="B134" s="2" t="s">
        <v>364</v>
      </c>
      <c r="C134" s="7">
        <v>0.06</v>
      </c>
      <c r="D134" s="7">
        <v>0.05</v>
      </c>
      <c r="E134" s="7">
        <v>0.03</v>
      </c>
      <c r="F134" s="7">
        <v>0.03</v>
      </c>
      <c r="G134" s="7">
        <v>0.03</v>
      </c>
      <c r="H134" s="7">
        <v>0.75</v>
      </c>
      <c r="I134" s="7">
        <v>0.21</v>
      </c>
      <c r="J134" s="7">
        <v>0.03</v>
      </c>
      <c r="K134" s="7">
        <v>0</v>
      </c>
      <c r="L134" s="7">
        <v>0</v>
      </c>
      <c r="M134" s="7">
        <v>0.02</v>
      </c>
      <c r="N134" s="7">
        <v>0.01</v>
      </c>
      <c r="O134" s="22">
        <v>1.22</v>
      </c>
    </row>
    <row r="135" spans="1:15" x14ac:dyDescent="0.2">
      <c r="B135" s="2" t="s">
        <v>365</v>
      </c>
      <c r="C135" s="7">
        <v>0.08</v>
      </c>
      <c r="D135" s="7">
        <v>13.63</v>
      </c>
      <c r="E135" s="7">
        <v>0</v>
      </c>
      <c r="F135" s="7">
        <v>0</v>
      </c>
      <c r="G135" s="7">
        <v>0.03</v>
      </c>
      <c r="H135" s="7">
        <v>0</v>
      </c>
      <c r="I135" s="7">
        <v>0</v>
      </c>
      <c r="J135" s="7">
        <v>0.02</v>
      </c>
      <c r="K135" s="7">
        <v>0</v>
      </c>
      <c r="L135" s="7">
        <v>0.01</v>
      </c>
      <c r="M135" s="7">
        <v>0.02</v>
      </c>
      <c r="N135" s="7">
        <v>0</v>
      </c>
      <c r="O135" s="22">
        <v>13.79</v>
      </c>
    </row>
    <row r="136" spans="1:15" x14ac:dyDescent="0.2">
      <c r="B136" s="2" t="s">
        <v>366</v>
      </c>
      <c r="C136" s="7">
        <v>6.53</v>
      </c>
      <c r="D136" s="7">
        <v>0</v>
      </c>
      <c r="E136" s="7">
        <v>2.0499999999999998</v>
      </c>
      <c r="F136" s="7">
        <v>3.72</v>
      </c>
      <c r="G136" s="7">
        <v>2.4500000000000002</v>
      </c>
      <c r="H136" s="7">
        <v>2.06</v>
      </c>
      <c r="I136" s="7">
        <v>2.81</v>
      </c>
      <c r="J136" s="7">
        <v>4.21</v>
      </c>
      <c r="K136" s="7">
        <v>1.21</v>
      </c>
      <c r="L136" s="7">
        <v>23.41</v>
      </c>
      <c r="M136" s="7">
        <v>3.69</v>
      </c>
      <c r="N136" s="7">
        <v>2.13</v>
      </c>
      <c r="O136" s="22">
        <v>54.27</v>
      </c>
    </row>
    <row r="137" spans="1:15" x14ac:dyDescent="0.2">
      <c r="C137" s="7"/>
      <c r="D137" s="7"/>
      <c r="E137" s="7"/>
      <c r="F137" s="7"/>
      <c r="G137" s="7"/>
      <c r="H137" s="7"/>
      <c r="I137" s="7"/>
      <c r="J137" s="7"/>
      <c r="K137" s="7"/>
      <c r="L137" s="7"/>
      <c r="M137" s="7"/>
      <c r="N137" s="7"/>
      <c r="O137" s="22"/>
    </row>
    <row r="138" spans="1:15" s="4" customFormat="1" ht="15" x14ac:dyDescent="0.25">
      <c r="A138" s="3" t="s">
        <v>140</v>
      </c>
      <c r="C138" s="5">
        <v>17.380000000000003</v>
      </c>
      <c r="D138" s="5">
        <v>16.049999999999997</v>
      </c>
      <c r="E138" s="5">
        <v>12.499999999999998</v>
      </c>
      <c r="F138" s="5">
        <v>14.439999999999998</v>
      </c>
      <c r="G138" s="5">
        <v>13.920000000000002</v>
      </c>
      <c r="H138" s="5">
        <v>9.9600000000000009</v>
      </c>
      <c r="I138" s="5">
        <v>18.400000000000006</v>
      </c>
      <c r="J138" s="5">
        <v>9.9500000000000011</v>
      </c>
      <c r="K138" s="5">
        <v>11.490000000000002</v>
      </c>
      <c r="L138" s="5">
        <v>18.249999999999996</v>
      </c>
      <c r="M138" s="5">
        <v>13.309999999999999</v>
      </c>
      <c r="N138" s="5">
        <v>8.620000000000001</v>
      </c>
      <c r="O138" s="21">
        <v>164.27</v>
      </c>
    </row>
    <row r="139" spans="1:15" x14ac:dyDescent="0.2">
      <c r="B139" s="2" t="s">
        <v>346</v>
      </c>
      <c r="C139" s="7">
        <v>4.59</v>
      </c>
      <c r="D139" s="7">
        <v>7.61</v>
      </c>
      <c r="E139" s="7">
        <v>5.1100000000000003</v>
      </c>
      <c r="F139" s="7">
        <v>4.41</v>
      </c>
      <c r="G139" s="7">
        <v>3.29</v>
      </c>
      <c r="H139" s="7">
        <v>4.63</v>
      </c>
      <c r="I139" s="7">
        <v>7.46</v>
      </c>
      <c r="J139" s="7">
        <v>3.5</v>
      </c>
      <c r="K139" s="7">
        <v>4.79</v>
      </c>
      <c r="L139" s="7">
        <v>4.91</v>
      </c>
      <c r="M139" s="7">
        <v>4.26</v>
      </c>
      <c r="N139" s="7">
        <v>4.28</v>
      </c>
      <c r="O139" s="22">
        <v>58.839999999999996</v>
      </c>
    </row>
    <row r="140" spans="1:15" x14ac:dyDescent="0.2">
      <c r="B140" s="2" t="s">
        <v>347</v>
      </c>
      <c r="C140" s="7">
        <v>2.37</v>
      </c>
      <c r="D140" s="7">
        <v>0.46</v>
      </c>
      <c r="E140" s="7">
        <v>0.33</v>
      </c>
      <c r="F140" s="7">
        <v>2.0099999999999998</v>
      </c>
      <c r="G140" s="7">
        <v>1.19</v>
      </c>
      <c r="H140" s="7">
        <v>0.13</v>
      </c>
      <c r="I140" s="7">
        <v>0.78</v>
      </c>
      <c r="J140" s="7">
        <v>0.05</v>
      </c>
      <c r="K140" s="7">
        <v>0.5</v>
      </c>
      <c r="L140" s="7">
        <v>1.33</v>
      </c>
      <c r="M140" s="7">
        <v>1.59</v>
      </c>
      <c r="N140" s="7">
        <v>0.11</v>
      </c>
      <c r="O140" s="22">
        <v>10.849999999999998</v>
      </c>
    </row>
    <row r="141" spans="1:15" x14ac:dyDescent="0.2">
      <c r="B141" s="2" t="s">
        <v>348</v>
      </c>
      <c r="C141" s="7">
        <v>0.25</v>
      </c>
      <c r="D141" s="7">
        <v>0.23</v>
      </c>
      <c r="E141" s="7">
        <v>0.1</v>
      </c>
      <c r="F141" s="7">
        <v>0.23</v>
      </c>
      <c r="G141" s="7">
        <v>0.18</v>
      </c>
      <c r="H141" s="7">
        <v>0.14000000000000001</v>
      </c>
      <c r="I141" s="7">
        <v>0.3</v>
      </c>
      <c r="J141" s="7">
        <v>0.05</v>
      </c>
      <c r="K141" s="7">
        <v>0.19</v>
      </c>
      <c r="L141" s="7">
        <v>0.42</v>
      </c>
      <c r="M141" s="7">
        <v>0.14000000000000001</v>
      </c>
      <c r="N141" s="7">
        <v>0.03</v>
      </c>
      <c r="O141" s="22">
        <v>2.2599999999999998</v>
      </c>
    </row>
    <row r="142" spans="1:15" x14ac:dyDescent="0.2">
      <c r="B142" s="2" t="s">
        <v>349</v>
      </c>
      <c r="C142" s="7">
        <v>0.17</v>
      </c>
      <c r="D142" s="7">
        <v>0.17</v>
      </c>
      <c r="E142" s="7">
        <v>0.31</v>
      </c>
      <c r="F142" s="7">
        <v>0.25</v>
      </c>
      <c r="G142" s="7">
        <v>0.16</v>
      </c>
      <c r="H142" s="7">
        <v>0.18</v>
      </c>
      <c r="I142" s="7">
        <v>0.26</v>
      </c>
      <c r="J142" s="7">
        <v>0.16</v>
      </c>
      <c r="K142" s="7">
        <v>0.17</v>
      </c>
      <c r="L142" s="7">
        <v>0.15</v>
      </c>
      <c r="M142" s="7">
        <v>0.17</v>
      </c>
      <c r="N142" s="7">
        <v>0.11</v>
      </c>
      <c r="O142" s="22">
        <v>2.2599999999999998</v>
      </c>
    </row>
    <row r="143" spans="1:15" x14ac:dyDescent="0.2">
      <c r="B143" s="2" t="s">
        <v>350</v>
      </c>
      <c r="C143" s="7">
        <v>2.39</v>
      </c>
      <c r="D143" s="7">
        <v>1.85</v>
      </c>
      <c r="E143" s="7">
        <v>1.42</v>
      </c>
      <c r="F143" s="7">
        <v>1.57</v>
      </c>
      <c r="G143" s="7">
        <v>3.73</v>
      </c>
      <c r="H143" s="7">
        <v>1.35</v>
      </c>
      <c r="I143" s="7">
        <v>3.06</v>
      </c>
      <c r="J143" s="7">
        <v>1.06</v>
      </c>
      <c r="K143" s="7">
        <v>1.4</v>
      </c>
      <c r="L143" s="7">
        <v>3.01</v>
      </c>
      <c r="M143" s="7">
        <v>1.8</v>
      </c>
      <c r="N143" s="7">
        <v>0.99</v>
      </c>
      <c r="O143" s="22">
        <v>23.629999999999995</v>
      </c>
    </row>
    <row r="144" spans="1:15" x14ac:dyDescent="0.2">
      <c r="B144" s="2" t="s">
        <v>351</v>
      </c>
      <c r="C144" s="7">
        <v>3.72</v>
      </c>
      <c r="D144" s="7">
        <v>2.88</v>
      </c>
      <c r="E144" s="7">
        <v>2.68</v>
      </c>
      <c r="F144" s="7">
        <v>2.94</v>
      </c>
      <c r="G144" s="7">
        <v>3.09</v>
      </c>
      <c r="H144" s="7">
        <v>1.96</v>
      </c>
      <c r="I144" s="7">
        <v>3.54</v>
      </c>
      <c r="J144" s="7">
        <v>2.97</v>
      </c>
      <c r="K144" s="7">
        <v>2.2799999999999998</v>
      </c>
      <c r="L144" s="7">
        <v>4.24</v>
      </c>
      <c r="M144" s="7">
        <v>2.78</v>
      </c>
      <c r="N144" s="7">
        <v>1.76</v>
      </c>
      <c r="O144" s="22">
        <v>34.839999999999996</v>
      </c>
    </row>
    <row r="145" spans="1:15" x14ac:dyDescent="0.2">
      <c r="B145" s="2" t="s">
        <v>352</v>
      </c>
      <c r="C145" s="7">
        <v>0.06</v>
      </c>
      <c r="D145" s="7">
        <v>0.04</v>
      </c>
      <c r="E145" s="7">
        <v>0</v>
      </c>
      <c r="F145" s="7">
        <v>0</v>
      </c>
      <c r="G145" s="7">
        <v>0</v>
      </c>
      <c r="H145" s="7">
        <v>0</v>
      </c>
      <c r="I145" s="7">
        <v>0</v>
      </c>
      <c r="J145" s="7">
        <v>0</v>
      </c>
      <c r="K145" s="7">
        <v>0.04</v>
      </c>
      <c r="L145" s="7">
        <v>0.04</v>
      </c>
      <c r="M145" s="7">
        <v>0.01</v>
      </c>
      <c r="N145" s="7">
        <v>0.02</v>
      </c>
      <c r="O145" s="22">
        <v>0.21000000000000002</v>
      </c>
    </row>
    <row r="146" spans="1:15" x14ac:dyDescent="0.2">
      <c r="B146" s="4" t="s">
        <v>353</v>
      </c>
      <c r="C146" s="7">
        <v>0.5</v>
      </c>
      <c r="D146" s="7">
        <v>0.49</v>
      </c>
      <c r="E146" s="7">
        <v>0.51</v>
      </c>
      <c r="F146" s="7">
        <v>0.79</v>
      </c>
      <c r="G146" s="7">
        <v>0.33</v>
      </c>
      <c r="H146" s="7">
        <v>0.22</v>
      </c>
      <c r="I146" s="7">
        <v>0.44</v>
      </c>
      <c r="J146" s="7">
        <v>0.39</v>
      </c>
      <c r="K146" s="7">
        <v>0.47</v>
      </c>
      <c r="L146" s="7">
        <v>1.55</v>
      </c>
      <c r="M146" s="7">
        <v>0.54</v>
      </c>
      <c r="N146" s="7">
        <v>0.39</v>
      </c>
      <c r="O146" s="22">
        <v>6.62</v>
      </c>
    </row>
    <row r="147" spans="1:15" x14ac:dyDescent="0.2">
      <c r="B147" s="2" t="s">
        <v>354</v>
      </c>
      <c r="C147" s="7">
        <v>0</v>
      </c>
      <c r="D147" s="7">
        <v>0</v>
      </c>
      <c r="E147" s="7">
        <v>0</v>
      </c>
      <c r="F147" s="7">
        <v>0</v>
      </c>
      <c r="G147" s="7">
        <v>0</v>
      </c>
      <c r="H147" s="7">
        <v>0</v>
      </c>
      <c r="I147" s="7">
        <v>0</v>
      </c>
      <c r="J147" s="7">
        <v>0</v>
      </c>
      <c r="K147" s="7">
        <v>0</v>
      </c>
      <c r="L147" s="7">
        <v>0</v>
      </c>
      <c r="M147" s="7">
        <v>0</v>
      </c>
      <c r="N147" s="7">
        <v>0</v>
      </c>
      <c r="O147" s="22">
        <v>0</v>
      </c>
    </row>
    <row r="148" spans="1:15" x14ac:dyDescent="0.2">
      <c r="B148" s="2" t="s">
        <v>423</v>
      </c>
      <c r="C148" s="7">
        <v>3.08</v>
      </c>
      <c r="D148" s="7">
        <v>1.91</v>
      </c>
      <c r="E148" s="7">
        <v>1.77</v>
      </c>
      <c r="F148" s="7">
        <v>1.86</v>
      </c>
      <c r="G148" s="7">
        <v>1.73</v>
      </c>
      <c r="H148" s="7">
        <v>1.24</v>
      </c>
      <c r="I148" s="7">
        <v>2.2599999999999998</v>
      </c>
      <c r="J148" s="7">
        <v>1.52</v>
      </c>
      <c r="K148" s="7">
        <v>1.21</v>
      </c>
      <c r="L148" s="7">
        <v>2.23</v>
      </c>
      <c r="M148" s="7">
        <v>1.71</v>
      </c>
      <c r="N148" s="7">
        <v>0.78</v>
      </c>
      <c r="O148" s="22">
        <v>21.3</v>
      </c>
    </row>
    <row r="149" spans="1:15" x14ac:dyDescent="0.2">
      <c r="B149" s="2" t="s">
        <v>356</v>
      </c>
      <c r="C149" s="7">
        <v>0.25</v>
      </c>
      <c r="D149" s="7">
        <v>0.17</v>
      </c>
      <c r="E149" s="7">
        <v>0.15</v>
      </c>
      <c r="F149" s="7">
        <v>0.27</v>
      </c>
      <c r="G149" s="7">
        <v>0.21</v>
      </c>
      <c r="H149" s="7">
        <v>0.11</v>
      </c>
      <c r="I149" s="7">
        <v>0.27</v>
      </c>
      <c r="J149" s="7">
        <v>0.17</v>
      </c>
      <c r="K149" s="7">
        <v>0.21</v>
      </c>
      <c r="L149" s="7">
        <v>0.22</v>
      </c>
      <c r="M149" s="7">
        <v>0.27</v>
      </c>
      <c r="N149" s="7">
        <v>0.14000000000000001</v>
      </c>
      <c r="O149" s="22">
        <v>2.4400000000000004</v>
      </c>
    </row>
    <row r="150" spans="1:15" x14ac:dyDescent="0.2">
      <c r="B150" s="2" t="s">
        <v>358</v>
      </c>
      <c r="C150" s="7">
        <v>0</v>
      </c>
      <c r="D150" s="7">
        <v>0</v>
      </c>
      <c r="E150" s="7">
        <v>0</v>
      </c>
      <c r="F150" s="7">
        <v>0</v>
      </c>
      <c r="G150" s="7">
        <v>0</v>
      </c>
      <c r="H150" s="7">
        <v>0</v>
      </c>
      <c r="I150" s="7">
        <v>0</v>
      </c>
      <c r="J150" s="7">
        <v>0</v>
      </c>
      <c r="K150" s="7">
        <v>0</v>
      </c>
      <c r="L150" s="7">
        <v>0</v>
      </c>
      <c r="M150" s="7">
        <v>0</v>
      </c>
      <c r="N150" s="7">
        <v>0</v>
      </c>
      <c r="O150" s="22">
        <v>0</v>
      </c>
    </row>
    <row r="151" spans="1:15" x14ac:dyDescent="0.2">
      <c r="B151" s="2" t="s">
        <v>360</v>
      </c>
      <c r="C151" s="7">
        <v>0</v>
      </c>
      <c r="D151" s="7">
        <v>0.24</v>
      </c>
      <c r="E151" s="7">
        <v>0.09</v>
      </c>
      <c r="F151" s="7">
        <v>0.11</v>
      </c>
      <c r="G151" s="7">
        <v>0</v>
      </c>
      <c r="H151" s="7">
        <v>0</v>
      </c>
      <c r="I151" s="7">
        <v>0</v>
      </c>
      <c r="J151" s="7">
        <v>0</v>
      </c>
      <c r="K151" s="7">
        <v>0</v>
      </c>
      <c r="L151" s="7">
        <v>7.0000000000000007E-2</v>
      </c>
      <c r="M151" s="7">
        <v>0</v>
      </c>
      <c r="N151" s="7">
        <v>0</v>
      </c>
      <c r="O151" s="22">
        <v>0.51</v>
      </c>
    </row>
    <row r="152" spans="1:15" x14ac:dyDescent="0.2">
      <c r="B152" s="2" t="s">
        <v>424</v>
      </c>
      <c r="C152" s="7">
        <v>0</v>
      </c>
      <c r="D152" s="7">
        <v>0</v>
      </c>
      <c r="E152" s="7">
        <v>0</v>
      </c>
      <c r="F152" s="7">
        <v>0</v>
      </c>
      <c r="G152" s="7">
        <v>0</v>
      </c>
      <c r="H152" s="7">
        <v>0</v>
      </c>
      <c r="I152" s="7">
        <v>0.01</v>
      </c>
      <c r="J152" s="7">
        <v>0.08</v>
      </c>
      <c r="K152" s="7">
        <v>0.23</v>
      </c>
      <c r="L152" s="7">
        <v>0.06</v>
      </c>
      <c r="M152" s="7">
        <v>0.03</v>
      </c>
      <c r="N152" s="7">
        <v>0</v>
      </c>
      <c r="O152" s="22">
        <v>0.41000000000000003</v>
      </c>
    </row>
    <row r="153" spans="1:15" x14ac:dyDescent="0.2">
      <c r="B153" s="2" t="s">
        <v>425</v>
      </c>
      <c r="C153" s="7">
        <v>0</v>
      </c>
      <c r="D153" s="7">
        <v>0</v>
      </c>
      <c r="E153" s="7">
        <v>0</v>
      </c>
      <c r="F153" s="7">
        <v>0</v>
      </c>
      <c r="G153" s="7">
        <v>0</v>
      </c>
      <c r="H153" s="7">
        <v>0</v>
      </c>
      <c r="I153" s="7">
        <v>0.01</v>
      </c>
      <c r="J153" s="7">
        <v>0</v>
      </c>
      <c r="K153" s="7">
        <v>0</v>
      </c>
      <c r="L153" s="7">
        <v>0</v>
      </c>
      <c r="M153" s="7">
        <v>0</v>
      </c>
      <c r="N153" s="7">
        <v>0</v>
      </c>
      <c r="O153" s="22">
        <v>0.01</v>
      </c>
    </row>
    <row r="154" spans="1:15" x14ac:dyDescent="0.2">
      <c r="B154" s="2" t="s">
        <v>361</v>
      </c>
      <c r="C154" s="7">
        <v>0</v>
      </c>
      <c r="D154" s="7">
        <v>0</v>
      </c>
      <c r="E154" s="7">
        <v>0.03</v>
      </c>
      <c r="F154" s="7">
        <v>0</v>
      </c>
      <c r="G154" s="7">
        <v>0</v>
      </c>
      <c r="H154" s="7">
        <v>0</v>
      </c>
      <c r="I154" s="7">
        <v>0</v>
      </c>
      <c r="J154" s="7">
        <v>0</v>
      </c>
      <c r="K154" s="7">
        <v>0</v>
      </c>
      <c r="L154" s="7">
        <v>0</v>
      </c>
      <c r="M154" s="7">
        <v>0</v>
      </c>
      <c r="N154" s="7">
        <v>0</v>
      </c>
      <c r="O154" s="22">
        <v>0.03</v>
      </c>
    </row>
    <row r="155" spans="1:15" x14ac:dyDescent="0.2">
      <c r="B155" s="2" t="s">
        <v>362</v>
      </c>
      <c r="C155" s="7">
        <v>0</v>
      </c>
      <c r="D155" s="7">
        <v>0</v>
      </c>
      <c r="E155" s="7">
        <v>0</v>
      </c>
      <c r="F155" s="7">
        <v>0</v>
      </c>
      <c r="G155" s="7">
        <v>0.01</v>
      </c>
      <c r="H155" s="7">
        <v>0</v>
      </c>
      <c r="I155" s="7">
        <v>0.01</v>
      </c>
      <c r="J155" s="7">
        <v>0</v>
      </c>
      <c r="K155" s="7">
        <v>0</v>
      </c>
      <c r="L155" s="7">
        <v>0.02</v>
      </c>
      <c r="M155" s="7">
        <v>0.01</v>
      </c>
      <c r="N155" s="7">
        <v>0.01</v>
      </c>
      <c r="O155" s="22">
        <v>6.0000000000000005E-2</v>
      </c>
    </row>
    <row r="156" spans="1:15" x14ac:dyDescent="0.2">
      <c r="C156" s="7"/>
      <c r="D156" s="7"/>
      <c r="E156" s="7"/>
      <c r="F156" s="7"/>
      <c r="G156" s="7"/>
      <c r="H156" s="7"/>
      <c r="I156" s="7"/>
      <c r="J156" s="7"/>
      <c r="K156" s="7"/>
      <c r="L156" s="7"/>
      <c r="M156" s="7"/>
      <c r="N156" s="7"/>
      <c r="O156" s="22"/>
    </row>
    <row r="157" spans="1:15" s="4" customFormat="1" ht="15" x14ac:dyDescent="0.25">
      <c r="A157" s="3" t="s">
        <v>174</v>
      </c>
      <c r="C157" s="5">
        <v>446.28999999999996</v>
      </c>
      <c r="D157" s="5">
        <v>474.66999999999996</v>
      </c>
      <c r="E157" s="5">
        <v>535.38</v>
      </c>
      <c r="F157" s="5">
        <v>604.41000000000008</v>
      </c>
      <c r="G157" s="5">
        <v>614.6</v>
      </c>
      <c r="H157" s="5">
        <v>457.00999999999993</v>
      </c>
      <c r="I157" s="5">
        <v>680.66</v>
      </c>
      <c r="J157" s="5">
        <v>486.82999999999993</v>
      </c>
      <c r="K157" s="5">
        <v>554.2600000000001</v>
      </c>
      <c r="L157" s="5">
        <v>659.52</v>
      </c>
      <c r="M157" s="5">
        <v>472.59999999999997</v>
      </c>
      <c r="N157" s="5">
        <v>342.61000000000007</v>
      </c>
      <c r="O157" s="21">
        <v>6328.8399999999992</v>
      </c>
    </row>
    <row r="158" spans="1:15" x14ac:dyDescent="0.2">
      <c r="B158" s="2" t="s">
        <v>373</v>
      </c>
      <c r="C158" s="7">
        <v>50.51</v>
      </c>
      <c r="D158" s="7">
        <v>60</v>
      </c>
      <c r="E158" s="7">
        <v>77.739999999999995</v>
      </c>
      <c r="F158" s="7">
        <v>94.76</v>
      </c>
      <c r="G158" s="7">
        <v>95.11</v>
      </c>
      <c r="H158" s="7">
        <v>66.94</v>
      </c>
      <c r="I158" s="7">
        <v>93.91</v>
      </c>
      <c r="J158" s="7">
        <v>84.84</v>
      </c>
      <c r="K158" s="7">
        <v>93.06</v>
      </c>
      <c r="L158" s="7">
        <v>93.27</v>
      </c>
      <c r="M158" s="7">
        <v>64.63</v>
      </c>
      <c r="N158" s="7">
        <v>53.16</v>
      </c>
      <c r="O158" s="22">
        <v>927.93000000000006</v>
      </c>
    </row>
    <row r="159" spans="1:15" x14ac:dyDescent="0.2">
      <c r="B159" s="2" t="s">
        <v>374</v>
      </c>
      <c r="C159" s="7">
        <v>5.53</v>
      </c>
      <c r="D159" s="7">
        <v>3.74</v>
      </c>
      <c r="E159" s="7">
        <v>3.88</v>
      </c>
      <c r="F159" s="7">
        <v>4.7699999999999996</v>
      </c>
      <c r="G159" s="7">
        <v>8.68</v>
      </c>
      <c r="H159" s="7">
        <v>2.98</v>
      </c>
      <c r="I159" s="7">
        <v>4.63</v>
      </c>
      <c r="J159" s="7">
        <v>2.68</v>
      </c>
      <c r="K159" s="7">
        <v>4.0999999999999996</v>
      </c>
      <c r="L159" s="7">
        <v>4.2699999999999996</v>
      </c>
      <c r="M159" s="7">
        <v>3.66</v>
      </c>
      <c r="N159" s="7">
        <v>4.21</v>
      </c>
      <c r="O159" s="22">
        <v>53.13</v>
      </c>
    </row>
    <row r="160" spans="1:15" x14ac:dyDescent="0.2">
      <c r="B160" s="2" t="s">
        <v>375</v>
      </c>
      <c r="C160" s="7">
        <v>40.15</v>
      </c>
      <c r="D160" s="7">
        <v>38</v>
      </c>
      <c r="E160" s="7">
        <v>35.369999999999997</v>
      </c>
      <c r="F160" s="7">
        <v>40.5</v>
      </c>
      <c r="G160" s="7">
        <v>39.57</v>
      </c>
      <c r="H160" s="7">
        <v>29.33</v>
      </c>
      <c r="I160" s="7">
        <v>43.66</v>
      </c>
      <c r="J160" s="7">
        <v>30.25</v>
      </c>
      <c r="K160" s="7">
        <v>47.45</v>
      </c>
      <c r="L160" s="7">
        <v>68.59</v>
      </c>
      <c r="M160" s="7">
        <v>23.9</v>
      </c>
      <c r="N160" s="7">
        <v>14.92</v>
      </c>
      <c r="O160" s="22">
        <v>451.69</v>
      </c>
    </row>
    <row r="161" spans="1:15" x14ac:dyDescent="0.2">
      <c r="B161" s="2" t="s">
        <v>376</v>
      </c>
      <c r="C161" s="7">
        <v>302.39999999999998</v>
      </c>
      <c r="D161" s="7">
        <v>328.51</v>
      </c>
      <c r="E161" s="7">
        <v>375.52</v>
      </c>
      <c r="F161" s="7">
        <v>420.66</v>
      </c>
      <c r="G161" s="7">
        <v>419.22</v>
      </c>
      <c r="H161" s="7">
        <v>323.33999999999997</v>
      </c>
      <c r="I161" s="7">
        <v>487.67</v>
      </c>
      <c r="J161" s="7">
        <v>336.03</v>
      </c>
      <c r="K161" s="7">
        <v>371.98</v>
      </c>
      <c r="L161" s="7">
        <v>448.36</v>
      </c>
      <c r="M161" s="7">
        <v>335.81</v>
      </c>
      <c r="N161" s="7">
        <v>236.45</v>
      </c>
      <c r="O161" s="22">
        <v>4385.9500000000007</v>
      </c>
    </row>
    <row r="162" spans="1:15" x14ac:dyDescent="0.2">
      <c r="B162" s="2" t="s">
        <v>378</v>
      </c>
      <c r="C162" s="7">
        <v>47.7</v>
      </c>
      <c r="D162" s="7">
        <v>44.33</v>
      </c>
      <c r="E162" s="7">
        <v>42.82</v>
      </c>
      <c r="F162" s="7">
        <v>43.69</v>
      </c>
      <c r="G162" s="7">
        <v>51.94</v>
      </c>
      <c r="H162" s="7">
        <v>34.380000000000003</v>
      </c>
      <c r="I162" s="7">
        <v>50.75</v>
      </c>
      <c r="J162" s="7">
        <v>32.950000000000003</v>
      </c>
      <c r="K162" s="7">
        <v>37.58</v>
      </c>
      <c r="L162" s="7">
        <v>44.92</v>
      </c>
      <c r="M162" s="7">
        <v>44.53</v>
      </c>
      <c r="N162" s="7">
        <v>33.79</v>
      </c>
      <c r="O162" s="22">
        <v>509.38000000000005</v>
      </c>
    </row>
    <row r="163" spans="1:15" x14ac:dyDescent="0.2">
      <c r="B163" s="2" t="s">
        <v>377</v>
      </c>
      <c r="C163" s="7">
        <v>0</v>
      </c>
      <c r="D163" s="7">
        <v>0.01</v>
      </c>
      <c r="E163" s="7">
        <v>0.01</v>
      </c>
      <c r="F163" s="7">
        <v>0.01</v>
      </c>
      <c r="G163" s="7">
        <v>0.01</v>
      </c>
      <c r="H163" s="7">
        <v>0.02</v>
      </c>
      <c r="I163" s="7">
        <v>0.03</v>
      </c>
      <c r="J163" s="7">
        <v>0.08</v>
      </c>
      <c r="K163" s="7">
        <v>7.0000000000000007E-2</v>
      </c>
      <c r="L163" s="7">
        <v>0.09</v>
      </c>
      <c r="M163" s="7">
        <v>0.06</v>
      </c>
      <c r="N163" s="7">
        <v>0.04</v>
      </c>
      <c r="O163" s="22">
        <v>0.42999999999999994</v>
      </c>
    </row>
    <row r="164" spans="1:15" x14ac:dyDescent="0.2">
      <c r="B164" s="2" t="s">
        <v>379</v>
      </c>
      <c r="C164" s="7">
        <v>0</v>
      </c>
      <c r="D164" s="7">
        <v>0.08</v>
      </c>
      <c r="E164" s="7">
        <v>0.04</v>
      </c>
      <c r="F164" s="7">
        <v>0.02</v>
      </c>
      <c r="G164" s="7">
        <v>7.0000000000000007E-2</v>
      </c>
      <c r="H164" s="7">
        <v>0.02</v>
      </c>
      <c r="I164" s="7">
        <v>0.01</v>
      </c>
      <c r="J164" s="7">
        <v>0</v>
      </c>
      <c r="K164" s="7">
        <v>0.02</v>
      </c>
      <c r="L164" s="7">
        <v>0.02</v>
      </c>
      <c r="M164" s="7">
        <v>0.01</v>
      </c>
      <c r="N164" s="7">
        <v>0.04</v>
      </c>
      <c r="O164" s="22">
        <v>0.33</v>
      </c>
    </row>
    <row r="165" spans="1:15" x14ac:dyDescent="0.2">
      <c r="C165" s="7"/>
      <c r="D165" s="7"/>
      <c r="E165" s="7"/>
      <c r="F165" s="7"/>
      <c r="G165" s="7"/>
      <c r="H165" s="7"/>
      <c r="I165" s="7"/>
      <c r="J165" s="7"/>
      <c r="K165" s="7"/>
      <c r="L165" s="7"/>
      <c r="M165" s="7"/>
      <c r="N165" s="7"/>
      <c r="O165" s="22"/>
    </row>
    <row r="166" spans="1:15" s="4" customFormat="1" ht="15" x14ac:dyDescent="0.25">
      <c r="A166" s="3" t="s">
        <v>128</v>
      </c>
      <c r="C166" s="5">
        <v>113.73</v>
      </c>
      <c r="D166" s="5">
        <v>68.490000000000009</v>
      </c>
      <c r="E166" s="5">
        <v>67.150000000000006</v>
      </c>
      <c r="F166" s="5">
        <v>97.16</v>
      </c>
      <c r="G166" s="5">
        <v>34.700000000000003</v>
      </c>
      <c r="H166" s="5">
        <v>30.21</v>
      </c>
      <c r="I166" s="5">
        <v>64.97</v>
      </c>
      <c r="J166" s="5">
        <v>63.89</v>
      </c>
      <c r="K166" s="5">
        <v>44.28</v>
      </c>
      <c r="L166" s="5">
        <v>49.55</v>
      </c>
      <c r="M166" s="5">
        <v>38.81</v>
      </c>
      <c r="N166" s="5">
        <v>29.92</v>
      </c>
      <c r="O166" s="21">
        <v>702.85999999999979</v>
      </c>
    </row>
    <row r="167" spans="1:15" x14ac:dyDescent="0.2">
      <c r="B167" s="2" t="s">
        <v>336</v>
      </c>
      <c r="C167" s="7">
        <v>107.89</v>
      </c>
      <c r="D167" s="7">
        <v>58.99</v>
      </c>
      <c r="E167" s="7">
        <v>62.87</v>
      </c>
      <c r="F167" s="7">
        <v>91.35</v>
      </c>
      <c r="G167" s="7">
        <v>30.03</v>
      </c>
      <c r="H167" s="7">
        <v>24.76</v>
      </c>
      <c r="I167" s="7">
        <v>57.95</v>
      </c>
      <c r="J167" s="7">
        <v>54.55</v>
      </c>
      <c r="K167" s="7">
        <v>37.979999999999997</v>
      </c>
      <c r="L167" s="7">
        <v>31.7</v>
      </c>
      <c r="M167" s="7">
        <v>24.86</v>
      </c>
      <c r="N167" s="7">
        <v>27.02</v>
      </c>
      <c r="O167" s="22">
        <v>609.95000000000005</v>
      </c>
    </row>
    <row r="168" spans="1:15" x14ac:dyDescent="0.2">
      <c r="B168" s="2" t="s">
        <v>338</v>
      </c>
      <c r="C168" s="7">
        <v>5.84</v>
      </c>
      <c r="D168" s="7">
        <v>9.49</v>
      </c>
      <c r="E168" s="7">
        <v>4.2699999999999996</v>
      </c>
      <c r="F168" s="7">
        <v>5.8</v>
      </c>
      <c r="G168" s="7">
        <v>4.6500000000000004</v>
      </c>
      <c r="H168" s="7">
        <v>5.34</v>
      </c>
      <c r="I168" s="7">
        <v>6.85</v>
      </c>
      <c r="J168" s="7">
        <v>9.25</v>
      </c>
      <c r="K168" s="7">
        <v>6.28</v>
      </c>
      <c r="L168" s="7">
        <v>17.829999999999998</v>
      </c>
      <c r="M168" s="7">
        <v>13.95</v>
      </c>
      <c r="N168" s="7">
        <v>2.83</v>
      </c>
      <c r="O168" s="22">
        <v>92.38</v>
      </c>
    </row>
    <row r="169" spans="1:15" x14ac:dyDescent="0.2">
      <c r="B169" s="2" t="s">
        <v>426</v>
      </c>
      <c r="C169" s="7">
        <v>0</v>
      </c>
      <c r="D169" s="7">
        <v>0</v>
      </c>
      <c r="E169" s="7">
        <v>0</v>
      </c>
      <c r="F169" s="7">
        <v>0.01</v>
      </c>
      <c r="G169" s="7">
        <v>0.02</v>
      </c>
      <c r="H169" s="7">
        <v>0.11</v>
      </c>
      <c r="I169" s="7">
        <v>0.15</v>
      </c>
      <c r="J169" s="7">
        <v>7.0000000000000007E-2</v>
      </c>
      <c r="K169" s="7">
        <v>0.02</v>
      </c>
      <c r="L169" s="7">
        <v>0.01</v>
      </c>
      <c r="M169" s="7">
        <v>0</v>
      </c>
      <c r="N169" s="7">
        <v>0.04</v>
      </c>
      <c r="O169" s="22">
        <v>0.43000000000000005</v>
      </c>
    </row>
    <row r="170" spans="1:15" x14ac:dyDescent="0.2">
      <c r="B170" s="2" t="s">
        <v>340</v>
      </c>
      <c r="C170" s="7">
        <v>0</v>
      </c>
      <c r="D170" s="7">
        <v>0</v>
      </c>
      <c r="E170" s="7">
        <v>0</v>
      </c>
      <c r="F170" s="7">
        <v>0</v>
      </c>
      <c r="G170" s="7">
        <v>0</v>
      </c>
      <c r="H170" s="7">
        <v>0</v>
      </c>
      <c r="I170" s="7">
        <v>0</v>
      </c>
      <c r="J170" s="7">
        <v>0</v>
      </c>
      <c r="K170" s="7">
        <v>0</v>
      </c>
      <c r="L170" s="7">
        <v>0</v>
      </c>
      <c r="M170" s="7">
        <v>0</v>
      </c>
      <c r="N170" s="7">
        <v>0</v>
      </c>
      <c r="O170" s="22">
        <v>0</v>
      </c>
    </row>
    <row r="171" spans="1:15" x14ac:dyDescent="0.2">
      <c r="B171" s="2" t="s">
        <v>427</v>
      </c>
      <c r="C171" s="7">
        <v>0</v>
      </c>
      <c r="D171" s="7">
        <v>0.01</v>
      </c>
      <c r="E171" s="7">
        <v>0.01</v>
      </c>
      <c r="F171" s="7">
        <v>0</v>
      </c>
      <c r="G171" s="7">
        <v>0</v>
      </c>
      <c r="H171" s="7">
        <v>0</v>
      </c>
      <c r="I171" s="7">
        <v>0.02</v>
      </c>
      <c r="J171" s="7">
        <v>0.02</v>
      </c>
      <c r="K171" s="7">
        <v>0</v>
      </c>
      <c r="L171" s="7">
        <v>0.01</v>
      </c>
      <c r="M171" s="7">
        <v>0</v>
      </c>
      <c r="N171" s="7">
        <v>0.01</v>
      </c>
      <c r="O171" s="22">
        <v>7.9999999999999988E-2</v>
      </c>
    </row>
    <row r="172" spans="1:15" x14ac:dyDescent="0.2">
      <c r="B172" s="2" t="s">
        <v>428</v>
      </c>
      <c r="C172" s="7">
        <v>0</v>
      </c>
      <c r="D172" s="7">
        <v>0</v>
      </c>
      <c r="E172" s="7">
        <v>0</v>
      </c>
      <c r="F172" s="7">
        <v>0</v>
      </c>
      <c r="G172" s="7">
        <v>0</v>
      </c>
      <c r="H172" s="7">
        <v>0</v>
      </c>
      <c r="I172" s="7">
        <v>0</v>
      </c>
      <c r="J172" s="7">
        <v>0</v>
      </c>
      <c r="K172" s="7">
        <v>0</v>
      </c>
      <c r="L172" s="7">
        <v>0</v>
      </c>
      <c r="M172" s="7">
        <v>0</v>
      </c>
      <c r="N172" s="7">
        <v>0.02</v>
      </c>
      <c r="O172" s="22">
        <v>0.02</v>
      </c>
    </row>
    <row r="173" spans="1:15" x14ac:dyDescent="0.2">
      <c r="B173" s="2" t="s">
        <v>341</v>
      </c>
      <c r="C173" s="7">
        <v>0</v>
      </c>
      <c r="D173" s="7">
        <v>0</v>
      </c>
      <c r="E173" s="7">
        <v>0</v>
      </c>
      <c r="F173" s="7">
        <v>0</v>
      </c>
      <c r="G173" s="7">
        <v>0</v>
      </c>
      <c r="H173" s="7">
        <v>0</v>
      </c>
      <c r="I173" s="7">
        <v>0</v>
      </c>
      <c r="J173" s="7">
        <v>0</v>
      </c>
      <c r="K173" s="7">
        <v>0</v>
      </c>
      <c r="L173" s="7">
        <v>0</v>
      </c>
      <c r="M173" s="7">
        <v>0</v>
      </c>
      <c r="N173" s="7">
        <v>0</v>
      </c>
      <c r="O173" s="22">
        <v>0</v>
      </c>
    </row>
    <row r="174" spans="1:15" x14ac:dyDescent="0.2">
      <c r="B174" s="2" t="s">
        <v>343</v>
      </c>
      <c r="C174" s="7">
        <v>0</v>
      </c>
      <c r="D174" s="7">
        <v>0</v>
      </c>
      <c r="E174" s="7">
        <v>0</v>
      </c>
      <c r="F174" s="7">
        <v>0</v>
      </c>
      <c r="G174" s="7">
        <v>0</v>
      </c>
      <c r="H174" s="7">
        <v>0</v>
      </c>
      <c r="I174" s="7">
        <v>0</v>
      </c>
      <c r="J174" s="7">
        <v>0</v>
      </c>
      <c r="K174" s="7">
        <v>0</v>
      </c>
      <c r="L174" s="7">
        <v>0</v>
      </c>
      <c r="M174" s="7">
        <v>0</v>
      </c>
      <c r="N174" s="7">
        <v>0</v>
      </c>
      <c r="O174" s="22">
        <v>0</v>
      </c>
    </row>
    <row r="175" spans="1:15" x14ac:dyDescent="0.2">
      <c r="C175" s="7"/>
      <c r="D175" s="7"/>
      <c r="E175" s="7"/>
      <c r="F175" s="7"/>
      <c r="G175" s="7"/>
      <c r="H175" s="7"/>
      <c r="I175" s="7"/>
      <c r="J175" s="7"/>
      <c r="K175" s="7"/>
      <c r="L175" s="7"/>
      <c r="M175" s="7"/>
      <c r="N175" s="7"/>
      <c r="O175" s="22"/>
    </row>
    <row r="176" spans="1:15" s="4" customFormat="1" ht="15" x14ac:dyDescent="0.25">
      <c r="A176" s="3" t="s">
        <v>46</v>
      </c>
      <c r="C176" s="5">
        <v>29.4</v>
      </c>
      <c r="D176" s="5">
        <v>15.69</v>
      </c>
      <c r="E176" s="5">
        <v>12.879999999999999</v>
      </c>
      <c r="F176" s="5">
        <v>15.950000000000001</v>
      </c>
      <c r="G176" s="5">
        <v>0.83000000000000007</v>
      </c>
      <c r="H176" s="5">
        <v>13.48</v>
      </c>
      <c r="I176" s="5">
        <v>48.94</v>
      </c>
      <c r="J176" s="5">
        <v>17.89</v>
      </c>
      <c r="K176" s="5">
        <v>9.82</v>
      </c>
      <c r="L176" s="5">
        <v>14.57</v>
      </c>
      <c r="M176" s="5">
        <v>15.459999999999999</v>
      </c>
      <c r="N176" s="5">
        <v>18.28</v>
      </c>
      <c r="O176" s="21">
        <v>213.19</v>
      </c>
    </row>
    <row r="177" spans="1:15" x14ac:dyDescent="0.2">
      <c r="B177" s="2" t="s">
        <v>260</v>
      </c>
      <c r="C177" s="7">
        <v>0</v>
      </c>
      <c r="D177" s="7">
        <v>0</v>
      </c>
      <c r="E177" s="7">
        <v>0</v>
      </c>
      <c r="F177" s="7">
        <v>0</v>
      </c>
      <c r="G177" s="7">
        <v>0.06</v>
      </c>
      <c r="H177" s="7">
        <v>0.04</v>
      </c>
      <c r="I177" s="7">
        <v>19.649999999999999</v>
      </c>
      <c r="J177" s="7">
        <v>17</v>
      </c>
      <c r="K177" s="7">
        <v>0.01</v>
      </c>
      <c r="L177" s="7">
        <v>0.01</v>
      </c>
      <c r="M177" s="7">
        <v>0.56999999999999995</v>
      </c>
      <c r="N177" s="7">
        <v>7.0000000000000007E-2</v>
      </c>
      <c r="O177" s="22">
        <v>37.409999999999997</v>
      </c>
    </row>
    <row r="178" spans="1:15" x14ac:dyDescent="0.2">
      <c r="B178" s="2" t="s">
        <v>261</v>
      </c>
      <c r="C178" s="7">
        <v>0.56000000000000005</v>
      </c>
      <c r="D178" s="7">
        <v>0.51</v>
      </c>
      <c r="E178" s="7">
        <v>0.26</v>
      </c>
      <c r="F178" s="7">
        <v>0.14000000000000001</v>
      </c>
      <c r="G178" s="7">
        <v>0.09</v>
      </c>
      <c r="H178" s="7">
        <v>0.22</v>
      </c>
      <c r="I178" s="7">
        <v>0.84</v>
      </c>
      <c r="J178" s="7">
        <v>0.45</v>
      </c>
      <c r="K178" s="7">
        <v>0.04</v>
      </c>
      <c r="L178" s="7">
        <v>0.23</v>
      </c>
      <c r="M178" s="7">
        <v>1.06</v>
      </c>
      <c r="N178" s="7">
        <v>0.33</v>
      </c>
      <c r="O178" s="22">
        <v>4.7300000000000004</v>
      </c>
    </row>
    <row r="179" spans="1:15" x14ac:dyDescent="0.2">
      <c r="B179" s="2" t="s">
        <v>262</v>
      </c>
      <c r="C179" s="7">
        <v>0</v>
      </c>
      <c r="D179" s="7">
        <v>0</v>
      </c>
      <c r="E179" s="7">
        <v>0</v>
      </c>
      <c r="F179" s="7">
        <v>0</v>
      </c>
      <c r="G179" s="7">
        <v>0</v>
      </c>
      <c r="H179" s="7">
        <v>0</v>
      </c>
      <c r="I179" s="7">
        <v>0</v>
      </c>
      <c r="J179" s="7">
        <v>0</v>
      </c>
      <c r="K179" s="7">
        <v>0.01</v>
      </c>
      <c r="L179" s="7">
        <v>0</v>
      </c>
      <c r="M179" s="7">
        <v>0.01</v>
      </c>
      <c r="N179" s="7">
        <v>0</v>
      </c>
      <c r="O179" s="22">
        <v>0.02</v>
      </c>
    </row>
    <row r="180" spans="1:15" x14ac:dyDescent="0.2">
      <c r="B180" s="2" t="s">
        <v>263</v>
      </c>
      <c r="C180" s="7">
        <v>28.68</v>
      </c>
      <c r="D180" s="7">
        <v>15.18</v>
      </c>
      <c r="E180" s="7">
        <v>12.62</v>
      </c>
      <c r="F180" s="7">
        <v>15.81</v>
      </c>
      <c r="G180" s="7">
        <v>0.47</v>
      </c>
      <c r="H180" s="7">
        <v>13.21</v>
      </c>
      <c r="I180" s="7">
        <v>28.38</v>
      </c>
      <c r="J180" s="7">
        <v>0.42</v>
      </c>
      <c r="K180" s="7">
        <v>9.73</v>
      </c>
      <c r="L180" s="7">
        <v>14.13</v>
      </c>
      <c r="M180" s="7">
        <v>13.75</v>
      </c>
      <c r="N180" s="7">
        <v>17.87</v>
      </c>
      <c r="O180" s="22">
        <v>170.25</v>
      </c>
    </row>
    <row r="181" spans="1:15" x14ac:dyDescent="0.2">
      <c r="B181" s="2" t="s">
        <v>266</v>
      </c>
      <c r="C181" s="7">
        <v>0</v>
      </c>
      <c r="D181" s="7">
        <v>0</v>
      </c>
      <c r="E181" s="7">
        <v>0</v>
      </c>
      <c r="F181" s="7">
        <v>0</v>
      </c>
      <c r="G181" s="7">
        <v>0.2</v>
      </c>
      <c r="H181" s="7">
        <v>0</v>
      </c>
      <c r="I181" s="7">
        <v>0</v>
      </c>
      <c r="J181" s="7">
        <v>0</v>
      </c>
      <c r="K181" s="7">
        <v>0</v>
      </c>
      <c r="L181" s="7">
        <v>0</v>
      </c>
      <c r="M181" s="7">
        <v>0.04</v>
      </c>
      <c r="N181" s="7">
        <v>0</v>
      </c>
      <c r="O181" s="22">
        <v>0.24000000000000002</v>
      </c>
    </row>
    <row r="182" spans="1:15" x14ac:dyDescent="0.2">
      <c r="B182" s="2" t="s">
        <v>265</v>
      </c>
      <c r="C182" s="7">
        <v>0.16</v>
      </c>
      <c r="D182" s="7">
        <v>0</v>
      </c>
      <c r="E182" s="7">
        <v>0</v>
      </c>
      <c r="F182" s="7">
        <v>0</v>
      </c>
      <c r="G182" s="7">
        <v>0.01</v>
      </c>
      <c r="H182" s="7">
        <v>0.01</v>
      </c>
      <c r="I182" s="7">
        <v>7.0000000000000007E-2</v>
      </c>
      <c r="J182" s="7">
        <v>0.02</v>
      </c>
      <c r="K182" s="7">
        <v>0.03</v>
      </c>
      <c r="L182" s="7">
        <v>0.2</v>
      </c>
      <c r="M182" s="7">
        <v>0.03</v>
      </c>
      <c r="N182" s="7">
        <v>0.01</v>
      </c>
      <c r="O182" s="22">
        <v>0.54</v>
      </c>
    </row>
    <row r="183" spans="1:15" x14ac:dyDescent="0.2">
      <c r="C183" s="7"/>
      <c r="D183" s="7"/>
      <c r="E183" s="7"/>
      <c r="F183" s="7"/>
      <c r="G183" s="7"/>
      <c r="H183" s="7"/>
      <c r="I183" s="7"/>
      <c r="J183" s="7"/>
      <c r="K183" s="7"/>
      <c r="L183" s="7"/>
      <c r="M183" s="7"/>
      <c r="N183" s="7"/>
      <c r="O183" s="22"/>
    </row>
    <row r="184" spans="1:15" s="4" customFormat="1" ht="15" x14ac:dyDescent="0.25">
      <c r="A184" s="3" t="s">
        <v>75</v>
      </c>
      <c r="C184" s="5">
        <v>0</v>
      </c>
      <c r="D184" s="5">
        <v>0</v>
      </c>
      <c r="E184" s="5">
        <v>0</v>
      </c>
      <c r="F184" s="5">
        <v>0</v>
      </c>
      <c r="G184" s="5">
        <v>0.01</v>
      </c>
      <c r="H184" s="5">
        <v>0.23</v>
      </c>
      <c r="I184" s="5">
        <v>0</v>
      </c>
      <c r="J184" s="5">
        <v>0.45</v>
      </c>
      <c r="K184" s="5">
        <v>0</v>
      </c>
      <c r="L184" s="5">
        <v>0.01</v>
      </c>
      <c r="M184" s="5">
        <v>0</v>
      </c>
      <c r="N184" s="5">
        <v>0</v>
      </c>
      <c r="O184" s="21">
        <v>0.70000000000000007</v>
      </c>
    </row>
    <row r="185" spans="1:15" x14ac:dyDescent="0.2">
      <c r="B185" s="2" t="s">
        <v>286</v>
      </c>
      <c r="C185" s="7">
        <v>0</v>
      </c>
      <c r="D185" s="7">
        <v>0</v>
      </c>
      <c r="E185" s="7">
        <v>0</v>
      </c>
      <c r="F185" s="7">
        <v>0</v>
      </c>
      <c r="G185" s="7">
        <v>0.01</v>
      </c>
      <c r="H185" s="7">
        <v>0</v>
      </c>
      <c r="I185" s="7">
        <v>0</v>
      </c>
      <c r="J185" s="7">
        <v>0</v>
      </c>
      <c r="K185" s="7">
        <v>0</v>
      </c>
      <c r="L185" s="7">
        <v>0</v>
      </c>
      <c r="M185" s="7">
        <v>0</v>
      </c>
      <c r="N185" s="7">
        <v>0</v>
      </c>
      <c r="O185" s="22">
        <v>0.01</v>
      </c>
    </row>
    <row r="186" spans="1:15" x14ac:dyDescent="0.2">
      <c r="B186" s="2" t="s">
        <v>429</v>
      </c>
      <c r="C186" s="7">
        <v>0</v>
      </c>
      <c r="D186" s="7">
        <v>0</v>
      </c>
      <c r="E186" s="7">
        <v>0</v>
      </c>
      <c r="F186" s="7">
        <v>0</v>
      </c>
      <c r="G186" s="7">
        <v>0</v>
      </c>
      <c r="H186" s="7">
        <v>0.23</v>
      </c>
      <c r="I186" s="7">
        <v>0</v>
      </c>
      <c r="J186" s="7">
        <v>0.45</v>
      </c>
      <c r="K186" s="7">
        <v>0</v>
      </c>
      <c r="L186" s="7">
        <v>0.01</v>
      </c>
      <c r="M186" s="7">
        <v>0</v>
      </c>
      <c r="N186" s="7">
        <v>0</v>
      </c>
      <c r="O186" s="22">
        <v>0.69000000000000006</v>
      </c>
    </row>
    <row r="187" spans="1:15" x14ac:dyDescent="0.2">
      <c r="C187" s="7"/>
      <c r="D187" s="7"/>
      <c r="E187" s="7"/>
      <c r="F187" s="7"/>
      <c r="G187" s="7"/>
      <c r="H187" s="7"/>
      <c r="I187" s="7"/>
      <c r="J187" s="7"/>
      <c r="K187" s="7"/>
      <c r="L187" s="7"/>
      <c r="M187" s="7"/>
      <c r="N187" s="7"/>
      <c r="O187" s="22"/>
    </row>
    <row r="188" spans="1:15" s="4" customFormat="1" ht="15" x14ac:dyDescent="0.25">
      <c r="A188" s="3" t="s">
        <v>430</v>
      </c>
      <c r="C188" s="5">
        <v>0</v>
      </c>
      <c r="D188" s="5">
        <v>0</v>
      </c>
      <c r="E188" s="5">
        <v>0</v>
      </c>
      <c r="F188" s="5">
        <v>0</v>
      </c>
      <c r="G188" s="5">
        <v>0</v>
      </c>
      <c r="H188" s="5">
        <v>0</v>
      </c>
      <c r="I188" s="5">
        <v>0</v>
      </c>
      <c r="J188" s="5">
        <v>0</v>
      </c>
      <c r="K188" s="5">
        <v>0</v>
      </c>
      <c r="L188" s="5">
        <v>0</v>
      </c>
      <c r="M188" s="5">
        <v>0</v>
      </c>
      <c r="N188" s="5">
        <v>0</v>
      </c>
      <c r="O188" s="21">
        <v>0</v>
      </c>
    </row>
    <row r="189" spans="1:15" x14ac:dyDescent="0.2">
      <c r="B189" s="2" t="s">
        <v>431</v>
      </c>
      <c r="C189" s="7">
        <v>0</v>
      </c>
      <c r="D189" s="7">
        <v>0</v>
      </c>
      <c r="E189" s="7">
        <v>0</v>
      </c>
      <c r="F189" s="7">
        <v>0</v>
      </c>
      <c r="G189" s="7">
        <v>0</v>
      </c>
      <c r="H189" s="7">
        <v>0</v>
      </c>
      <c r="I189" s="7">
        <v>0</v>
      </c>
      <c r="J189" s="7">
        <v>0</v>
      </c>
      <c r="K189" s="7">
        <v>0</v>
      </c>
      <c r="L189" s="7">
        <v>0</v>
      </c>
      <c r="M189" s="7">
        <v>0</v>
      </c>
      <c r="N189" s="7">
        <v>0</v>
      </c>
      <c r="O189" s="22">
        <v>0</v>
      </c>
    </row>
    <row r="190" spans="1:15" x14ac:dyDescent="0.2">
      <c r="C190" s="7"/>
      <c r="D190" s="7"/>
      <c r="E190" s="7"/>
      <c r="F190" s="7"/>
      <c r="G190" s="7"/>
      <c r="H190" s="7"/>
      <c r="I190" s="7"/>
      <c r="J190" s="7"/>
      <c r="K190" s="7"/>
      <c r="L190" s="7"/>
      <c r="M190" s="7"/>
      <c r="N190" s="7"/>
      <c r="O190" s="22"/>
    </row>
    <row r="191" spans="1:15" s="4" customFormat="1" ht="15" x14ac:dyDescent="0.25">
      <c r="A191" s="3" t="s">
        <v>182</v>
      </c>
      <c r="C191" s="5">
        <v>66.08</v>
      </c>
      <c r="D191" s="5">
        <v>19.2</v>
      </c>
      <c r="E191" s="5">
        <v>32.409999999999997</v>
      </c>
      <c r="F191" s="5">
        <v>24.24</v>
      </c>
      <c r="G191" s="5">
        <v>15.330000000000002</v>
      </c>
      <c r="H191" s="5">
        <v>10.409999999999998</v>
      </c>
      <c r="I191" s="5">
        <v>42.859999999999992</v>
      </c>
      <c r="J191" s="5">
        <v>18.11</v>
      </c>
      <c r="K191" s="5">
        <v>20.599999999999998</v>
      </c>
      <c r="L191" s="5">
        <v>69.86</v>
      </c>
      <c r="M191" s="5">
        <v>21.879999999999995</v>
      </c>
      <c r="N191" s="5">
        <v>52.38</v>
      </c>
      <c r="O191" s="21">
        <v>393.35999999999996</v>
      </c>
    </row>
    <row r="192" spans="1:15" x14ac:dyDescent="0.2">
      <c r="B192" s="2" t="s">
        <v>380</v>
      </c>
      <c r="C192" s="7">
        <v>1.32</v>
      </c>
      <c r="D192" s="7">
        <v>1.26</v>
      </c>
      <c r="E192" s="7">
        <v>1.26</v>
      </c>
      <c r="F192" s="7">
        <v>0.56000000000000005</v>
      </c>
      <c r="G192" s="7">
        <v>1.72</v>
      </c>
      <c r="H192" s="7">
        <v>0.68</v>
      </c>
      <c r="I192" s="7">
        <v>1.67</v>
      </c>
      <c r="J192" s="7">
        <v>0.94</v>
      </c>
      <c r="K192" s="7">
        <v>2.63</v>
      </c>
      <c r="L192" s="7">
        <v>1.61</v>
      </c>
      <c r="M192" s="7">
        <v>0.47</v>
      </c>
      <c r="N192" s="7">
        <v>1.1499999999999999</v>
      </c>
      <c r="O192" s="22">
        <v>15.27</v>
      </c>
    </row>
    <row r="193" spans="2:15" x14ac:dyDescent="0.2">
      <c r="B193" s="2" t="s">
        <v>381</v>
      </c>
      <c r="C193" s="7">
        <v>5.04</v>
      </c>
      <c r="D193" s="7">
        <v>4.1100000000000003</v>
      </c>
      <c r="E193" s="7">
        <v>3.73</v>
      </c>
      <c r="F193" s="7">
        <v>2.15</v>
      </c>
      <c r="G193" s="7">
        <v>3</v>
      </c>
      <c r="H193" s="7">
        <v>1.95</v>
      </c>
      <c r="I193" s="7">
        <v>3.95</v>
      </c>
      <c r="J193" s="7">
        <v>3.98</v>
      </c>
      <c r="K193" s="7">
        <v>3.57</v>
      </c>
      <c r="L193" s="7">
        <v>3.07</v>
      </c>
      <c r="M193" s="7">
        <v>1.27</v>
      </c>
      <c r="N193" s="7">
        <v>1.03</v>
      </c>
      <c r="O193" s="22">
        <v>36.85</v>
      </c>
    </row>
    <row r="194" spans="2:15" x14ac:dyDescent="0.2">
      <c r="B194" s="2" t="s">
        <v>382</v>
      </c>
      <c r="C194" s="7">
        <v>0</v>
      </c>
      <c r="D194" s="7">
        <v>0</v>
      </c>
      <c r="E194" s="7">
        <v>0.06</v>
      </c>
      <c r="F194" s="7">
        <v>0.01</v>
      </c>
      <c r="G194" s="7">
        <v>0.02</v>
      </c>
      <c r="H194" s="7">
        <v>0</v>
      </c>
      <c r="I194" s="7">
        <v>0</v>
      </c>
      <c r="J194" s="7">
        <v>0</v>
      </c>
      <c r="K194" s="7">
        <v>0</v>
      </c>
      <c r="L194" s="7">
        <v>0</v>
      </c>
      <c r="M194" s="7">
        <v>0.02</v>
      </c>
      <c r="N194" s="7">
        <v>0</v>
      </c>
      <c r="O194" s="22">
        <v>0.11</v>
      </c>
    </row>
    <row r="195" spans="2:15" x14ac:dyDescent="0.2">
      <c r="B195" s="2" t="s">
        <v>383</v>
      </c>
      <c r="C195" s="7">
        <v>51.99</v>
      </c>
      <c r="D195" s="7">
        <v>7.64</v>
      </c>
      <c r="E195" s="7">
        <v>4.3600000000000003</v>
      </c>
      <c r="F195" s="7">
        <v>15.04</v>
      </c>
      <c r="G195" s="7">
        <v>0.47</v>
      </c>
      <c r="H195" s="7">
        <v>0</v>
      </c>
      <c r="I195" s="7">
        <v>1.29</v>
      </c>
      <c r="J195" s="7">
        <v>5.28</v>
      </c>
      <c r="K195" s="7">
        <v>4.67</v>
      </c>
      <c r="L195" s="7">
        <v>58.29</v>
      </c>
      <c r="M195" s="7">
        <v>13.33</v>
      </c>
      <c r="N195" s="7">
        <v>44.62</v>
      </c>
      <c r="O195" s="22">
        <v>206.98000000000002</v>
      </c>
    </row>
    <row r="196" spans="2:15" x14ac:dyDescent="0.2">
      <c r="B196" s="2" t="s">
        <v>385</v>
      </c>
      <c r="C196" s="7">
        <v>0</v>
      </c>
      <c r="D196" s="7">
        <v>0.01</v>
      </c>
      <c r="E196" s="7">
        <v>0.01</v>
      </c>
      <c r="F196" s="7">
        <v>0.01</v>
      </c>
      <c r="G196" s="7">
        <v>0.01</v>
      </c>
      <c r="H196" s="7">
        <v>0.01</v>
      </c>
      <c r="I196" s="7">
        <v>0.01</v>
      </c>
      <c r="J196" s="7">
        <v>0.01</v>
      </c>
      <c r="K196" s="7">
        <v>0.01</v>
      </c>
      <c r="L196" s="7">
        <v>0.01</v>
      </c>
      <c r="M196" s="7">
        <v>0.01</v>
      </c>
      <c r="N196" s="7">
        <v>0</v>
      </c>
      <c r="O196" s="22">
        <v>9.9999999999999992E-2</v>
      </c>
    </row>
    <row r="197" spans="2:15" x14ac:dyDescent="0.2">
      <c r="B197" s="2" t="s">
        <v>432</v>
      </c>
      <c r="C197" s="7">
        <v>0</v>
      </c>
      <c r="D197" s="7">
        <v>0</v>
      </c>
      <c r="E197" s="7">
        <v>0</v>
      </c>
      <c r="F197" s="7">
        <v>0</v>
      </c>
      <c r="G197" s="7">
        <v>0</v>
      </c>
      <c r="H197" s="7">
        <v>0</v>
      </c>
      <c r="I197" s="7">
        <v>23.07</v>
      </c>
      <c r="J197" s="7">
        <v>0</v>
      </c>
      <c r="K197" s="7">
        <v>4.3899999999999997</v>
      </c>
      <c r="L197" s="7">
        <v>0</v>
      </c>
      <c r="M197" s="7">
        <v>0</v>
      </c>
      <c r="N197" s="7">
        <v>0</v>
      </c>
      <c r="O197" s="22">
        <v>27.46</v>
      </c>
    </row>
    <row r="198" spans="2:15" x14ac:dyDescent="0.2">
      <c r="B198" s="2" t="s">
        <v>433</v>
      </c>
      <c r="C198" s="7">
        <v>0</v>
      </c>
      <c r="D198" s="7">
        <v>0</v>
      </c>
      <c r="E198" s="7">
        <v>0</v>
      </c>
      <c r="F198" s="7">
        <v>0</v>
      </c>
      <c r="G198" s="7">
        <v>0</v>
      </c>
      <c r="H198" s="7">
        <v>0</v>
      </c>
      <c r="I198" s="7">
        <v>0</v>
      </c>
      <c r="J198" s="7">
        <v>0</v>
      </c>
      <c r="K198" s="7">
        <v>0</v>
      </c>
      <c r="L198" s="7">
        <v>0</v>
      </c>
      <c r="M198" s="7">
        <v>0.01</v>
      </c>
      <c r="N198" s="7">
        <v>0</v>
      </c>
      <c r="O198" s="22">
        <v>0.01</v>
      </c>
    </row>
    <row r="199" spans="2:15" x14ac:dyDescent="0.2">
      <c r="B199" s="2" t="s">
        <v>388</v>
      </c>
      <c r="C199" s="7">
        <v>2.91</v>
      </c>
      <c r="D199" s="7">
        <v>2.95</v>
      </c>
      <c r="E199" s="7">
        <v>3.41</v>
      </c>
      <c r="F199" s="7">
        <v>2.74</v>
      </c>
      <c r="G199" s="7">
        <v>3.97</v>
      </c>
      <c r="H199" s="7">
        <v>5.76</v>
      </c>
      <c r="I199" s="7">
        <v>9.69</v>
      </c>
      <c r="J199" s="7">
        <v>2.74</v>
      </c>
      <c r="K199" s="7">
        <v>2.5</v>
      </c>
      <c r="L199" s="7">
        <v>4.37</v>
      </c>
      <c r="M199" s="7">
        <v>4.6500000000000004</v>
      </c>
      <c r="N199" s="7">
        <v>3.86</v>
      </c>
      <c r="O199" s="22">
        <v>49.55</v>
      </c>
    </row>
    <row r="200" spans="2:15" x14ac:dyDescent="0.2">
      <c r="B200" s="2" t="s">
        <v>390</v>
      </c>
      <c r="C200" s="7">
        <v>0.08</v>
      </c>
      <c r="D200" s="7">
        <v>0.01</v>
      </c>
      <c r="E200" s="7">
        <v>0</v>
      </c>
      <c r="F200" s="7">
        <v>0</v>
      </c>
      <c r="G200" s="7">
        <v>0</v>
      </c>
      <c r="H200" s="7">
        <v>0</v>
      </c>
      <c r="I200" s="7">
        <v>0</v>
      </c>
      <c r="J200" s="7">
        <v>0</v>
      </c>
      <c r="K200" s="7">
        <v>0</v>
      </c>
      <c r="L200" s="7">
        <v>0</v>
      </c>
      <c r="M200" s="7">
        <v>0</v>
      </c>
      <c r="N200" s="7">
        <v>0</v>
      </c>
      <c r="O200" s="22">
        <v>0.09</v>
      </c>
    </row>
    <row r="201" spans="2:15" x14ac:dyDescent="0.2">
      <c r="B201" s="2" t="s">
        <v>392</v>
      </c>
      <c r="C201" s="7">
        <v>0</v>
      </c>
      <c r="D201" s="7">
        <v>0</v>
      </c>
      <c r="E201" s="7">
        <v>0.04</v>
      </c>
      <c r="F201" s="7">
        <v>0</v>
      </c>
      <c r="G201" s="7">
        <v>0</v>
      </c>
      <c r="H201" s="7">
        <v>0.22</v>
      </c>
      <c r="I201" s="7">
        <v>0</v>
      </c>
      <c r="J201" s="7">
        <v>0</v>
      </c>
      <c r="K201" s="7">
        <v>0</v>
      </c>
      <c r="L201" s="7">
        <v>0.02</v>
      </c>
      <c r="M201" s="7">
        <v>0</v>
      </c>
      <c r="N201" s="7">
        <v>0</v>
      </c>
      <c r="O201" s="22">
        <v>0.28000000000000003</v>
      </c>
    </row>
    <row r="202" spans="2:15" x14ac:dyDescent="0.2">
      <c r="B202" s="2" t="s">
        <v>393</v>
      </c>
      <c r="C202" s="7">
        <v>0.1</v>
      </c>
      <c r="D202" s="7">
        <v>0.08</v>
      </c>
      <c r="E202" s="7">
        <v>0.09</v>
      </c>
      <c r="F202" s="7">
        <v>1.91</v>
      </c>
      <c r="G202" s="7">
        <v>0.41</v>
      </c>
      <c r="H202" s="7">
        <v>0.04</v>
      </c>
      <c r="I202" s="7">
        <v>0.16</v>
      </c>
      <c r="J202" s="7">
        <v>0.14000000000000001</v>
      </c>
      <c r="K202" s="7">
        <v>0.32</v>
      </c>
      <c r="L202" s="7">
        <v>0.15</v>
      </c>
      <c r="M202" s="7">
        <v>0.04</v>
      </c>
      <c r="N202" s="7">
        <v>0</v>
      </c>
      <c r="O202" s="22">
        <v>3.44</v>
      </c>
    </row>
    <row r="203" spans="2:15" x14ac:dyDescent="0.2">
      <c r="B203" s="2" t="s">
        <v>394</v>
      </c>
      <c r="C203" s="7">
        <v>0.42</v>
      </c>
      <c r="D203" s="7">
        <v>0.09</v>
      </c>
      <c r="E203" s="7">
        <v>0.17</v>
      </c>
      <c r="F203" s="7">
        <v>0.11</v>
      </c>
      <c r="G203" s="7">
        <v>0.23</v>
      </c>
      <c r="H203" s="7">
        <v>0.47</v>
      </c>
      <c r="I203" s="7">
        <v>0.16</v>
      </c>
      <c r="J203" s="7">
        <v>0.15</v>
      </c>
      <c r="K203" s="7">
        <v>0.04</v>
      </c>
      <c r="L203" s="7">
        <v>0.16</v>
      </c>
      <c r="M203" s="7">
        <v>0.24</v>
      </c>
      <c r="N203" s="7">
        <v>0.02</v>
      </c>
      <c r="O203" s="22">
        <v>2.2599999999999998</v>
      </c>
    </row>
    <row r="204" spans="2:15" x14ac:dyDescent="0.2">
      <c r="B204" s="2" t="s">
        <v>434</v>
      </c>
      <c r="C204" s="7">
        <v>0</v>
      </c>
      <c r="D204" s="7">
        <v>0</v>
      </c>
      <c r="E204" s="7">
        <v>0</v>
      </c>
      <c r="F204" s="7">
        <v>0</v>
      </c>
      <c r="G204" s="7">
        <v>0</v>
      </c>
      <c r="H204" s="7">
        <v>0</v>
      </c>
      <c r="I204" s="7">
        <v>0</v>
      </c>
      <c r="J204" s="7">
        <v>0</v>
      </c>
      <c r="K204" s="7">
        <v>0</v>
      </c>
      <c r="L204" s="7">
        <v>0.76</v>
      </c>
      <c r="M204" s="7">
        <v>0.01</v>
      </c>
      <c r="N204" s="7">
        <v>0.02</v>
      </c>
      <c r="O204" s="22">
        <v>0.79</v>
      </c>
    </row>
    <row r="205" spans="2:15" x14ac:dyDescent="0.2">
      <c r="B205" s="2" t="s">
        <v>435</v>
      </c>
      <c r="C205" s="7">
        <v>0</v>
      </c>
      <c r="D205" s="7">
        <v>0</v>
      </c>
      <c r="E205" s="7">
        <v>0</v>
      </c>
      <c r="F205" s="7">
        <v>0</v>
      </c>
      <c r="G205" s="7">
        <v>0</v>
      </c>
      <c r="H205" s="7">
        <v>0</v>
      </c>
      <c r="I205" s="7">
        <v>0</v>
      </c>
      <c r="J205" s="7">
        <v>0</v>
      </c>
      <c r="K205" s="7">
        <v>0</v>
      </c>
      <c r="L205" s="7">
        <v>0</v>
      </c>
      <c r="M205" s="7">
        <v>0</v>
      </c>
      <c r="N205" s="7">
        <v>0.2</v>
      </c>
      <c r="O205" s="22">
        <v>0.2</v>
      </c>
    </row>
    <row r="206" spans="2:15" x14ac:dyDescent="0.2">
      <c r="B206" s="2" t="s">
        <v>395</v>
      </c>
      <c r="C206" s="7">
        <v>0.01</v>
      </c>
      <c r="D206" s="7">
        <v>0.02</v>
      </c>
      <c r="E206" s="7">
        <v>0.01</v>
      </c>
      <c r="F206" s="7">
        <v>0</v>
      </c>
      <c r="G206" s="7">
        <v>0</v>
      </c>
      <c r="H206" s="7">
        <v>0</v>
      </c>
      <c r="I206" s="7">
        <v>0</v>
      </c>
      <c r="J206" s="7">
        <v>0</v>
      </c>
      <c r="K206" s="7">
        <v>0</v>
      </c>
      <c r="L206" s="7">
        <v>0.08</v>
      </c>
      <c r="M206" s="7">
        <v>0</v>
      </c>
      <c r="N206" s="7">
        <v>0</v>
      </c>
      <c r="O206" s="22">
        <v>0.12</v>
      </c>
    </row>
    <row r="207" spans="2:15" x14ac:dyDescent="0.2">
      <c r="B207" s="2" t="s">
        <v>401</v>
      </c>
      <c r="C207" s="7">
        <v>0.1</v>
      </c>
      <c r="D207" s="7">
        <v>0.1</v>
      </c>
      <c r="E207" s="7">
        <v>0.09</v>
      </c>
      <c r="F207" s="7">
        <v>0.1</v>
      </c>
      <c r="G207" s="7">
        <v>0.08</v>
      </c>
      <c r="H207" s="7">
        <v>0.09</v>
      </c>
      <c r="I207" s="7">
        <v>0.1</v>
      </c>
      <c r="J207" s="7">
        <v>0.04</v>
      </c>
      <c r="K207" s="7">
        <v>0.08</v>
      </c>
      <c r="L207" s="7">
        <v>7.0000000000000007E-2</v>
      </c>
      <c r="M207" s="7">
        <v>7.0000000000000007E-2</v>
      </c>
      <c r="N207" s="7">
        <v>7.0000000000000007E-2</v>
      </c>
      <c r="O207" s="22">
        <v>0.99000000000000021</v>
      </c>
    </row>
    <row r="208" spans="2:15" x14ac:dyDescent="0.2">
      <c r="B208" s="2" t="s">
        <v>404</v>
      </c>
      <c r="C208" s="7">
        <v>0</v>
      </c>
      <c r="D208" s="7">
        <v>0</v>
      </c>
      <c r="E208" s="7">
        <v>0</v>
      </c>
      <c r="F208" s="7">
        <v>0</v>
      </c>
      <c r="G208" s="7">
        <v>0</v>
      </c>
      <c r="H208" s="7">
        <v>0</v>
      </c>
      <c r="I208" s="7">
        <v>0</v>
      </c>
      <c r="J208" s="7">
        <v>0</v>
      </c>
      <c r="K208" s="7">
        <v>0</v>
      </c>
      <c r="L208" s="7">
        <v>0.01</v>
      </c>
      <c r="M208" s="7">
        <v>0</v>
      </c>
      <c r="N208" s="7">
        <v>0</v>
      </c>
      <c r="O208" s="22">
        <v>0.01</v>
      </c>
    </row>
    <row r="209" spans="1:15" x14ac:dyDescent="0.2">
      <c r="B209" s="2" t="s">
        <v>436</v>
      </c>
      <c r="C209" s="7">
        <v>0.01</v>
      </c>
      <c r="D209" s="7">
        <v>0</v>
      </c>
      <c r="E209" s="7">
        <v>0</v>
      </c>
      <c r="F209" s="7">
        <v>0</v>
      </c>
      <c r="G209" s="7">
        <v>1.98</v>
      </c>
      <c r="H209" s="7">
        <v>0</v>
      </c>
      <c r="I209" s="7">
        <v>0.02</v>
      </c>
      <c r="J209" s="7">
        <v>0.01</v>
      </c>
      <c r="K209" s="7">
        <v>0.12</v>
      </c>
      <c r="L209" s="7">
        <v>0</v>
      </c>
      <c r="M209" s="7">
        <v>0.02</v>
      </c>
      <c r="N209" s="7">
        <v>0.23</v>
      </c>
      <c r="O209" s="22">
        <v>2.3899999999999997</v>
      </c>
    </row>
    <row r="210" spans="1:15" x14ac:dyDescent="0.2">
      <c r="B210" s="2" t="s">
        <v>402</v>
      </c>
      <c r="C210" s="7">
        <v>0</v>
      </c>
      <c r="D210" s="7">
        <v>0</v>
      </c>
      <c r="E210" s="7">
        <v>0</v>
      </c>
      <c r="F210" s="7">
        <v>0</v>
      </c>
      <c r="G210" s="7">
        <v>0</v>
      </c>
      <c r="H210" s="7">
        <v>0</v>
      </c>
      <c r="I210" s="7">
        <v>0</v>
      </c>
      <c r="J210" s="7">
        <v>0</v>
      </c>
      <c r="K210" s="7">
        <v>0</v>
      </c>
      <c r="L210" s="7">
        <v>0.02</v>
      </c>
      <c r="M210" s="7">
        <v>0.04</v>
      </c>
      <c r="N210" s="7">
        <v>0</v>
      </c>
      <c r="O210" s="22">
        <v>0.06</v>
      </c>
    </row>
    <row r="211" spans="1:15" x14ac:dyDescent="0.2">
      <c r="B211" s="2" t="s">
        <v>407</v>
      </c>
      <c r="C211" s="7">
        <v>1.92</v>
      </c>
      <c r="D211" s="7">
        <v>0</v>
      </c>
      <c r="E211" s="7">
        <v>0</v>
      </c>
      <c r="F211" s="7">
        <v>0.23</v>
      </c>
      <c r="G211" s="7">
        <v>0.05</v>
      </c>
      <c r="H211" s="7">
        <v>0</v>
      </c>
      <c r="I211" s="7">
        <v>0.01</v>
      </c>
      <c r="J211" s="7">
        <v>0</v>
      </c>
      <c r="K211" s="7">
        <v>0.02</v>
      </c>
      <c r="L211" s="7">
        <v>0.01</v>
      </c>
      <c r="M211" s="7">
        <v>0</v>
      </c>
      <c r="N211" s="7">
        <v>0</v>
      </c>
      <c r="O211" s="22">
        <v>2.2399999999999993</v>
      </c>
    </row>
    <row r="212" spans="1:15" x14ac:dyDescent="0.2">
      <c r="B212" s="2" t="s">
        <v>408</v>
      </c>
      <c r="C212" s="7">
        <v>0.01</v>
      </c>
      <c r="D212" s="7">
        <v>0</v>
      </c>
      <c r="E212" s="7">
        <v>15.79</v>
      </c>
      <c r="F212" s="7">
        <v>0</v>
      </c>
      <c r="G212" s="7">
        <v>0</v>
      </c>
      <c r="H212" s="7">
        <v>0</v>
      </c>
      <c r="I212" s="7">
        <v>0</v>
      </c>
      <c r="J212" s="7">
        <v>3.07</v>
      </c>
      <c r="K212" s="7">
        <v>0</v>
      </c>
      <c r="L212" s="7">
        <v>0</v>
      </c>
      <c r="M212" s="7">
        <v>0.09</v>
      </c>
      <c r="N212" s="7">
        <v>0</v>
      </c>
      <c r="O212" s="22">
        <v>18.959999999999997</v>
      </c>
    </row>
    <row r="213" spans="1:15" x14ac:dyDescent="0.2">
      <c r="B213" s="2" t="s">
        <v>437</v>
      </c>
      <c r="C213" s="7">
        <v>0</v>
      </c>
      <c r="D213" s="7">
        <v>0</v>
      </c>
      <c r="E213" s="7">
        <v>0.03</v>
      </c>
      <c r="F213" s="7">
        <v>0</v>
      </c>
      <c r="G213" s="7">
        <v>0.01</v>
      </c>
      <c r="H213" s="7">
        <v>0.01</v>
      </c>
      <c r="I213" s="7">
        <v>0</v>
      </c>
      <c r="J213" s="7">
        <v>0</v>
      </c>
      <c r="K213" s="7">
        <v>0.04</v>
      </c>
      <c r="L213" s="7">
        <v>0.01</v>
      </c>
      <c r="M213" s="7">
        <v>0.02</v>
      </c>
      <c r="N213" s="7">
        <v>0</v>
      </c>
      <c r="O213" s="22">
        <v>0.12</v>
      </c>
    </row>
    <row r="214" spans="1:15" x14ac:dyDescent="0.2">
      <c r="B214" s="2" t="s">
        <v>409</v>
      </c>
      <c r="C214" s="7">
        <v>0</v>
      </c>
      <c r="D214" s="7">
        <v>0</v>
      </c>
      <c r="E214" s="7">
        <v>0.01</v>
      </c>
      <c r="F214" s="7">
        <v>0</v>
      </c>
      <c r="G214" s="7">
        <v>0</v>
      </c>
      <c r="H214" s="7">
        <v>1.18</v>
      </c>
      <c r="I214" s="7">
        <v>0</v>
      </c>
      <c r="J214" s="7">
        <v>0</v>
      </c>
      <c r="K214" s="7">
        <v>0</v>
      </c>
      <c r="L214" s="7">
        <v>0</v>
      </c>
      <c r="M214" s="7">
        <v>0.03</v>
      </c>
      <c r="N214" s="7">
        <v>0</v>
      </c>
      <c r="O214" s="22">
        <v>1.22</v>
      </c>
    </row>
    <row r="215" spans="1:15" x14ac:dyDescent="0.2">
      <c r="B215" s="2" t="s">
        <v>410</v>
      </c>
      <c r="C215" s="7">
        <v>2.17</v>
      </c>
      <c r="D215" s="7">
        <v>2.93</v>
      </c>
      <c r="E215" s="7">
        <v>3.35</v>
      </c>
      <c r="F215" s="7">
        <v>1.38</v>
      </c>
      <c r="G215" s="7">
        <v>3.38</v>
      </c>
      <c r="H215" s="7">
        <v>0</v>
      </c>
      <c r="I215" s="7">
        <v>2.73</v>
      </c>
      <c r="J215" s="7">
        <v>1.75</v>
      </c>
      <c r="K215" s="7">
        <v>2.21</v>
      </c>
      <c r="L215" s="7">
        <v>1.22</v>
      </c>
      <c r="M215" s="7">
        <v>1.56</v>
      </c>
      <c r="N215" s="7">
        <v>1.18</v>
      </c>
      <c r="O215" s="22">
        <v>23.859999999999996</v>
      </c>
    </row>
    <row r="216" spans="1:15" x14ac:dyDescent="0.2">
      <c r="C216" s="30"/>
      <c r="D216" s="7"/>
      <c r="E216" s="7"/>
      <c r="F216" s="7"/>
      <c r="G216" s="7"/>
      <c r="H216" s="7"/>
      <c r="I216" s="7"/>
      <c r="J216" s="7"/>
      <c r="K216" s="7"/>
      <c r="L216" s="7"/>
      <c r="M216" s="7"/>
      <c r="N216" s="7"/>
      <c r="O216" s="22"/>
    </row>
    <row r="217" spans="1:15" ht="15" x14ac:dyDescent="0.25">
      <c r="B217" s="1" t="s">
        <v>222</v>
      </c>
      <c r="C217" s="31">
        <v>2870.51</v>
      </c>
      <c r="D217" s="31">
        <v>2595.2599999999993</v>
      </c>
      <c r="E217" s="31">
        <v>2054.23</v>
      </c>
      <c r="F217" s="31">
        <v>2606.5099999999993</v>
      </c>
      <c r="G217" s="31">
        <v>2325.7199999999998</v>
      </c>
      <c r="H217" s="31">
        <v>1723.41</v>
      </c>
      <c r="I217" s="31">
        <v>2840.9900000000002</v>
      </c>
      <c r="J217" s="31">
        <v>2444.1799999999998</v>
      </c>
      <c r="K217" s="31">
        <v>2142.2100000000005</v>
      </c>
      <c r="L217" s="31">
        <v>5046.8099999999995</v>
      </c>
      <c r="M217" s="31">
        <v>2139.3800000000006</v>
      </c>
      <c r="N217" s="31">
        <v>1751.8000000000004</v>
      </c>
      <c r="O217" s="31">
        <v>30541.030000000002</v>
      </c>
    </row>
    <row r="218" spans="1:15" x14ac:dyDescent="0.2">
      <c r="C218" s="22"/>
      <c r="J218" s="22"/>
      <c r="O218" s="22"/>
    </row>
    <row r="219" spans="1:15" x14ac:dyDescent="0.2">
      <c r="A219" s="20" t="s">
        <v>225</v>
      </c>
    </row>
    <row r="220" spans="1:15" x14ac:dyDescent="0.2">
      <c r="K220" s="2" t="s">
        <v>438</v>
      </c>
    </row>
    <row r="221" spans="1:15" x14ac:dyDescent="0.2">
      <c r="A221" s="20" t="s">
        <v>226</v>
      </c>
    </row>
  </sheetData>
  <mergeCells count="3">
    <mergeCell ref="A3:C3"/>
    <mergeCell ref="A6:B7"/>
    <mergeCell ref="O6:O7"/>
  </mergeCells>
  <printOptions horizontalCentered="1"/>
  <pageMargins left="0" right="0" top="0.74803149606299213" bottom="0.59055118110236227" header="0.39370078740157483" footer="0.39370078740157483"/>
  <pageSetup paperSize="9" scale="42" orientation="portrait" r:id="rId1"/>
  <headerFooter>
    <oddHeader>Page &amp;P</oddHeader>
  </headerFooter>
  <rowBreaks count="1" manualBreakCount="1">
    <brk id="106"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03"/>
  <sheetViews>
    <sheetView zoomScaleNormal="100" workbookViewId="0">
      <pane xSplit="2" ySplit="6" topLeftCell="C7" activePane="bottomRight" state="frozen"/>
      <selection pane="topRight" activeCell="C1" sqref="C1"/>
      <selection pane="bottomLeft" activeCell="A7" sqref="A7"/>
      <selection pane="bottomRight" activeCell="O6" sqref="A6:O6"/>
    </sheetView>
  </sheetViews>
  <sheetFormatPr defaultColWidth="8.85546875" defaultRowHeight="15" customHeight="1" x14ac:dyDescent="0.2"/>
  <cols>
    <col min="1" max="1" width="2.140625" style="2" customWidth="1"/>
    <col min="2" max="2" width="60.42578125" style="2" customWidth="1"/>
    <col min="3" max="15" width="10.7109375" style="2" customWidth="1"/>
    <col min="16" max="16" width="9.42578125" style="2" bestFit="1" customWidth="1"/>
    <col min="17" max="256" width="9.140625" style="2"/>
    <col min="257" max="257" width="2.140625" style="2" customWidth="1"/>
    <col min="258" max="258" width="50.140625" style="2" customWidth="1"/>
    <col min="259" max="267" width="8.140625" style="2" bestFit="1" customWidth="1"/>
    <col min="268" max="268" width="9.28515625" style="2" bestFit="1" customWidth="1"/>
    <col min="269" max="270" width="8.140625" style="2" bestFit="1" customWidth="1"/>
    <col min="271" max="271" width="9.140625" style="2" customWidth="1"/>
    <col min="272" max="272" width="9.42578125" style="2" bestFit="1" customWidth="1"/>
    <col min="273" max="512" width="9.140625" style="2"/>
    <col min="513" max="513" width="2.140625" style="2" customWidth="1"/>
    <col min="514" max="514" width="50.140625" style="2" customWidth="1"/>
    <col min="515" max="523" width="8.140625" style="2" bestFit="1" customWidth="1"/>
    <col min="524" max="524" width="9.28515625" style="2" bestFit="1" customWidth="1"/>
    <col min="525" max="526" width="8.140625" style="2" bestFit="1" customWidth="1"/>
    <col min="527" max="527" width="9.140625" style="2" customWidth="1"/>
    <col min="528" max="528" width="9.42578125" style="2" bestFit="1" customWidth="1"/>
    <col min="529" max="768" width="9.140625" style="2"/>
    <col min="769" max="769" width="2.140625" style="2" customWidth="1"/>
    <col min="770" max="770" width="50.140625" style="2" customWidth="1"/>
    <col min="771" max="779" width="8.140625" style="2" bestFit="1" customWidth="1"/>
    <col min="780" max="780" width="9.28515625" style="2" bestFit="1" customWidth="1"/>
    <col min="781" max="782" width="8.140625" style="2" bestFit="1" customWidth="1"/>
    <col min="783" max="783" width="9.140625" style="2" customWidth="1"/>
    <col min="784" max="784" width="9.42578125" style="2" bestFit="1" customWidth="1"/>
    <col min="785" max="1024" width="9.140625" style="2"/>
    <col min="1025" max="1025" width="2.140625" style="2" customWidth="1"/>
    <col min="1026" max="1026" width="50.140625" style="2" customWidth="1"/>
    <col min="1027" max="1035" width="8.140625" style="2" bestFit="1" customWidth="1"/>
    <col min="1036" max="1036" width="9.28515625" style="2" bestFit="1" customWidth="1"/>
    <col min="1037" max="1038" width="8.140625" style="2" bestFit="1" customWidth="1"/>
    <col min="1039" max="1039" width="9.140625" style="2" customWidth="1"/>
    <col min="1040" max="1040" width="9.42578125" style="2" bestFit="1" customWidth="1"/>
    <col min="1041" max="1280" width="9.140625" style="2"/>
    <col min="1281" max="1281" width="2.140625" style="2" customWidth="1"/>
    <col min="1282" max="1282" width="50.140625" style="2" customWidth="1"/>
    <col min="1283" max="1291" width="8.140625" style="2" bestFit="1" customWidth="1"/>
    <col min="1292" max="1292" width="9.28515625" style="2" bestFit="1" customWidth="1"/>
    <col min="1293" max="1294" width="8.140625" style="2" bestFit="1" customWidth="1"/>
    <col min="1295" max="1295" width="9.140625" style="2" customWidth="1"/>
    <col min="1296" max="1296" width="9.42578125" style="2" bestFit="1" customWidth="1"/>
    <col min="1297" max="1536" width="9.140625" style="2"/>
    <col min="1537" max="1537" width="2.140625" style="2" customWidth="1"/>
    <col min="1538" max="1538" width="50.140625" style="2" customWidth="1"/>
    <col min="1539" max="1547" width="8.140625" style="2" bestFit="1" customWidth="1"/>
    <col min="1548" max="1548" width="9.28515625" style="2" bestFit="1" customWidth="1"/>
    <col min="1549" max="1550" width="8.140625" style="2" bestFit="1" customWidth="1"/>
    <col min="1551" max="1551" width="9.140625" style="2" customWidth="1"/>
    <col min="1552" max="1552" width="9.42578125" style="2" bestFit="1" customWidth="1"/>
    <col min="1553" max="1792" width="9.140625" style="2"/>
    <col min="1793" max="1793" width="2.140625" style="2" customWidth="1"/>
    <col min="1794" max="1794" width="50.140625" style="2" customWidth="1"/>
    <col min="1795" max="1803" width="8.140625" style="2" bestFit="1" customWidth="1"/>
    <col min="1804" max="1804" width="9.28515625" style="2" bestFit="1" customWidth="1"/>
    <col min="1805" max="1806" width="8.140625" style="2" bestFit="1" customWidth="1"/>
    <col min="1807" max="1807" width="9.140625" style="2" customWidth="1"/>
    <col min="1808" max="1808" width="9.42578125" style="2" bestFit="1" customWidth="1"/>
    <col min="1809" max="2048" width="9.140625" style="2"/>
    <col min="2049" max="2049" width="2.140625" style="2" customWidth="1"/>
    <col min="2050" max="2050" width="50.140625" style="2" customWidth="1"/>
    <col min="2051" max="2059" width="8.140625" style="2" bestFit="1" customWidth="1"/>
    <col min="2060" max="2060" width="9.28515625" style="2" bestFit="1" customWidth="1"/>
    <col min="2061" max="2062" width="8.140625" style="2" bestFit="1" customWidth="1"/>
    <col min="2063" max="2063" width="9.140625" style="2" customWidth="1"/>
    <col min="2064" max="2064" width="9.42578125" style="2" bestFit="1" customWidth="1"/>
    <col min="2065" max="2304" width="9.140625" style="2"/>
    <col min="2305" max="2305" width="2.140625" style="2" customWidth="1"/>
    <col min="2306" max="2306" width="50.140625" style="2" customWidth="1"/>
    <col min="2307" max="2315" width="8.140625" style="2" bestFit="1" customWidth="1"/>
    <col min="2316" max="2316" width="9.28515625" style="2" bestFit="1" customWidth="1"/>
    <col min="2317" max="2318" width="8.140625" style="2" bestFit="1" customWidth="1"/>
    <col min="2319" max="2319" width="9.140625" style="2" customWidth="1"/>
    <col min="2320" max="2320" width="9.42578125" style="2" bestFit="1" customWidth="1"/>
    <col min="2321" max="2560" width="9.140625" style="2"/>
    <col min="2561" max="2561" width="2.140625" style="2" customWidth="1"/>
    <col min="2562" max="2562" width="50.140625" style="2" customWidth="1"/>
    <col min="2563" max="2571" width="8.140625" style="2" bestFit="1" customWidth="1"/>
    <col min="2572" max="2572" width="9.28515625" style="2" bestFit="1" customWidth="1"/>
    <col min="2573" max="2574" width="8.140625" style="2" bestFit="1" customWidth="1"/>
    <col min="2575" max="2575" width="9.140625" style="2" customWidth="1"/>
    <col min="2576" max="2576" width="9.42578125" style="2" bestFit="1" customWidth="1"/>
    <col min="2577" max="2816" width="9.140625" style="2"/>
    <col min="2817" max="2817" width="2.140625" style="2" customWidth="1"/>
    <col min="2818" max="2818" width="50.140625" style="2" customWidth="1"/>
    <col min="2819" max="2827" width="8.140625" style="2" bestFit="1" customWidth="1"/>
    <col min="2828" max="2828" width="9.28515625" style="2" bestFit="1" customWidth="1"/>
    <col min="2829" max="2830" width="8.140625" style="2" bestFit="1" customWidth="1"/>
    <col min="2831" max="2831" width="9.140625" style="2" customWidth="1"/>
    <col min="2832" max="2832" width="9.42578125" style="2" bestFit="1" customWidth="1"/>
    <col min="2833" max="3072" width="9.140625" style="2"/>
    <col min="3073" max="3073" width="2.140625" style="2" customWidth="1"/>
    <col min="3074" max="3074" width="50.140625" style="2" customWidth="1"/>
    <col min="3075" max="3083" width="8.140625" style="2" bestFit="1" customWidth="1"/>
    <col min="3084" max="3084" width="9.28515625" style="2" bestFit="1" customWidth="1"/>
    <col min="3085" max="3086" width="8.140625" style="2" bestFit="1" customWidth="1"/>
    <col min="3087" max="3087" width="9.140625" style="2" customWidth="1"/>
    <col min="3088" max="3088" width="9.42578125" style="2" bestFit="1" customWidth="1"/>
    <col min="3089" max="3328" width="9.140625" style="2"/>
    <col min="3329" max="3329" width="2.140625" style="2" customWidth="1"/>
    <col min="3330" max="3330" width="50.140625" style="2" customWidth="1"/>
    <col min="3331" max="3339" width="8.140625" style="2" bestFit="1" customWidth="1"/>
    <col min="3340" max="3340" width="9.28515625" style="2" bestFit="1" customWidth="1"/>
    <col min="3341" max="3342" width="8.140625" style="2" bestFit="1" customWidth="1"/>
    <col min="3343" max="3343" width="9.140625" style="2" customWidth="1"/>
    <col min="3344" max="3344" width="9.42578125" style="2" bestFit="1" customWidth="1"/>
    <col min="3345" max="3584" width="9.140625" style="2"/>
    <col min="3585" max="3585" width="2.140625" style="2" customWidth="1"/>
    <col min="3586" max="3586" width="50.140625" style="2" customWidth="1"/>
    <col min="3587" max="3595" width="8.140625" style="2" bestFit="1" customWidth="1"/>
    <col min="3596" max="3596" width="9.28515625" style="2" bestFit="1" customWidth="1"/>
    <col min="3597" max="3598" width="8.140625" style="2" bestFit="1" customWidth="1"/>
    <col min="3599" max="3599" width="9.140625" style="2" customWidth="1"/>
    <col min="3600" max="3600" width="9.42578125" style="2" bestFit="1" customWidth="1"/>
    <col min="3601" max="3840" width="9.140625" style="2"/>
    <col min="3841" max="3841" width="2.140625" style="2" customWidth="1"/>
    <col min="3842" max="3842" width="50.140625" style="2" customWidth="1"/>
    <col min="3843" max="3851" width="8.140625" style="2" bestFit="1" customWidth="1"/>
    <col min="3852" max="3852" width="9.28515625" style="2" bestFit="1" customWidth="1"/>
    <col min="3853" max="3854" width="8.140625" style="2" bestFit="1" customWidth="1"/>
    <col min="3855" max="3855" width="9.140625" style="2" customWidth="1"/>
    <col min="3856" max="3856" width="9.42578125" style="2" bestFit="1" customWidth="1"/>
    <col min="3857" max="4096" width="9.140625" style="2"/>
    <col min="4097" max="4097" width="2.140625" style="2" customWidth="1"/>
    <col min="4098" max="4098" width="50.140625" style="2" customWidth="1"/>
    <col min="4099" max="4107" width="8.140625" style="2" bestFit="1" customWidth="1"/>
    <col min="4108" max="4108" width="9.28515625" style="2" bestFit="1" customWidth="1"/>
    <col min="4109" max="4110" width="8.140625" style="2" bestFit="1" customWidth="1"/>
    <col min="4111" max="4111" width="9.140625" style="2" customWidth="1"/>
    <col min="4112" max="4112" width="9.42578125" style="2" bestFit="1" customWidth="1"/>
    <col min="4113" max="4352" width="9.140625" style="2"/>
    <col min="4353" max="4353" width="2.140625" style="2" customWidth="1"/>
    <col min="4354" max="4354" width="50.140625" style="2" customWidth="1"/>
    <col min="4355" max="4363" width="8.140625" style="2" bestFit="1" customWidth="1"/>
    <col min="4364" max="4364" width="9.28515625" style="2" bestFit="1" customWidth="1"/>
    <col min="4365" max="4366" width="8.140625" style="2" bestFit="1" customWidth="1"/>
    <col min="4367" max="4367" width="9.140625" style="2" customWidth="1"/>
    <col min="4368" max="4368" width="9.42578125" style="2" bestFit="1" customWidth="1"/>
    <col min="4369" max="4608" width="9.140625" style="2"/>
    <col min="4609" max="4609" width="2.140625" style="2" customWidth="1"/>
    <col min="4610" max="4610" width="50.140625" style="2" customWidth="1"/>
    <col min="4611" max="4619" width="8.140625" style="2" bestFit="1" customWidth="1"/>
    <col min="4620" max="4620" width="9.28515625" style="2" bestFit="1" customWidth="1"/>
    <col min="4621" max="4622" width="8.140625" style="2" bestFit="1" customWidth="1"/>
    <col min="4623" max="4623" width="9.140625" style="2" customWidth="1"/>
    <col min="4624" max="4624" width="9.42578125" style="2" bestFit="1" customWidth="1"/>
    <col min="4625" max="4864" width="9.140625" style="2"/>
    <col min="4865" max="4865" width="2.140625" style="2" customWidth="1"/>
    <col min="4866" max="4866" width="50.140625" style="2" customWidth="1"/>
    <col min="4867" max="4875" width="8.140625" style="2" bestFit="1" customWidth="1"/>
    <col min="4876" max="4876" width="9.28515625" style="2" bestFit="1" customWidth="1"/>
    <col min="4877" max="4878" width="8.140625" style="2" bestFit="1" customWidth="1"/>
    <col min="4879" max="4879" width="9.140625" style="2" customWidth="1"/>
    <col min="4880" max="4880" width="9.42578125" style="2" bestFit="1" customWidth="1"/>
    <col min="4881" max="5120" width="9.140625" style="2"/>
    <col min="5121" max="5121" width="2.140625" style="2" customWidth="1"/>
    <col min="5122" max="5122" width="50.140625" style="2" customWidth="1"/>
    <col min="5123" max="5131" width="8.140625" style="2" bestFit="1" customWidth="1"/>
    <col min="5132" max="5132" width="9.28515625" style="2" bestFit="1" customWidth="1"/>
    <col min="5133" max="5134" width="8.140625" style="2" bestFit="1" customWidth="1"/>
    <col min="5135" max="5135" width="9.140625" style="2" customWidth="1"/>
    <col min="5136" max="5136" width="9.42578125" style="2" bestFit="1" customWidth="1"/>
    <col min="5137" max="5376" width="9.140625" style="2"/>
    <col min="5377" max="5377" width="2.140625" style="2" customWidth="1"/>
    <col min="5378" max="5378" width="50.140625" style="2" customWidth="1"/>
    <col min="5379" max="5387" width="8.140625" style="2" bestFit="1" customWidth="1"/>
    <col min="5388" max="5388" width="9.28515625" style="2" bestFit="1" customWidth="1"/>
    <col min="5389" max="5390" width="8.140625" style="2" bestFit="1" customWidth="1"/>
    <col min="5391" max="5391" width="9.140625" style="2" customWidth="1"/>
    <col min="5392" max="5392" width="9.42578125" style="2" bestFit="1" customWidth="1"/>
    <col min="5393" max="5632" width="9.140625" style="2"/>
    <col min="5633" max="5633" width="2.140625" style="2" customWidth="1"/>
    <col min="5634" max="5634" width="50.140625" style="2" customWidth="1"/>
    <col min="5635" max="5643" width="8.140625" style="2" bestFit="1" customWidth="1"/>
    <col min="5644" max="5644" width="9.28515625" style="2" bestFit="1" customWidth="1"/>
    <col min="5645" max="5646" width="8.140625" style="2" bestFit="1" customWidth="1"/>
    <col min="5647" max="5647" width="9.140625" style="2" customWidth="1"/>
    <col min="5648" max="5648" width="9.42578125" style="2" bestFit="1" customWidth="1"/>
    <col min="5649" max="5888" width="9.140625" style="2"/>
    <col min="5889" max="5889" width="2.140625" style="2" customWidth="1"/>
    <col min="5890" max="5890" width="50.140625" style="2" customWidth="1"/>
    <col min="5891" max="5899" width="8.140625" style="2" bestFit="1" customWidth="1"/>
    <col min="5900" max="5900" width="9.28515625" style="2" bestFit="1" customWidth="1"/>
    <col min="5901" max="5902" width="8.140625" style="2" bestFit="1" customWidth="1"/>
    <col min="5903" max="5903" width="9.140625" style="2" customWidth="1"/>
    <col min="5904" max="5904" width="9.42578125" style="2" bestFit="1" customWidth="1"/>
    <col min="5905" max="6144" width="9.140625" style="2"/>
    <col min="6145" max="6145" width="2.140625" style="2" customWidth="1"/>
    <col min="6146" max="6146" width="50.140625" style="2" customWidth="1"/>
    <col min="6147" max="6155" width="8.140625" style="2" bestFit="1" customWidth="1"/>
    <col min="6156" max="6156" width="9.28515625" style="2" bestFit="1" customWidth="1"/>
    <col min="6157" max="6158" width="8.140625" style="2" bestFit="1" customWidth="1"/>
    <col min="6159" max="6159" width="9.140625" style="2" customWidth="1"/>
    <col min="6160" max="6160" width="9.42578125" style="2" bestFit="1" customWidth="1"/>
    <col min="6161" max="6400" width="9.140625" style="2"/>
    <col min="6401" max="6401" width="2.140625" style="2" customWidth="1"/>
    <col min="6402" max="6402" width="50.140625" style="2" customWidth="1"/>
    <col min="6403" max="6411" width="8.140625" style="2" bestFit="1" customWidth="1"/>
    <col min="6412" max="6412" width="9.28515625" style="2" bestFit="1" customWidth="1"/>
    <col min="6413" max="6414" width="8.140625" style="2" bestFit="1" customWidth="1"/>
    <col min="6415" max="6415" width="9.140625" style="2" customWidth="1"/>
    <col min="6416" max="6416" width="9.42578125" style="2" bestFit="1" customWidth="1"/>
    <col min="6417" max="6656" width="9.140625" style="2"/>
    <col min="6657" max="6657" width="2.140625" style="2" customWidth="1"/>
    <col min="6658" max="6658" width="50.140625" style="2" customWidth="1"/>
    <col min="6659" max="6667" width="8.140625" style="2" bestFit="1" customWidth="1"/>
    <col min="6668" max="6668" width="9.28515625" style="2" bestFit="1" customWidth="1"/>
    <col min="6669" max="6670" width="8.140625" style="2" bestFit="1" customWidth="1"/>
    <col min="6671" max="6671" width="9.140625" style="2" customWidth="1"/>
    <col min="6672" max="6672" width="9.42578125" style="2" bestFit="1" customWidth="1"/>
    <col min="6673" max="6912" width="9.140625" style="2"/>
    <col min="6913" max="6913" width="2.140625" style="2" customWidth="1"/>
    <col min="6914" max="6914" width="50.140625" style="2" customWidth="1"/>
    <col min="6915" max="6923" width="8.140625" style="2" bestFit="1" customWidth="1"/>
    <col min="6924" max="6924" width="9.28515625" style="2" bestFit="1" customWidth="1"/>
    <col min="6925" max="6926" width="8.140625" style="2" bestFit="1" customWidth="1"/>
    <col min="6927" max="6927" width="9.140625" style="2" customWidth="1"/>
    <col min="6928" max="6928" width="9.42578125" style="2" bestFit="1" customWidth="1"/>
    <col min="6929" max="7168" width="9.140625" style="2"/>
    <col min="7169" max="7169" width="2.140625" style="2" customWidth="1"/>
    <col min="7170" max="7170" width="50.140625" style="2" customWidth="1"/>
    <col min="7171" max="7179" width="8.140625" style="2" bestFit="1" customWidth="1"/>
    <col min="7180" max="7180" width="9.28515625" style="2" bestFit="1" customWidth="1"/>
    <col min="7181" max="7182" width="8.140625" style="2" bestFit="1" customWidth="1"/>
    <col min="7183" max="7183" width="9.140625" style="2" customWidth="1"/>
    <col min="7184" max="7184" width="9.42578125" style="2" bestFit="1" customWidth="1"/>
    <col min="7185" max="7424" width="9.140625" style="2"/>
    <col min="7425" max="7425" width="2.140625" style="2" customWidth="1"/>
    <col min="7426" max="7426" width="50.140625" style="2" customWidth="1"/>
    <col min="7427" max="7435" width="8.140625" style="2" bestFit="1" customWidth="1"/>
    <col min="7436" max="7436" width="9.28515625" style="2" bestFit="1" customWidth="1"/>
    <col min="7437" max="7438" width="8.140625" style="2" bestFit="1" customWidth="1"/>
    <col min="7439" max="7439" width="9.140625" style="2" customWidth="1"/>
    <col min="7440" max="7440" width="9.42578125" style="2" bestFit="1" customWidth="1"/>
    <col min="7441" max="7680" width="9.140625" style="2"/>
    <col min="7681" max="7681" width="2.140625" style="2" customWidth="1"/>
    <col min="7682" max="7682" width="50.140625" style="2" customWidth="1"/>
    <col min="7683" max="7691" width="8.140625" style="2" bestFit="1" customWidth="1"/>
    <col min="7692" max="7692" width="9.28515625" style="2" bestFit="1" customWidth="1"/>
    <col min="7693" max="7694" width="8.140625" style="2" bestFit="1" customWidth="1"/>
    <col min="7695" max="7695" width="9.140625" style="2" customWidth="1"/>
    <col min="7696" max="7696" width="9.42578125" style="2" bestFit="1" customWidth="1"/>
    <col min="7697" max="7936" width="9.140625" style="2"/>
    <col min="7937" max="7937" width="2.140625" style="2" customWidth="1"/>
    <col min="7938" max="7938" width="50.140625" style="2" customWidth="1"/>
    <col min="7939" max="7947" width="8.140625" style="2" bestFit="1" customWidth="1"/>
    <col min="7948" max="7948" width="9.28515625" style="2" bestFit="1" customWidth="1"/>
    <col min="7949" max="7950" width="8.140625" style="2" bestFit="1" customWidth="1"/>
    <col min="7951" max="7951" width="9.140625" style="2" customWidth="1"/>
    <col min="7952" max="7952" width="9.42578125" style="2" bestFit="1" customWidth="1"/>
    <col min="7953" max="8192" width="9.140625" style="2"/>
    <col min="8193" max="8193" width="2.140625" style="2" customWidth="1"/>
    <col min="8194" max="8194" width="50.140625" style="2" customWidth="1"/>
    <col min="8195" max="8203" width="8.140625" style="2" bestFit="1" customWidth="1"/>
    <col min="8204" max="8204" width="9.28515625" style="2" bestFit="1" customWidth="1"/>
    <col min="8205" max="8206" width="8.140625" style="2" bestFit="1" customWidth="1"/>
    <col min="8207" max="8207" width="9.140625" style="2" customWidth="1"/>
    <col min="8208" max="8208" width="9.42578125" style="2" bestFit="1" customWidth="1"/>
    <col min="8209" max="8448" width="9.140625" style="2"/>
    <col min="8449" max="8449" width="2.140625" style="2" customWidth="1"/>
    <col min="8450" max="8450" width="50.140625" style="2" customWidth="1"/>
    <col min="8451" max="8459" width="8.140625" style="2" bestFit="1" customWidth="1"/>
    <col min="8460" max="8460" width="9.28515625" style="2" bestFit="1" customWidth="1"/>
    <col min="8461" max="8462" width="8.140625" style="2" bestFit="1" customWidth="1"/>
    <col min="8463" max="8463" width="9.140625" style="2" customWidth="1"/>
    <col min="8464" max="8464" width="9.42578125" style="2" bestFit="1" customWidth="1"/>
    <col min="8465" max="8704" width="9.140625" style="2"/>
    <col min="8705" max="8705" width="2.140625" style="2" customWidth="1"/>
    <col min="8706" max="8706" width="50.140625" style="2" customWidth="1"/>
    <col min="8707" max="8715" width="8.140625" style="2" bestFit="1" customWidth="1"/>
    <col min="8716" max="8716" width="9.28515625" style="2" bestFit="1" customWidth="1"/>
    <col min="8717" max="8718" width="8.140625" style="2" bestFit="1" customWidth="1"/>
    <col min="8719" max="8719" width="9.140625" style="2" customWidth="1"/>
    <col min="8720" max="8720" width="9.42578125" style="2" bestFit="1" customWidth="1"/>
    <col min="8721" max="8960" width="9.140625" style="2"/>
    <col min="8961" max="8961" width="2.140625" style="2" customWidth="1"/>
    <col min="8962" max="8962" width="50.140625" style="2" customWidth="1"/>
    <col min="8963" max="8971" width="8.140625" style="2" bestFit="1" customWidth="1"/>
    <col min="8972" max="8972" width="9.28515625" style="2" bestFit="1" customWidth="1"/>
    <col min="8973" max="8974" width="8.140625" style="2" bestFit="1" customWidth="1"/>
    <col min="8975" max="8975" width="9.140625" style="2" customWidth="1"/>
    <col min="8976" max="8976" width="9.42578125" style="2" bestFit="1" customWidth="1"/>
    <col min="8977" max="9216" width="9.140625" style="2"/>
    <col min="9217" max="9217" width="2.140625" style="2" customWidth="1"/>
    <col min="9218" max="9218" width="50.140625" style="2" customWidth="1"/>
    <col min="9219" max="9227" width="8.140625" style="2" bestFit="1" customWidth="1"/>
    <col min="9228" max="9228" width="9.28515625" style="2" bestFit="1" customWidth="1"/>
    <col min="9229" max="9230" width="8.140625" style="2" bestFit="1" customWidth="1"/>
    <col min="9231" max="9231" width="9.140625" style="2" customWidth="1"/>
    <col min="9232" max="9232" width="9.42578125" style="2" bestFit="1" customWidth="1"/>
    <col min="9233" max="9472" width="9.140625" style="2"/>
    <col min="9473" max="9473" width="2.140625" style="2" customWidth="1"/>
    <col min="9474" max="9474" width="50.140625" style="2" customWidth="1"/>
    <col min="9475" max="9483" width="8.140625" style="2" bestFit="1" customWidth="1"/>
    <col min="9484" max="9484" width="9.28515625" style="2" bestFit="1" customWidth="1"/>
    <col min="9485" max="9486" width="8.140625" style="2" bestFit="1" customWidth="1"/>
    <col min="9487" max="9487" width="9.140625" style="2" customWidth="1"/>
    <col min="9488" max="9488" width="9.42578125" style="2" bestFit="1" customWidth="1"/>
    <col min="9489" max="9728" width="9.140625" style="2"/>
    <col min="9729" max="9729" width="2.140625" style="2" customWidth="1"/>
    <col min="9730" max="9730" width="50.140625" style="2" customWidth="1"/>
    <col min="9731" max="9739" width="8.140625" style="2" bestFit="1" customWidth="1"/>
    <col min="9740" max="9740" width="9.28515625" style="2" bestFit="1" customWidth="1"/>
    <col min="9741" max="9742" width="8.140625" style="2" bestFit="1" customWidth="1"/>
    <col min="9743" max="9743" width="9.140625" style="2" customWidth="1"/>
    <col min="9744" max="9744" width="9.42578125" style="2" bestFit="1" customWidth="1"/>
    <col min="9745" max="9984" width="9.140625" style="2"/>
    <col min="9985" max="9985" width="2.140625" style="2" customWidth="1"/>
    <col min="9986" max="9986" width="50.140625" style="2" customWidth="1"/>
    <col min="9987" max="9995" width="8.140625" style="2" bestFit="1" customWidth="1"/>
    <col min="9996" max="9996" width="9.28515625" style="2" bestFit="1" customWidth="1"/>
    <col min="9997" max="9998" width="8.140625" style="2" bestFit="1" customWidth="1"/>
    <col min="9999" max="9999" width="9.140625" style="2" customWidth="1"/>
    <col min="10000" max="10000" width="9.42578125" style="2" bestFit="1" customWidth="1"/>
    <col min="10001" max="10240" width="9.140625" style="2"/>
    <col min="10241" max="10241" width="2.140625" style="2" customWidth="1"/>
    <col min="10242" max="10242" width="50.140625" style="2" customWidth="1"/>
    <col min="10243" max="10251" width="8.140625" style="2" bestFit="1" customWidth="1"/>
    <col min="10252" max="10252" width="9.28515625" style="2" bestFit="1" customWidth="1"/>
    <col min="10253" max="10254" width="8.140625" style="2" bestFit="1" customWidth="1"/>
    <col min="10255" max="10255" width="9.140625" style="2" customWidth="1"/>
    <col min="10256" max="10256" width="9.42578125" style="2" bestFit="1" customWidth="1"/>
    <col min="10257" max="10496" width="9.140625" style="2"/>
    <col min="10497" max="10497" width="2.140625" style="2" customWidth="1"/>
    <col min="10498" max="10498" width="50.140625" style="2" customWidth="1"/>
    <col min="10499" max="10507" width="8.140625" style="2" bestFit="1" customWidth="1"/>
    <col min="10508" max="10508" width="9.28515625" style="2" bestFit="1" customWidth="1"/>
    <col min="10509" max="10510" width="8.140625" style="2" bestFit="1" customWidth="1"/>
    <col min="10511" max="10511" width="9.140625" style="2" customWidth="1"/>
    <col min="10512" max="10512" width="9.42578125" style="2" bestFit="1" customWidth="1"/>
    <col min="10513" max="10752" width="9.140625" style="2"/>
    <col min="10753" max="10753" width="2.140625" style="2" customWidth="1"/>
    <col min="10754" max="10754" width="50.140625" style="2" customWidth="1"/>
    <col min="10755" max="10763" width="8.140625" style="2" bestFit="1" customWidth="1"/>
    <col min="10764" max="10764" width="9.28515625" style="2" bestFit="1" customWidth="1"/>
    <col min="10765" max="10766" width="8.140625" style="2" bestFit="1" customWidth="1"/>
    <col min="10767" max="10767" width="9.140625" style="2" customWidth="1"/>
    <col min="10768" max="10768" width="9.42578125" style="2" bestFit="1" customWidth="1"/>
    <col min="10769" max="11008" width="9.140625" style="2"/>
    <col min="11009" max="11009" width="2.140625" style="2" customWidth="1"/>
    <col min="11010" max="11010" width="50.140625" style="2" customWidth="1"/>
    <col min="11011" max="11019" width="8.140625" style="2" bestFit="1" customWidth="1"/>
    <col min="11020" max="11020" width="9.28515625" style="2" bestFit="1" customWidth="1"/>
    <col min="11021" max="11022" width="8.140625" style="2" bestFit="1" customWidth="1"/>
    <col min="11023" max="11023" width="9.140625" style="2" customWidth="1"/>
    <col min="11024" max="11024" width="9.42578125" style="2" bestFit="1" customWidth="1"/>
    <col min="11025" max="11264" width="9.140625" style="2"/>
    <col min="11265" max="11265" width="2.140625" style="2" customWidth="1"/>
    <col min="11266" max="11266" width="50.140625" style="2" customWidth="1"/>
    <col min="11267" max="11275" width="8.140625" style="2" bestFit="1" customWidth="1"/>
    <col min="11276" max="11276" width="9.28515625" style="2" bestFit="1" customWidth="1"/>
    <col min="11277" max="11278" width="8.140625" style="2" bestFit="1" customWidth="1"/>
    <col min="11279" max="11279" width="9.140625" style="2" customWidth="1"/>
    <col min="11280" max="11280" width="9.42578125" style="2" bestFit="1" customWidth="1"/>
    <col min="11281" max="11520" width="9.140625" style="2"/>
    <col min="11521" max="11521" width="2.140625" style="2" customWidth="1"/>
    <col min="11522" max="11522" width="50.140625" style="2" customWidth="1"/>
    <col min="11523" max="11531" width="8.140625" style="2" bestFit="1" customWidth="1"/>
    <col min="11532" max="11532" width="9.28515625" style="2" bestFit="1" customWidth="1"/>
    <col min="11533" max="11534" width="8.140625" style="2" bestFit="1" customWidth="1"/>
    <col min="11535" max="11535" width="9.140625" style="2" customWidth="1"/>
    <col min="11536" max="11536" width="9.42578125" style="2" bestFit="1" customWidth="1"/>
    <col min="11537" max="11776" width="9.140625" style="2"/>
    <col min="11777" max="11777" width="2.140625" style="2" customWidth="1"/>
    <col min="11778" max="11778" width="50.140625" style="2" customWidth="1"/>
    <col min="11779" max="11787" width="8.140625" style="2" bestFit="1" customWidth="1"/>
    <col min="11788" max="11788" width="9.28515625" style="2" bestFit="1" customWidth="1"/>
    <col min="11789" max="11790" width="8.140625" style="2" bestFit="1" customWidth="1"/>
    <col min="11791" max="11791" width="9.140625" style="2" customWidth="1"/>
    <col min="11792" max="11792" width="9.42578125" style="2" bestFit="1" customWidth="1"/>
    <col min="11793" max="12032" width="9.140625" style="2"/>
    <col min="12033" max="12033" width="2.140625" style="2" customWidth="1"/>
    <col min="12034" max="12034" width="50.140625" style="2" customWidth="1"/>
    <col min="12035" max="12043" width="8.140625" style="2" bestFit="1" customWidth="1"/>
    <col min="12044" max="12044" width="9.28515625" style="2" bestFit="1" customWidth="1"/>
    <col min="12045" max="12046" width="8.140625" style="2" bestFit="1" customWidth="1"/>
    <col min="12047" max="12047" width="9.140625" style="2" customWidth="1"/>
    <col min="12048" max="12048" width="9.42578125" style="2" bestFit="1" customWidth="1"/>
    <col min="12049" max="12288" width="9.140625" style="2"/>
    <col min="12289" max="12289" width="2.140625" style="2" customWidth="1"/>
    <col min="12290" max="12290" width="50.140625" style="2" customWidth="1"/>
    <col min="12291" max="12299" width="8.140625" style="2" bestFit="1" customWidth="1"/>
    <col min="12300" max="12300" width="9.28515625" style="2" bestFit="1" customWidth="1"/>
    <col min="12301" max="12302" width="8.140625" style="2" bestFit="1" customWidth="1"/>
    <col min="12303" max="12303" width="9.140625" style="2" customWidth="1"/>
    <col min="12304" max="12304" width="9.42578125" style="2" bestFit="1" customWidth="1"/>
    <col min="12305" max="12544" width="9.140625" style="2"/>
    <col min="12545" max="12545" width="2.140625" style="2" customWidth="1"/>
    <col min="12546" max="12546" width="50.140625" style="2" customWidth="1"/>
    <col min="12547" max="12555" width="8.140625" style="2" bestFit="1" customWidth="1"/>
    <col min="12556" max="12556" width="9.28515625" style="2" bestFit="1" customWidth="1"/>
    <col min="12557" max="12558" width="8.140625" style="2" bestFit="1" customWidth="1"/>
    <col min="12559" max="12559" width="9.140625" style="2" customWidth="1"/>
    <col min="12560" max="12560" width="9.42578125" style="2" bestFit="1" customWidth="1"/>
    <col min="12561" max="12800" width="9.140625" style="2"/>
    <col min="12801" max="12801" width="2.140625" style="2" customWidth="1"/>
    <col min="12802" max="12802" width="50.140625" style="2" customWidth="1"/>
    <col min="12803" max="12811" width="8.140625" style="2" bestFit="1" customWidth="1"/>
    <col min="12812" max="12812" width="9.28515625" style="2" bestFit="1" customWidth="1"/>
    <col min="12813" max="12814" width="8.140625" style="2" bestFit="1" customWidth="1"/>
    <col min="12815" max="12815" width="9.140625" style="2" customWidth="1"/>
    <col min="12816" max="12816" width="9.42578125" style="2" bestFit="1" customWidth="1"/>
    <col min="12817" max="13056" width="9.140625" style="2"/>
    <col min="13057" max="13057" width="2.140625" style="2" customWidth="1"/>
    <col min="13058" max="13058" width="50.140625" style="2" customWidth="1"/>
    <col min="13059" max="13067" width="8.140625" style="2" bestFit="1" customWidth="1"/>
    <col min="13068" max="13068" width="9.28515625" style="2" bestFit="1" customWidth="1"/>
    <col min="13069" max="13070" width="8.140625" style="2" bestFit="1" customWidth="1"/>
    <col min="13071" max="13071" width="9.140625" style="2" customWidth="1"/>
    <col min="13072" max="13072" width="9.42578125" style="2" bestFit="1" customWidth="1"/>
    <col min="13073" max="13312" width="9.140625" style="2"/>
    <col min="13313" max="13313" width="2.140625" style="2" customWidth="1"/>
    <col min="13314" max="13314" width="50.140625" style="2" customWidth="1"/>
    <col min="13315" max="13323" width="8.140625" style="2" bestFit="1" customWidth="1"/>
    <col min="13324" max="13324" width="9.28515625" style="2" bestFit="1" customWidth="1"/>
    <col min="13325" max="13326" width="8.140625" style="2" bestFit="1" customWidth="1"/>
    <col min="13327" max="13327" width="9.140625" style="2" customWidth="1"/>
    <col min="13328" max="13328" width="9.42578125" style="2" bestFit="1" customWidth="1"/>
    <col min="13329" max="13568" width="9.140625" style="2"/>
    <col min="13569" max="13569" width="2.140625" style="2" customWidth="1"/>
    <col min="13570" max="13570" width="50.140625" style="2" customWidth="1"/>
    <col min="13571" max="13579" width="8.140625" style="2" bestFit="1" customWidth="1"/>
    <col min="13580" max="13580" width="9.28515625" style="2" bestFit="1" customWidth="1"/>
    <col min="13581" max="13582" width="8.140625" style="2" bestFit="1" customWidth="1"/>
    <col min="13583" max="13583" width="9.140625" style="2" customWidth="1"/>
    <col min="13584" max="13584" width="9.42578125" style="2" bestFit="1" customWidth="1"/>
    <col min="13585" max="13824" width="9.140625" style="2"/>
    <col min="13825" max="13825" width="2.140625" style="2" customWidth="1"/>
    <col min="13826" max="13826" width="50.140625" style="2" customWidth="1"/>
    <col min="13827" max="13835" width="8.140625" style="2" bestFit="1" customWidth="1"/>
    <col min="13836" max="13836" width="9.28515625" style="2" bestFit="1" customWidth="1"/>
    <col min="13837" max="13838" width="8.140625" style="2" bestFit="1" customWidth="1"/>
    <col min="13839" max="13839" width="9.140625" style="2" customWidth="1"/>
    <col min="13840" max="13840" width="9.42578125" style="2" bestFit="1" customWidth="1"/>
    <col min="13841" max="14080" width="9.140625" style="2"/>
    <col min="14081" max="14081" width="2.140625" style="2" customWidth="1"/>
    <col min="14082" max="14082" width="50.140625" style="2" customWidth="1"/>
    <col min="14083" max="14091" width="8.140625" style="2" bestFit="1" customWidth="1"/>
    <col min="14092" max="14092" width="9.28515625" style="2" bestFit="1" customWidth="1"/>
    <col min="14093" max="14094" width="8.140625" style="2" bestFit="1" customWidth="1"/>
    <col min="14095" max="14095" width="9.140625" style="2" customWidth="1"/>
    <col min="14096" max="14096" width="9.42578125" style="2" bestFit="1" customWidth="1"/>
    <col min="14097" max="14336" width="9.140625" style="2"/>
    <col min="14337" max="14337" width="2.140625" style="2" customWidth="1"/>
    <col min="14338" max="14338" width="50.140625" style="2" customWidth="1"/>
    <col min="14339" max="14347" width="8.140625" style="2" bestFit="1" customWidth="1"/>
    <col min="14348" max="14348" width="9.28515625" style="2" bestFit="1" customWidth="1"/>
    <col min="14349" max="14350" width="8.140625" style="2" bestFit="1" customWidth="1"/>
    <col min="14351" max="14351" width="9.140625" style="2" customWidth="1"/>
    <col min="14352" max="14352" width="9.42578125" style="2" bestFit="1" customWidth="1"/>
    <col min="14353" max="14592" width="9.140625" style="2"/>
    <col min="14593" max="14593" width="2.140625" style="2" customWidth="1"/>
    <col min="14594" max="14594" width="50.140625" style="2" customWidth="1"/>
    <col min="14595" max="14603" width="8.140625" style="2" bestFit="1" customWidth="1"/>
    <col min="14604" max="14604" width="9.28515625" style="2" bestFit="1" customWidth="1"/>
    <col min="14605" max="14606" width="8.140625" style="2" bestFit="1" customWidth="1"/>
    <col min="14607" max="14607" width="9.140625" style="2" customWidth="1"/>
    <col min="14608" max="14608" width="9.42578125" style="2" bestFit="1" customWidth="1"/>
    <col min="14609" max="14848" width="9.140625" style="2"/>
    <col min="14849" max="14849" width="2.140625" style="2" customWidth="1"/>
    <col min="14850" max="14850" width="50.140625" style="2" customWidth="1"/>
    <col min="14851" max="14859" width="8.140625" style="2" bestFit="1" customWidth="1"/>
    <col min="14860" max="14860" width="9.28515625" style="2" bestFit="1" customWidth="1"/>
    <col min="14861" max="14862" width="8.140625" style="2" bestFit="1" customWidth="1"/>
    <col min="14863" max="14863" width="9.140625" style="2" customWidth="1"/>
    <col min="14864" max="14864" width="9.42578125" style="2" bestFit="1" customWidth="1"/>
    <col min="14865" max="15104" width="9.140625" style="2"/>
    <col min="15105" max="15105" width="2.140625" style="2" customWidth="1"/>
    <col min="15106" max="15106" width="50.140625" style="2" customWidth="1"/>
    <col min="15107" max="15115" width="8.140625" style="2" bestFit="1" customWidth="1"/>
    <col min="15116" max="15116" width="9.28515625" style="2" bestFit="1" customWidth="1"/>
    <col min="15117" max="15118" width="8.140625" style="2" bestFit="1" customWidth="1"/>
    <col min="15119" max="15119" width="9.140625" style="2" customWidth="1"/>
    <col min="15120" max="15120" width="9.42578125" style="2" bestFit="1" customWidth="1"/>
    <col min="15121" max="15360" width="9.140625" style="2"/>
    <col min="15361" max="15361" width="2.140625" style="2" customWidth="1"/>
    <col min="15362" max="15362" width="50.140625" style="2" customWidth="1"/>
    <col min="15363" max="15371" width="8.140625" style="2" bestFit="1" customWidth="1"/>
    <col min="15372" max="15372" width="9.28515625" style="2" bestFit="1" customWidth="1"/>
    <col min="15373" max="15374" width="8.140625" style="2" bestFit="1" customWidth="1"/>
    <col min="15375" max="15375" width="9.140625" style="2" customWidth="1"/>
    <col min="15376" max="15376" width="9.42578125" style="2" bestFit="1" customWidth="1"/>
    <col min="15377" max="15616" width="9.140625" style="2"/>
    <col min="15617" max="15617" width="2.140625" style="2" customWidth="1"/>
    <col min="15618" max="15618" width="50.140625" style="2" customWidth="1"/>
    <col min="15619" max="15627" width="8.140625" style="2" bestFit="1" customWidth="1"/>
    <col min="15628" max="15628" width="9.28515625" style="2" bestFit="1" customWidth="1"/>
    <col min="15629" max="15630" width="8.140625" style="2" bestFit="1" customWidth="1"/>
    <col min="15631" max="15631" width="9.140625" style="2" customWidth="1"/>
    <col min="15632" max="15632" width="9.42578125" style="2" bestFit="1" customWidth="1"/>
    <col min="15633" max="15872" width="9.140625" style="2"/>
    <col min="15873" max="15873" width="2.140625" style="2" customWidth="1"/>
    <col min="15874" max="15874" width="50.140625" style="2" customWidth="1"/>
    <col min="15875" max="15883" width="8.140625" style="2" bestFit="1" customWidth="1"/>
    <col min="15884" max="15884" width="9.28515625" style="2" bestFit="1" customWidth="1"/>
    <col min="15885" max="15886" width="8.140625" style="2" bestFit="1" customWidth="1"/>
    <col min="15887" max="15887" width="9.140625" style="2" customWidth="1"/>
    <col min="15888" max="15888" width="9.42578125" style="2" bestFit="1" customWidth="1"/>
    <col min="15889" max="16128" width="9.140625" style="2"/>
    <col min="16129" max="16129" width="2.140625" style="2" customWidth="1"/>
    <col min="16130" max="16130" width="50.140625" style="2" customWidth="1"/>
    <col min="16131" max="16139" width="8.140625" style="2" bestFit="1" customWidth="1"/>
    <col min="16140" max="16140" width="9.28515625" style="2" bestFit="1" customWidth="1"/>
    <col min="16141" max="16142" width="8.140625" style="2" bestFit="1" customWidth="1"/>
    <col min="16143" max="16143" width="9.140625" style="2" customWidth="1"/>
    <col min="16144" max="16144" width="9.42578125" style="2" bestFit="1" customWidth="1"/>
    <col min="16145" max="16384" width="9.140625" style="2"/>
  </cols>
  <sheetData>
    <row r="1" spans="1:16" ht="15" customHeight="1" x14ac:dyDescent="0.25">
      <c r="A1" s="1" t="s">
        <v>0</v>
      </c>
      <c r="B1" s="1"/>
      <c r="C1" s="1"/>
    </row>
    <row r="2" spans="1:16" ht="15" customHeight="1" x14ac:dyDescent="0.25">
      <c r="A2" s="1" t="s">
        <v>1</v>
      </c>
      <c r="B2" s="1"/>
      <c r="C2" s="1"/>
    </row>
    <row r="3" spans="1:16" ht="15" customHeight="1" x14ac:dyDescent="0.25">
      <c r="A3" s="315" t="s">
        <v>439</v>
      </c>
      <c r="B3" s="315"/>
      <c r="C3" s="315"/>
    </row>
    <row r="4" spans="1:16" ht="15" customHeight="1" x14ac:dyDescent="0.2">
      <c r="A4" s="2" t="s">
        <v>3</v>
      </c>
    </row>
    <row r="6" spans="1:16" ht="25.5" customHeight="1" thickBot="1" x14ac:dyDescent="0.25">
      <c r="A6" s="325" t="s">
        <v>5</v>
      </c>
      <c r="B6" s="326"/>
      <c r="C6" s="135" t="s">
        <v>7</v>
      </c>
      <c r="D6" s="135" t="s">
        <v>8</v>
      </c>
      <c r="E6" s="135" t="s">
        <v>412</v>
      </c>
      <c r="F6" s="135" t="s">
        <v>10</v>
      </c>
      <c r="G6" s="135" t="s">
        <v>11</v>
      </c>
      <c r="H6" s="135" t="s">
        <v>12</v>
      </c>
      <c r="I6" s="135" t="s">
        <v>13</v>
      </c>
      <c r="J6" s="135" t="s">
        <v>14</v>
      </c>
      <c r="K6" s="135" t="s">
        <v>15</v>
      </c>
      <c r="L6" s="135" t="s">
        <v>16</v>
      </c>
      <c r="M6" s="135" t="s">
        <v>17</v>
      </c>
      <c r="N6" s="135" t="s">
        <v>18</v>
      </c>
      <c r="O6" s="136" t="s">
        <v>19</v>
      </c>
    </row>
    <row r="7" spans="1:16" ht="15.75" thickTop="1" x14ac:dyDescent="0.25">
      <c r="A7" s="24"/>
      <c r="B7" s="24"/>
      <c r="C7" s="24"/>
    </row>
    <row r="8" spans="1:16" s="4" customFormat="1" ht="15" customHeight="1" x14ac:dyDescent="0.25">
      <c r="A8" s="3" t="s">
        <v>20</v>
      </c>
      <c r="C8" s="5">
        <v>267.59000000000003</v>
      </c>
      <c r="D8" s="5">
        <v>895.5100000000001</v>
      </c>
      <c r="E8" s="5">
        <v>281.68000000000006</v>
      </c>
      <c r="F8" s="5">
        <v>308.70000000000005</v>
      </c>
      <c r="G8" s="5">
        <v>385.21</v>
      </c>
      <c r="H8" s="5">
        <v>343.10999999999996</v>
      </c>
      <c r="I8" s="5">
        <v>292.14999999999998</v>
      </c>
      <c r="J8" s="5">
        <v>616.0200000000001</v>
      </c>
      <c r="K8" s="5">
        <v>383.89</v>
      </c>
      <c r="L8" s="5">
        <v>2536.25</v>
      </c>
      <c r="M8" s="5">
        <v>319.61</v>
      </c>
      <c r="N8" s="5">
        <v>504.38</v>
      </c>
      <c r="O8" s="21">
        <v>7134.1</v>
      </c>
      <c r="P8" s="5"/>
    </row>
    <row r="9" spans="1:16" ht="15" customHeight="1" x14ac:dyDescent="0.2">
      <c r="B9" s="2" t="s">
        <v>239</v>
      </c>
      <c r="C9" s="7">
        <v>1.06</v>
      </c>
      <c r="D9" s="7">
        <v>1.55</v>
      </c>
      <c r="E9" s="7">
        <v>1.41</v>
      </c>
      <c r="F9" s="7">
        <v>0.79</v>
      </c>
      <c r="G9" s="7">
        <v>1.07</v>
      </c>
      <c r="H9" s="7">
        <v>0.96</v>
      </c>
      <c r="I9" s="7">
        <v>0.69</v>
      </c>
      <c r="J9" s="7">
        <v>1.26</v>
      </c>
      <c r="K9" s="7">
        <v>0.59</v>
      </c>
      <c r="L9" s="7">
        <v>2.12</v>
      </c>
      <c r="M9" s="7">
        <v>1.37</v>
      </c>
      <c r="N9" s="7">
        <v>1.1399999999999999</v>
      </c>
      <c r="O9" s="22">
        <v>14.010000000000002</v>
      </c>
    </row>
    <row r="10" spans="1:16" ht="15" customHeight="1" x14ac:dyDescent="0.2">
      <c r="B10" s="2" t="s">
        <v>240</v>
      </c>
      <c r="C10" s="7">
        <v>1.9</v>
      </c>
      <c r="D10" s="7">
        <v>2.0099999999999998</v>
      </c>
      <c r="E10" s="7">
        <v>8.91</v>
      </c>
      <c r="F10" s="7">
        <v>0.96</v>
      </c>
      <c r="G10" s="7">
        <v>0.77</v>
      </c>
      <c r="H10" s="7">
        <v>1.02</v>
      </c>
      <c r="I10" s="7">
        <v>3.25</v>
      </c>
      <c r="J10" s="7">
        <v>2.15</v>
      </c>
      <c r="K10" s="7">
        <v>1.63</v>
      </c>
      <c r="L10" s="7">
        <v>2.54</v>
      </c>
      <c r="M10" s="7">
        <v>3.34</v>
      </c>
      <c r="N10" s="7">
        <v>1.83</v>
      </c>
      <c r="O10" s="22">
        <v>30.309999999999995</v>
      </c>
    </row>
    <row r="11" spans="1:16" ht="15" customHeight="1" x14ac:dyDescent="0.2">
      <c r="B11" s="2" t="s">
        <v>241</v>
      </c>
      <c r="C11" s="7">
        <v>1.24</v>
      </c>
      <c r="D11" s="7">
        <v>2.6</v>
      </c>
      <c r="E11" s="7">
        <v>1.7</v>
      </c>
      <c r="F11" s="7">
        <v>1.79</v>
      </c>
      <c r="G11" s="7">
        <v>2.4300000000000002</v>
      </c>
      <c r="H11" s="7">
        <v>5.46</v>
      </c>
      <c r="I11" s="7">
        <v>3.27</v>
      </c>
      <c r="J11" s="7">
        <v>3.44</v>
      </c>
      <c r="K11" s="7">
        <v>3.42</v>
      </c>
      <c r="L11" s="7">
        <v>3.26</v>
      </c>
      <c r="M11" s="7">
        <v>2.44</v>
      </c>
      <c r="N11" s="7">
        <v>1.93</v>
      </c>
      <c r="O11" s="22">
        <v>32.980000000000004</v>
      </c>
    </row>
    <row r="12" spans="1:16" ht="15" customHeight="1" x14ac:dyDescent="0.2">
      <c r="B12" s="2" t="s">
        <v>242</v>
      </c>
      <c r="C12" s="7">
        <v>1.88</v>
      </c>
      <c r="D12" s="7">
        <v>2.93</v>
      </c>
      <c r="E12" s="7">
        <v>2.46</v>
      </c>
      <c r="F12" s="7">
        <v>1.5</v>
      </c>
      <c r="G12" s="7">
        <v>2.2000000000000002</v>
      </c>
      <c r="H12" s="7">
        <v>2.13</v>
      </c>
      <c r="I12" s="7">
        <v>2.5</v>
      </c>
      <c r="J12" s="7">
        <v>1.77</v>
      </c>
      <c r="K12" s="7">
        <v>1.97</v>
      </c>
      <c r="L12" s="7">
        <v>2.29</v>
      </c>
      <c r="M12" s="7">
        <v>2.4</v>
      </c>
      <c r="N12" s="7">
        <v>1.63</v>
      </c>
      <c r="O12" s="22">
        <v>25.659999999999993</v>
      </c>
    </row>
    <row r="13" spans="1:16" ht="15" customHeight="1" x14ac:dyDescent="0.2">
      <c r="B13" s="2" t="s">
        <v>243</v>
      </c>
      <c r="C13" s="7">
        <v>7.17</v>
      </c>
      <c r="D13" s="7">
        <v>9.31</v>
      </c>
      <c r="E13" s="7">
        <v>12.31</v>
      </c>
      <c r="F13" s="7">
        <v>4.3499999999999996</v>
      </c>
      <c r="G13" s="7">
        <v>8.0299999999999994</v>
      </c>
      <c r="H13" s="7">
        <v>7.83</v>
      </c>
      <c r="I13" s="7">
        <v>5.5</v>
      </c>
      <c r="J13" s="7">
        <v>4.24</v>
      </c>
      <c r="K13" s="7">
        <v>31.52</v>
      </c>
      <c r="L13" s="7">
        <v>690.45</v>
      </c>
      <c r="M13" s="7">
        <v>5.73</v>
      </c>
      <c r="N13" s="7">
        <v>260.75</v>
      </c>
      <c r="O13" s="22">
        <v>1047.19</v>
      </c>
    </row>
    <row r="14" spans="1:16" ht="15" customHeight="1" x14ac:dyDescent="0.2">
      <c r="B14" s="2" t="s">
        <v>244</v>
      </c>
      <c r="C14" s="7">
        <v>0.33</v>
      </c>
      <c r="D14" s="7">
        <v>1.26</v>
      </c>
      <c r="E14" s="7">
        <v>1.89</v>
      </c>
      <c r="F14" s="7">
        <v>0.76</v>
      </c>
      <c r="G14" s="7">
        <v>0.56999999999999995</v>
      </c>
      <c r="H14" s="7">
        <v>0.38</v>
      </c>
      <c r="I14" s="7">
        <v>0.23</v>
      </c>
      <c r="J14" s="7">
        <v>0.32</v>
      </c>
      <c r="K14" s="7">
        <v>0.3</v>
      </c>
      <c r="L14" s="7">
        <v>0.32</v>
      </c>
      <c r="M14" s="7">
        <v>0.35</v>
      </c>
      <c r="N14" s="7">
        <v>0.05</v>
      </c>
      <c r="O14" s="22">
        <v>6.7600000000000007</v>
      </c>
    </row>
    <row r="15" spans="1:16" ht="15" customHeight="1" x14ac:dyDescent="0.2">
      <c r="B15" s="2" t="s">
        <v>246</v>
      </c>
      <c r="C15" s="7">
        <v>7.46</v>
      </c>
      <c r="D15" s="7">
        <v>8.98</v>
      </c>
      <c r="E15" s="7">
        <v>5.65</v>
      </c>
      <c r="F15" s="7">
        <v>7.57</v>
      </c>
      <c r="G15" s="7">
        <v>6.74</v>
      </c>
      <c r="H15" s="7">
        <v>7.78</v>
      </c>
      <c r="I15" s="7">
        <v>8.82</v>
      </c>
      <c r="J15" s="7">
        <v>3.49</v>
      </c>
      <c r="K15" s="7">
        <v>6.52</v>
      </c>
      <c r="L15" s="7">
        <v>6.63</v>
      </c>
      <c r="M15" s="7">
        <v>6.95</v>
      </c>
      <c r="N15" s="7">
        <v>9.39</v>
      </c>
      <c r="O15" s="22">
        <v>85.98</v>
      </c>
    </row>
    <row r="16" spans="1:16" ht="15" customHeight="1" x14ac:dyDescent="0.2">
      <c r="B16" s="2" t="s">
        <v>247</v>
      </c>
      <c r="C16" s="7">
        <v>0.01</v>
      </c>
      <c r="D16" s="7">
        <v>0.02</v>
      </c>
      <c r="E16" s="7">
        <v>0.02</v>
      </c>
      <c r="F16" s="7">
        <v>0.11</v>
      </c>
      <c r="G16" s="7">
        <v>0.05</v>
      </c>
      <c r="H16" s="7">
        <v>0.06</v>
      </c>
      <c r="I16" s="7">
        <v>0.13</v>
      </c>
      <c r="J16" s="7">
        <v>0.03</v>
      </c>
      <c r="K16" s="7">
        <v>0.01</v>
      </c>
      <c r="L16" s="7">
        <v>0.01</v>
      </c>
      <c r="M16" s="7">
        <v>0.01</v>
      </c>
      <c r="N16" s="7">
        <v>0.01</v>
      </c>
      <c r="O16" s="22">
        <v>0.47000000000000008</v>
      </c>
    </row>
    <row r="17" spans="1:15" ht="15" customHeight="1" x14ac:dyDescent="0.2">
      <c r="B17" s="2" t="s">
        <v>248</v>
      </c>
      <c r="C17" s="7">
        <v>0</v>
      </c>
      <c r="D17" s="7">
        <v>0.01</v>
      </c>
      <c r="E17" s="7">
        <v>0.02</v>
      </c>
      <c r="F17" s="7">
        <v>0</v>
      </c>
      <c r="G17" s="7">
        <v>0.09</v>
      </c>
      <c r="H17" s="7">
        <v>0.1</v>
      </c>
      <c r="I17" s="7">
        <v>0.09</v>
      </c>
      <c r="J17" s="7">
        <v>0</v>
      </c>
      <c r="K17" s="7">
        <v>0</v>
      </c>
      <c r="L17" s="7">
        <v>0.01</v>
      </c>
      <c r="M17" s="7">
        <v>0.02</v>
      </c>
      <c r="N17" s="7">
        <v>0</v>
      </c>
      <c r="O17" s="22">
        <v>0.34</v>
      </c>
    </row>
    <row r="18" spans="1:15" ht="15" customHeight="1" x14ac:dyDescent="0.2">
      <c r="B18" s="2" t="s">
        <v>249</v>
      </c>
      <c r="C18" s="7">
        <v>0.37</v>
      </c>
      <c r="D18" s="7">
        <v>0.73</v>
      </c>
      <c r="E18" s="7">
        <v>0.43</v>
      </c>
      <c r="F18" s="7">
        <v>0.16</v>
      </c>
      <c r="G18" s="7">
        <v>0.18</v>
      </c>
      <c r="H18" s="7">
        <v>0.51</v>
      </c>
      <c r="I18" s="7">
        <v>0.52</v>
      </c>
      <c r="J18" s="7">
        <v>0.43</v>
      </c>
      <c r="K18" s="7">
        <v>0.48</v>
      </c>
      <c r="L18" s="7">
        <v>0.47</v>
      </c>
      <c r="M18" s="7">
        <v>0.43</v>
      </c>
      <c r="N18" s="7">
        <v>0.49</v>
      </c>
      <c r="O18" s="22">
        <v>5.2</v>
      </c>
    </row>
    <row r="19" spans="1:15" ht="15" customHeight="1" x14ac:dyDescent="0.2">
      <c r="B19" s="2" t="s">
        <v>251</v>
      </c>
      <c r="C19" s="7">
        <v>152.12</v>
      </c>
      <c r="D19" s="7">
        <v>789.33</v>
      </c>
      <c r="E19" s="7">
        <v>161.26</v>
      </c>
      <c r="F19" s="7">
        <v>207.11</v>
      </c>
      <c r="G19" s="7">
        <v>232.15</v>
      </c>
      <c r="H19" s="7">
        <v>209.82</v>
      </c>
      <c r="I19" s="7">
        <v>195.79</v>
      </c>
      <c r="J19" s="7">
        <v>532.48</v>
      </c>
      <c r="K19" s="7">
        <v>237.47</v>
      </c>
      <c r="L19" s="28">
        <v>1735.98</v>
      </c>
      <c r="M19" s="7">
        <v>235.25</v>
      </c>
      <c r="N19" s="7">
        <v>140.86000000000001</v>
      </c>
      <c r="O19" s="22">
        <v>4829.62</v>
      </c>
    </row>
    <row r="20" spans="1:15" ht="15" customHeight="1" x14ac:dyDescent="0.2">
      <c r="B20" s="2" t="s">
        <v>252</v>
      </c>
      <c r="C20" s="7">
        <v>1.86</v>
      </c>
      <c r="D20" s="7">
        <v>1.76</v>
      </c>
      <c r="E20" s="7">
        <v>0.34</v>
      </c>
      <c r="F20" s="7">
        <v>0.48</v>
      </c>
      <c r="G20" s="7">
        <v>0.18</v>
      </c>
      <c r="H20" s="7">
        <v>0.16</v>
      </c>
      <c r="I20" s="7">
        <v>0.14000000000000001</v>
      </c>
      <c r="J20" s="7">
        <v>0.12</v>
      </c>
      <c r="K20" s="7">
        <v>0.2</v>
      </c>
      <c r="L20" s="7">
        <v>0.14000000000000001</v>
      </c>
      <c r="M20" s="7">
        <v>0.83</v>
      </c>
      <c r="N20" s="7">
        <v>0.6</v>
      </c>
      <c r="O20" s="22">
        <v>6.8099999999999987</v>
      </c>
    </row>
    <row r="21" spans="1:15" ht="15" customHeight="1" x14ac:dyDescent="0.2">
      <c r="B21" s="2" t="s">
        <v>253</v>
      </c>
      <c r="C21" s="7">
        <v>12.89</v>
      </c>
      <c r="D21" s="7">
        <v>3.81</v>
      </c>
      <c r="E21" s="7">
        <v>3.64</v>
      </c>
      <c r="F21" s="7">
        <v>1.94</v>
      </c>
      <c r="G21" s="7">
        <v>5.5</v>
      </c>
      <c r="H21" s="7">
        <v>13.47</v>
      </c>
      <c r="I21" s="7">
        <v>18.82</v>
      </c>
      <c r="J21" s="7">
        <v>7.82</v>
      </c>
      <c r="K21" s="7">
        <v>11.17</v>
      </c>
      <c r="L21" s="7">
        <v>5.25</v>
      </c>
      <c r="M21" s="7">
        <v>6.54</v>
      </c>
      <c r="N21" s="7">
        <v>11.78</v>
      </c>
      <c r="O21" s="22">
        <v>102.63000000000001</v>
      </c>
    </row>
    <row r="22" spans="1:15" ht="15" customHeight="1" x14ac:dyDescent="0.2">
      <c r="B22" s="2" t="s">
        <v>255</v>
      </c>
      <c r="C22" s="7">
        <v>75.819999999999993</v>
      </c>
      <c r="D22" s="7">
        <v>65.44</v>
      </c>
      <c r="E22" s="7">
        <v>73.760000000000005</v>
      </c>
      <c r="F22" s="7">
        <v>74.900000000000006</v>
      </c>
      <c r="G22" s="7">
        <v>121.03</v>
      </c>
      <c r="H22" s="7">
        <v>90.03</v>
      </c>
      <c r="I22" s="7">
        <v>49.4</v>
      </c>
      <c r="J22" s="7">
        <v>54.46</v>
      </c>
      <c r="K22" s="7">
        <v>85.86</v>
      </c>
      <c r="L22" s="7">
        <v>82.38</v>
      </c>
      <c r="M22" s="7">
        <v>51.56</v>
      </c>
      <c r="N22" s="7">
        <v>69.75</v>
      </c>
      <c r="O22" s="22">
        <v>894.38999999999987</v>
      </c>
    </row>
    <row r="23" spans="1:15" ht="15" customHeight="1" x14ac:dyDescent="0.2">
      <c r="B23" s="2" t="s">
        <v>257</v>
      </c>
      <c r="C23" s="7">
        <v>0.06</v>
      </c>
      <c r="D23" s="7">
        <v>0.08</v>
      </c>
      <c r="E23" s="7">
        <v>0.16</v>
      </c>
      <c r="F23" s="7">
        <v>0.06</v>
      </c>
      <c r="G23" s="7">
        <v>7.0000000000000007E-2</v>
      </c>
      <c r="H23" s="7">
        <v>0.13</v>
      </c>
      <c r="I23" s="7">
        <v>0.06</v>
      </c>
      <c r="J23" s="7">
        <v>0.08</v>
      </c>
      <c r="K23" s="7">
        <v>0.05</v>
      </c>
      <c r="L23" s="7">
        <v>0.08</v>
      </c>
      <c r="M23" s="7">
        <v>0.06</v>
      </c>
      <c r="N23" s="7">
        <v>0.04</v>
      </c>
      <c r="O23" s="22">
        <v>0.93000000000000016</v>
      </c>
    </row>
    <row r="24" spans="1:15" ht="15" customHeight="1" x14ac:dyDescent="0.2">
      <c r="B24" s="2" t="s">
        <v>258</v>
      </c>
      <c r="C24" s="7">
        <v>0</v>
      </c>
      <c r="D24" s="7">
        <v>0</v>
      </c>
      <c r="E24" s="7">
        <v>0</v>
      </c>
      <c r="F24" s="7">
        <v>0</v>
      </c>
      <c r="G24" s="7">
        <v>0</v>
      </c>
      <c r="H24" s="7">
        <v>0</v>
      </c>
      <c r="I24" s="7">
        <v>0</v>
      </c>
      <c r="J24" s="7">
        <v>0</v>
      </c>
      <c r="K24" s="7">
        <v>0.02</v>
      </c>
      <c r="L24" s="7">
        <v>0</v>
      </c>
      <c r="M24" s="7">
        <v>0.02</v>
      </c>
      <c r="N24" s="7">
        <v>0</v>
      </c>
      <c r="O24" s="22">
        <v>0.04</v>
      </c>
    </row>
    <row r="25" spans="1:15" ht="15" customHeight="1" x14ac:dyDescent="0.2">
      <c r="B25" s="2" t="s">
        <v>259</v>
      </c>
      <c r="C25" s="7">
        <v>3.42</v>
      </c>
      <c r="D25" s="7">
        <v>5.69</v>
      </c>
      <c r="E25" s="7">
        <v>7.72</v>
      </c>
      <c r="F25" s="7">
        <v>6.22</v>
      </c>
      <c r="G25" s="7">
        <v>4.1500000000000004</v>
      </c>
      <c r="H25" s="7">
        <v>3.27</v>
      </c>
      <c r="I25" s="7">
        <v>2.94</v>
      </c>
      <c r="J25" s="7">
        <v>3.93</v>
      </c>
      <c r="K25" s="7">
        <v>2.68</v>
      </c>
      <c r="L25" s="7">
        <v>4.32</v>
      </c>
      <c r="M25" s="7">
        <v>2.31</v>
      </c>
      <c r="N25" s="7">
        <v>4.13</v>
      </c>
      <c r="O25" s="22">
        <v>50.78</v>
      </c>
    </row>
    <row r="26" spans="1:15" ht="15" customHeight="1" x14ac:dyDescent="0.2">
      <c r="B26" s="2" t="s">
        <v>6</v>
      </c>
      <c r="C26" s="7"/>
      <c r="D26" s="7"/>
      <c r="E26" s="7"/>
      <c r="I26" s="7"/>
      <c r="O26" s="22"/>
    </row>
    <row r="27" spans="1:15" s="4" customFormat="1" ht="15" customHeight="1" x14ac:dyDescent="0.25">
      <c r="A27" s="3" t="s">
        <v>46</v>
      </c>
      <c r="C27" s="5">
        <v>10.73</v>
      </c>
      <c r="D27" s="5">
        <v>26.2</v>
      </c>
      <c r="E27" s="5">
        <v>89.49</v>
      </c>
      <c r="F27" s="5">
        <v>12.04</v>
      </c>
      <c r="G27" s="5">
        <v>12.24</v>
      </c>
      <c r="H27" s="5">
        <v>35.299999999999997</v>
      </c>
      <c r="I27" s="5">
        <v>16.190000000000001</v>
      </c>
      <c r="J27" s="5">
        <v>1.1200000000000001</v>
      </c>
      <c r="K27" s="5">
        <v>25.020000000000003</v>
      </c>
      <c r="L27" s="5">
        <v>18.28</v>
      </c>
      <c r="M27" s="5">
        <v>15.7</v>
      </c>
      <c r="N27" s="5">
        <v>1.6400000000000001</v>
      </c>
      <c r="O27" s="21">
        <v>263.95</v>
      </c>
    </row>
    <row r="28" spans="1:15" ht="15" customHeight="1" x14ac:dyDescent="0.2">
      <c r="B28" s="2" t="s">
        <v>260</v>
      </c>
      <c r="C28" s="7">
        <v>0.01</v>
      </c>
      <c r="D28" s="7">
        <v>7.51</v>
      </c>
      <c r="E28" s="7">
        <v>77.099999999999994</v>
      </c>
      <c r="F28" s="7">
        <v>0</v>
      </c>
      <c r="G28" s="7">
        <v>0.01</v>
      </c>
      <c r="H28" s="7">
        <v>16.260000000000002</v>
      </c>
      <c r="I28" s="7">
        <v>3.9</v>
      </c>
      <c r="J28" s="7">
        <v>0.01</v>
      </c>
      <c r="K28" s="7">
        <v>0.03</v>
      </c>
      <c r="L28" s="7">
        <v>0</v>
      </c>
      <c r="M28" s="7">
        <v>0</v>
      </c>
      <c r="N28" s="7">
        <v>0.64</v>
      </c>
      <c r="O28" s="22">
        <v>105.47000000000001</v>
      </c>
    </row>
    <row r="29" spans="1:15" ht="15" customHeight="1" x14ac:dyDescent="0.2">
      <c r="B29" s="2" t="s">
        <v>261</v>
      </c>
      <c r="C29" s="7">
        <v>0.28999999999999998</v>
      </c>
      <c r="D29" s="7">
        <v>0.28000000000000003</v>
      </c>
      <c r="E29" s="7">
        <v>0.12</v>
      </c>
      <c r="F29" s="7">
        <v>0.12</v>
      </c>
      <c r="G29" s="7">
        <v>0.25</v>
      </c>
      <c r="H29" s="7">
        <v>0.47</v>
      </c>
      <c r="I29" s="7">
        <v>0.53</v>
      </c>
      <c r="J29" s="7">
        <v>0.67</v>
      </c>
      <c r="K29" s="7">
        <v>0.23</v>
      </c>
      <c r="L29" s="7">
        <v>1.1000000000000001</v>
      </c>
      <c r="M29" s="7">
        <v>0.27</v>
      </c>
      <c r="N29" s="7">
        <v>0.18</v>
      </c>
      <c r="O29" s="22">
        <v>4.51</v>
      </c>
    </row>
    <row r="30" spans="1:15" ht="15" customHeight="1" x14ac:dyDescent="0.2">
      <c r="B30" s="2" t="s">
        <v>262</v>
      </c>
      <c r="C30" s="7">
        <v>0.01</v>
      </c>
      <c r="D30" s="7">
        <v>0</v>
      </c>
      <c r="E30" s="7">
        <v>0</v>
      </c>
      <c r="F30" s="7">
        <v>0</v>
      </c>
      <c r="G30" s="7">
        <v>0</v>
      </c>
      <c r="H30" s="7">
        <v>0</v>
      </c>
      <c r="I30" s="7">
        <v>0</v>
      </c>
      <c r="J30" s="7">
        <v>0.02</v>
      </c>
      <c r="K30" s="7">
        <v>0</v>
      </c>
      <c r="L30" s="7">
        <v>0</v>
      </c>
      <c r="M30" s="7">
        <v>0</v>
      </c>
      <c r="N30" s="7">
        <v>0</v>
      </c>
      <c r="O30" s="22">
        <v>0.03</v>
      </c>
    </row>
    <row r="31" spans="1:15" ht="15" customHeight="1" x14ac:dyDescent="0.2">
      <c r="B31" s="2" t="s">
        <v>263</v>
      </c>
      <c r="C31" s="7">
        <v>10.029999999999999</v>
      </c>
      <c r="D31" s="7">
        <v>18.34</v>
      </c>
      <c r="E31" s="7">
        <v>12.27</v>
      </c>
      <c r="F31" s="7">
        <v>11.48</v>
      </c>
      <c r="G31" s="7">
        <v>11.98</v>
      </c>
      <c r="H31" s="7">
        <v>18.559999999999999</v>
      </c>
      <c r="I31" s="7">
        <v>11.75</v>
      </c>
      <c r="J31" s="7">
        <v>0.41</v>
      </c>
      <c r="K31" s="7">
        <v>24.1</v>
      </c>
      <c r="L31" s="7">
        <v>17.149999999999999</v>
      </c>
      <c r="M31" s="7">
        <v>15.42</v>
      </c>
      <c r="N31" s="7">
        <v>0.82</v>
      </c>
      <c r="O31" s="22">
        <v>152.31</v>
      </c>
    </row>
    <row r="32" spans="1:15" ht="15" customHeight="1" x14ac:dyDescent="0.2">
      <c r="B32" s="2" t="s">
        <v>265</v>
      </c>
      <c r="C32" s="7">
        <v>0.39</v>
      </c>
      <c r="D32" s="7">
        <v>7.0000000000000007E-2</v>
      </c>
      <c r="E32" s="7">
        <v>0</v>
      </c>
      <c r="F32" s="7">
        <v>0.44</v>
      </c>
      <c r="G32" s="7">
        <v>0</v>
      </c>
      <c r="H32" s="7">
        <v>0.01</v>
      </c>
      <c r="I32" s="7">
        <v>0.01</v>
      </c>
      <c r="J32" s="7">
        <v>0.01</v>
      </c>
      <c r="K32" s="7">
        <v>0.66</v>
      </c>
      <c r="L32" s="7">
        <v>0.03</v>
      </c>
      <c r="M32" s="7">
        <v>0.01</v>
      </c>
      <c r="N32" s="7">
        <v>0</v>
      </c>
      <c r="O32" s="22">
        <v>1.6300000000000001</v>
      </c>
    </row>
    <row r="33" spans="1:16" ht="15" customHeight="1" x14ac:dyDescent="0.2">
      <c r="C33" s="7"/>
      <c r="D33" s="7"/>
      <c r="E33" s="7"/>
      <c r="O33" s="22"/>
    </row>
    <row r="34" spans="1:16" s="4" customFormat="1" ht="15" customHeight="1" x14ac:dyDescent="0.25">
      <c r="A34" s="3" t="s">
        <v>54</v>
      </c>
      <c r="C34" s="5">
        <v>30.680000000000003</v>
      </c>
      <c r="D34" s="5">
        <v>29.250000000000004</v>
      </c>
      <c r="E34" s="5">
        <v>23.069999999999997</v>
      </c>
      <c r="F34" s="5">
        <v>19.079999999999998</v>
      </c>
      <c r="G34" s="5">
        <v>26.740000000000006</v>
      </c>
      <c r="H34" s="5">
        <v>20.459999999999997</v>
      </c>
      <c r="I34" s="5">
        <v>20.89</v>
      </c>
      <c r="J34" s="5">
        <v>22.119999999999997</v>
      </c>
      <c r="K34" s="5">
        <v>21.75</v>
      </c>
      <c r="L34" s="5">
        <v>23.220000000000002</v>
      </c>
      <c r="M34" s="5">
        <v>21.900000000000002</v>
      </c>
      <c r="N34" s="5">
        <v>22.439999999999998</v>
      </c>
      <c r="O34" s="21">
        <v>281.60000000000002</v>
      </c>
      <c r="P34" s="5"/>
    </row>
    <row r="35" spans="1:16" ht="15" customHeight="1" x14ac:dyDescent="0.2">
      <c r="B35" s="2" t="s">
        <v>267</v>
      </c>
      <c r="C35" s="7">
        <v>6.98</v>
      </c>
      <c r="D35" s="7">
        <v>4.1100000000000003</v>
      </c>
      <c r="E35" s="7">
        <v>5.4</v>
      </c>
      <c r="F35" s="7">
        <v>2.41</v>
      </c>
      <c r="G35" s="7">
        <v>10.08</v>
      </c>
      <c r="H35" s="7">
        <v>4.42</v>
      </c>
      <c r="I35" s="7">
        <v>4.99</v>
      </c>
      <c r="J35" s="7">
        <v>4.26</v>
      </c>
      <c r="K35" s="7">
        <v>4.46</v>
      </c>
      <c r="L35" s="7">
        <v>5.27</v>
      </c>
      <c r="M35" s="7">
        <v>2.64</v>
      </c>
      <c r="N35" s="7">
        <v>7.3</v>
      </c>
      <c r="O35" s="22">
        <v>62.320000000000007</v>
      </c>
    </row>
    <row r="36" spans="1:16" ht="15" customHeight="1" x14ac:dyDescent="0.2">
      <c r="B36" s="2" t="s">
        <v>268</v>
      </c>
      <c r="C36" s="7">
        <v>0</v>
      </c>
      <c r="D36" s="7">
        <v>0.12</v>
      </c>
      <c r="E36" s="7">
        <v>0</v>
      </c>
      <c r="F36" s="7">
        <v>0.04</v>
      </c>
      <c r="G36" s="7">
        <v>0.04</v>
      </c>
      <c r="H36" s="7">
        <v>0.01</v>
      </c>
      <c r="I36" s="7">
        <v>0</v>
      </c>
      <c r="J36" s="7">
        <v>0.05</v>
      </c>
      <c r="K36" s="7">
        <v>0</v>
      </c>
      <c r="L36" s="7">
        <v>0.02</v>
      </c>
      <c r="M36" s="7">
        <v>0</v>
      </c>
      <c r="N36" s="7">
        <v>0.02</v>
      </c>
      <c r="O36" s="22">
        <v>0.30000000000000004</v>
      </c>
    </row>
    <row r="37" spans="1:16" ht="15" customHeight="1" x14ac:dyDescent="0.2">
      <c r="B37" s="2" t="s">
        <v>269</v>
      </c>
      <c r="C37" s="7">
        <v>12.47</v>
      </c>
      <c r="D37" s="7">
        <v>15.91</v>
      </c>
      <c r="E37" s="7">
        <v>13.43</v>
      </c>
      <c r="F37" s="7">
        <v>12.24</v>
      </c>
      <c r="G37" s="7">
        <v>13.09</v>
      </c>
      <c r="H37" s="7">
        <v>12.41</v>
      </c>
      <c r="I37" s="7">
        <v>12.02</v>
      </c>
      <c r="J37" s="7">
        <v>12.59</v>
      </c>
      <c r="K37" s="7">
        <v>13.17</v>
      </c>
      <c r="L37" s="7">
        <v>13.1</v>
      </c>
      <c r="M37" s="7">
        <v>14.91</v>
      </c>
      <c r="N37" s="7">
        <v>10.35</v>
      </c>
      <c r="O37" s="22">
        <v>155.69</v>
      </c>
    </row>
    <row r="38" spans="1:16" ht="15" customHeight="1" x14ac:dyDescent="0.2">
      <c r="B38" s="2" t="s">
        <v>270</v>
      </c>
      <c r="C38" s="7">
        <v>9.02</v>
      </c>
      <c r="D38" s="7">
        <v>7.39</v>
      </c>
      <c r="E38" s="7">
        <v>2.5099999999999998</v>
      </c>
      <c r="F38" s="7">
        <v>3.68</v>
      </c>
      <c r="G38" s="7">
        <v>2.27</v>
      </c>
      <c r="H38" s="7">
        <v>2.4300000000000002</v>
      </c>
      <c r="I38" s="7">
        <v>2.72</v>
      </c>
      <c r="J38" s="7">
        <v>2.77</v>
      </c>
      <c r="K38" s="7">
        <v>2.6</v>
      </c>
      <c r="L38" s="7">
        <v>3.04</v>
      </c>
      <c r="M38" s="7">
        <v>2.76</v>
      </c>
      <c r="N38" s="7">
        <v>3.44</v>
      </c>
      <c r="O38" s="22">
        <v>44.629999999999995</v>
      </c>
    </row>
    <row r="39" spans="1:16" ht="15" customHeight="1" x14ac:dyDescent="0.2">
      <c r="B39" s="2" t="s">
        <v>271</v>
      </c>
      <c r="C39" s="7">
        <v>0.44</v>
      </c>
      <c r="D39" s="7">
        <v>0.48</v>
      </c>
      <c r="E39" s="7">
        <v>0.89</v>
      </c>
      <c r="F39" s="7">
        <v>0.27</v>
      </c>
      <c r="G39" s="7">
        <v>0.41</v>
      </c>
      <c r="H39" s="7">
        <v>0.46</v>
      </c>
      <c r="I39" s="7">
        <v>0.45</v>
      </c>
      <c r="J39" s="7">
        <v>1.2</v>
      </c>
      <c r="K39" s="7">
        <v>0.64</v>
      </c>
      <c r="L39" s="7">
        <v>0.79</v>
      </c>
      <c r="M39" s="7">
        <v>0.73</v>
      </c>
      <c r="N39" s="7">
        <v>0.47</v>
      </c>
      <c r="O39" s="22">
        <v>7.2299999999999995</v>
      </c>
    </row>
    <row r="40" spans="1:16" ht="15" customHeight="1" x14ac:dyDescent="0.2">
      <c r="B40" s="2" t="s">
        <v>272</v>
      </c>
      <c r="C40" s="7">
        <v>0.7</v>
      </c>
      <c r="D40" s="7">
        <v>0.26</v>
      </c>
      <c r="E40" s="7">
        <v>0.2</v>
      </c>
      <c r="F40" s="7">
        <v>7.0000000000000007E-2</v>
      </c>
      <c r="G40" s="7">
        <v>0.12</v>
      </c>
      <c r="H40" s="7">
        <v>0.18</v>
      </c>
      <c r="I40" s="7">
        <v>7.0000000000000007E-2</v>
      </c>
      <c r="J40" s="7">
        <v>0.13</v>
      </c>
      <c r="K40" s="7">
        <v>0.14000000000000001</v>
      </c>
      <c r="L40" s="7">
        <v>0.1</v>
      </c>
      <c r="M40" s="7">
        <v>0.19</v>
      </c>
      <c r="N40" s="7">
        <v>7.0000000000000007E-2</v>
      </c>
      <c r="O40" s="22">
        <v>2.23</v>
      </c>
    </row>
    <row r="41" spans="1:16" ht="15" customHeight="1" x14ac:dyDescent="0.2">
      <c r="B41" s="2" t="s">
        <v>273</v>
      </c>
      <c r="C41" s="7">
        <v>0</v>
      </c>
      <c r="D41" s="7">
        <v>0.28000000000000003</v>
      </c>
      <c r="E41" s="7">
        <v>0</v>
      </c>
      <c r="F41" s="7">
        <v>0.01</v>
      </c>
      <c r="G41" s="7">
        <v>0</v>
      </c>
      <c r="H41" s="7">
        <v>0</v>
      </c>
      <c r="I41" s="7">
        <v>0.01</v>
      </c>
      <c r="J41" s="7">
        <v>0</v>
      </c>
      <c r="K41" s="7">
        <v>0</v>
      </c>
      <c r="L41" s="7">
        <v>0.01</v>
      </c>
      <c r="M41" s="7">
        <v>0</v>
      </c>
      <c r="N41" s="7">
        <v>0.02</v>
      </c>
      <c r="O41" s="22">
        <v>0.33000000000000007</v>
      </c>
    </row>
    <row r="42" spans="1:16" ht="15" customHeight="1" x14ac:dyDescent="0.2">
      <c r="B42" s="2" t="s">
        <v>274</v>
      </c>
      <c r="C42" s="7">
        <v>0</v>
      </c>
      <c r="D42" s="7">
        <v>0.09</v>
      </c>
      <c r="E42" s="7">
        <v>0.14000000000000001</v>
      </c>
      <c r="F42" s="7">
        <v>0.06</v>
      </c>
      <c r="G42" s="7">
        <v>0.12</v>
      </c>
      <c r="H42" s="7">
        <v>7.0000000000000007E-2</v>
      </c>
      <c r="I42" s="7">
        <v>0.1</v>
      </c>
      <c r="J42" s="7">
        <v>0.11</v>
      </c>
      <c r="K42" s="7">
        <v>0.11</v>
      </c>
      <c r="L42" s="7">
        <v>0.08</v>
      </c>
      <c r="M42" s="7">
        <v>0.13</v>
      </c>
      <c r="N42" s="7">
        <v>0</v>
      </c>
      <c r="O42" s="22">
        <v>1.01</v>
      </c>
    </row>
    <row r="43" spans="1:16" ht="15" customHeight="1" x14ac:dyDescent="0.2">
      <c r="B43" s="2" t="s">
        <v>275</v>
      </c>
      <c r="C43" s="7">
        <v>7.0000000000000007E-2</v>
      </c>
      <c r="D43" s="7">
        <v>0.22</v>
      </c>
      <c r="E43" s="7">
        <v>0.13</v>
      </c>
      <c r="F43" s="7">
        <v>0.08</v>
      </c>
      <c r="G43" s="7">
        <v>0.17</v>
      </c>
      <c r="H43" s="7">
        <v>0.24</v>
      </c>
      <c r="I43" s="7">
        <v>0.12</v>
      </c>
      <c r="J43" s="7">
        <v>0.14000000000000001</v>
      </c>
      <c r="K43" s="7">
        <v>0.15</v>
      </c>
      <c r="L43" s="7">
        <v>0.14000000000000001</v>
      </c>
      <c r="M43" s="7">
        <v>0.21</v>
      </c>
      <c r="N43" s="7">
        <v>0.11</v>
      </c>
      <c r="O43" s="22">
        <v>1.78</v>
      </c>
    </row>
    <row r="44" spans="1:16" ht="15" customHeight="1" x14ac:dyDescent="0.2">
      <c r="B44" s="2" t="s">
        <v>277</v>
      </c>
      <c r="C44" s="7">
        <v>0.18</v>
      </c>
      <c r="D44" s="7">
        <v>0.38</v>
      </c>
      <c r="E44" s="7">
        <v>0.21</v>
      </c>
      <c r="F44" s="7">
        <v>0.22</v>
      </c>
      <c r="G44" s="7">
        <v>0.38</v>
      </c>
      <c r="H44" s="7">
        <v>0.22</v>
      </c>
      <c r="I44" s="7">
        <v>0.28000000000000003</v>
      </c>
      <c r="J44" s="7">
        <v>0.87</v>
      </c>
      <c r="K44" s="7">
        <v>0.27</v>
      </c>
      <c r="L44" s="7">
        <v>0.44</v>
      </c>
      <c r="M44" s="7">
        <v>0.33</v>
      </c>
      <c r="N44" s="7">
        <v>0.52</v>
      </c>
      <c r="O44" s="22">
        <v>4.3000000000000007</v>
      </c>
    </row>
    <row r="45" spans="1:16" ht="15" customHeight="1" x14ac:dyDescent="0.2">
      <c r="B45" s="2" t="s">
        <v>278</v>
      </c>
      <c r="C45" s="7">
        <v>0.02</v>
      </c>
      <c r="D45" s="7">
        <v>0</v>
      </c>
      <c r="E45" s="7">
        <v>0</v>
      </c>
      <c r="F45" s="7">
        <v>0</v>
      </c>
      <c r="G45" s="7">
        <v>0.01</v>
      </c>
      <c r="H45" s="7">
        <v>0</v>
      </c>
      <c r="I45" s="7">
        <v>0.13</v>
      </c>
      <c r="J45" s="7">
        <v>0</v>
      </c>
      <c r="K45" s="7">
        <v>0.18</v>
      </c>
      <c r="L45" s="7">
        <v>0.23</v>
      </c>
      <c r="M45" s="7">
        <v>0</v>
      </c>
      <c r="N45" s="7">
        <v>0.14000000000000001</v>
      </c>
      <c r="O45" s="22">
        <v>0.71</v>
      </c>
    </row>
    <row r="46" spans="1:16" ht="15" customHeight="1" x14ac:dyDescent="0.2">
      <c r="B46" s="2" t="s">
        <v>416</v>
      </c>
      <c r="C46" s="7">
        <v>0</v>
      </c>
      <c r="D46" s="7">
        <v>0</v>
      </c>
      <c r="E46" s="7">
        <v>0.16</v>
      </c>
      <c r="F46" s="7">
        <v>0</v>
      </c>
      <c r="G46" s="7">
        <v>0.05</v>
      </c>
      <c r="H46" s="7">
        <v>0.02</v>
      </c>
      <c r="I46" s="7">
        <v>0</v>
      </c>
      <c r="J46" s="7">
        <v>0</v>
      </c>
      <c r="K46" s="7">
        <v>0.03</v>
      </c>
      <c r="L46" s="7">
        <v>0</v>
      </c>
      <c r="M46" s="7">
        <v>0</v>
      </c>
      <c r="N46" s="7">
        <v>0</v>
      </c>
      <c r="O46" s="22">
        <v>0.26</v>
      </c>
    </row>
    <row r="47" spans="1:16" ht="15" customHeight="1" x14ac:dyDescent="0.2">
      <c r="B47" s="2" t="s">
        <v>280</v>
      </c>
      <c r="C47" s="7">
        <v>0.8</v>
      </c>
      <c r="D47" s="7">
        <v>0.01</v>
      </c>
      <c r="E47" s="7">
        <v>0</v>
      </c>
      <c r="F47" s="7">
        <v>0</v>
      </c>
      <c r="G47" s="7">
        <v>0</v>
      </c>
      <c r="H47" s="7">
        <v>0</v>
      </c>
      <c r="I47" s="7">
        <v>0</v>
      </c>
      <c r="J47" s="7">
        <v>0</v>
      </c>
      <c r="K47" s="7">
        <v>0</v>
      </c>
      <c r="L47" s="7">
        <v>0</v>
      </c>
      <c r="M47" s="7">
        <v>0</v>
      </c>
      <c r="N47" s="7">
        <v>0</v>
      </c>
      <c r="O47" s="22">
        <v>0.81</v>
      </c>
    </row>
    <row r="48" spans="1:16" ht="15" customHeight="1" x14ac:dyDescent="0.2">
      <c r="C48" s="7"/>
      <c r="D48" s="7"/>
      <c r="E48" s="7"/>
      <c r="F48" s="7"/>
      <c r="G48" s="22"/>
      <c r="H48" s="7"/>
      <c r="I48" s="7"/>
      <c r="O48" s="22"/>
    </row>
    <row r="49" spans="1:16" s="4" customFormat="1" ht="15" customHeight="1" x14ac:dyDescent="0.25">
      <c r="A49" s="3" t="s">
        <v>69</v>
      </c>
      <c r="C49" s="5">
        <v>0</v>
      </c>
      <c r="D49" s="5">
        <v>0.02</v>
      </c>
      <c r="E49" s="5">
        <v>0.95</v>
      </c>
      <c r="F49" s="5">
        <v>0.12</v>
      </c>
      <c r="G49" s="5">
        <v>0.02</v>
      </c>
      <c r="H49" s="5">
        <v>0.03</v>
      </c>
      <c r="I49" s="5">
        <v>0.01</v>
      </c>
      <c r="J49" s="5">
        <v>0</v>
      </c>
      <c r="K49" s="5">
        <v>0.01</v>
      </c>
      <c r="L49" s="5">
        <v>0.1</v>
      </c>
      <c r="M49" s="5">
        <v>0.05</v>
      </c>
      <c r="N49" s="5">
        <v>0.01</v>
      </c>
      <c r="O49" s="21">
        <v>1.32</v>
      </c>
    </row>
    <row r="50" spans="1:16" ht="15" customHeight="1" x14ac:dyDescent="0.2">
      <c r="B50" s="2" t="s">
        <v>281</v>
      </c>
      <c r="C50" s="7">
        <v>0</v>
      </c>
      <c r="D50" s="7">
        <v>0.02</v>
      </c>
      <c r="E50" s="7">
        <v>0.95</v>
      </c>
      <c r="F50" s="7">
        <v>0.12</v>
      </c>
      <c r="G50" s="7">
        <v>0.02</v>
      </c>
      <c r="H50" s="7">
        <v>0.03</v>
      </c>
      <c r="I50" s="7">
        <v>0.01</v>
      </c>
      <c r="J50" s="7">
        <v>0</v>
      </c>
      <c r="K50" s="7">
        <v>0.01</v>
      </c>
      <c r="L50" s="7">
        <v>0.1</v>
      </c>
      <c r="M50" s="7">
        <v>0.05</v>
      </c>
      <c r="N50" s="7">
        <v>0.01</v>
      </c>
      <c r="O50" s="22">
        <v>1.32</v>
      </c>
    </row>
    <row r="51" spans="1:16" ht="15" customHeight="1" x14ac:dyDescent="0.2">
      <c r="C51" s="7" t="s">
        <v>6</v>
      </c>
      <c r="D51" s="7" t="s">
        <v>6</v>
      </c>
      <c r="E51" s="7" t="s">
        <v>6</v>
      </c>
      <c r="O51" s="22"/>
    </row>
    <row r="52" spans="1:16" s="4" customFormat="1" ht="15" customHeight="1" x14ac:dyDescent="0.25">
      <c r="A52" s="3" t="s">
        <v>71</v>
      </c>
      <c r="C52" s="5">
        <v>3.99</v>
      </c>
      <c r="D52" s="5">
        <v>5.83</v>
      </c>
      <c r="E52" s="5">
        <v>5.5</v>
      </c>
      <c r="F52" s="5">
        <v>4.9399999999999995</v>
      </c>
      <c r="G52" s="5">
        <v>4.74</v>
      </c>
      <c r="H52" s="5">
        <v>6.74</v>
      </c>
      <c r="I52" s="5">
        <v>7.6499999999999995</v>
      </c>
      <c r="J52" s="5">
        <v>6.1899999999999995</v>
      </c>
      <c r="K52" s="5">
        <v>4.26</v>
      </c>
      <c r="L52" s="5">
        <v>9.34</v>
      </c>
      <c r="M52" s="5">
        <v>12.12</v>
      </c>
      <c r="N52" s="5">
        <v>4.47</v>
      </c>
      <c r="O52" s="21">
        <v>75.77</v>
      </c>
    </row>
    <row r="53" spans="1:16" ht="15" customHeight="1" x14ac:dyDescent="0.2">
      <c r="B53" s="2" t="s">
        <v>282</v>
      </c>
      <c r="C53" s="7">
        <v>3.97</v>
      </c>
      <c r="D53" s="7">
        <v>5.82</v>
      </c>
      <c r="E53" s="7">
        <v>5.48</v>
      </c>
      <c r="F53" s="7">
        <v>4.93</v>
      </c>
      <c r="G53" s="7">
        <v>4.7</v>
      </c>
      <c r="H53" s="7">
        <v>6.69</v>
      </c>
      <c r="I53" s="7">
        <v>7.63</v>
      </c>
      <c r="J53" s="7">
        <v>6.18</v>
      </c>
      <c r="K53" s="7">
        <v>4.25</v>
      </c>
      <c r="L53" s="7">
        <v>9.31</v>
      </c>
      <c r="M53" s="7">
        <v>12.11</v>
      </c>
      <c r="N53" s="7">
        <v>4.46</v>
      </c>
      <c r="O53" s="22">
        <v>75.53</v>
      </c>
    </row>
    <row r="54" spans="1:16" ht="15" customHeight="1" x14ac:dyDescent="0.2">
      <c r="B54" s="2" t="s">
        <v>285</v>
      </c>
      <c r="C54" s="7">
        <v>0.02</v>
      </c>
      <c r="D54" s="7">
        <v>0.01</v>
      </c>
      <c r="E54" s="7">
        <v>0.02</v>
      </c>
      <c r="F54" s="7">
        <v>0.01</v>
      </c>
      <c r="G54" s="7">
        <v>0.04</v>
      </c>
      <c r="H54" s="7">
        <v>0.05</v>
      </c>
      <c r="I54" s="7">
        <v>0.02</v>
      </c>
      <c r="J54" s="7">
        <v>0.01</v>
      </c>
      <c r="K54" s="7">
        <v>0.01</v>
      </c>
      <c r="L54" s="7">
        <v>0.03</v>
      </c>
      <c r="M54" s="7">
        <v>0.01</v>
      </c>
      <c r="N54" s="7">
        <v>0.01</v>
      </c>
      <c r="O54" s="22">
        <v>0.24000000000000005</v>
      </c>
    </row>
    <row r="55" spans="1:16" ht="15" customHeight="1" x14ac:dyDescent="0.2">
      <c r="C55" s="7" t="s">
        <v>6</v>
      </c>
      <c r="D55" s="7" t="s">
        <v>6</v>
      </c>
      <c r="E55" s="7" t="s">
        <v>6</v>
      </c>
      <c r="O55" s="22"/>
    </row>
    <row r="56" spans="1:16" s="4" customFormat="1" ht="15" customHeight="1" x14ac:dyDescent="0.25">
      <c r="A56" s="3" t="s">
        <v>75</v>
      </c>
      <c r="C56" s="5">
        <v>0</v>
      </c>
      <c r="D56" s="5">
        <v>0</v>
      </c>
      <c r="E56" s="5">
        <v>0</v>
      </c>
      <c r="F56" s="5">
        <v>0.02</v>
      </c>
      <c r="G56" s="5">
        <v>0</v>
      </c>
      <c r="H56" s="5">
        <v>0</v>
      </c>
      <c r="I56" s="5">
        <v>0</v>
      </c>
      <c r="J56" s="5">
        <v>0.02</v>
      </c>
      <c r="K56" s="5">
        <v>0</v>
      </c>
      <c r="L56" s="5">
        <v>0</v>
      </c>
      <c r="M56" s="5">
        <v>0</v>
      </c>
      <c r="N56" s="5">
        <v>0</v>
      </c>
      <c r="O56" s="21">
        <v>0.04</v>
      </c>
    </row>
    <row r="57" spans="1:16" ht="15" customHeight="1" x14ac:dyDescent="0.2">
      <c r="B57" s="2" t="s">
        <v>286</v>
      </c>
      <c r="C57" s="7">
        <v>0</v>
      </c>
      <c r="D57" s="7">
        <v>0</v>
      </c>
      <c r="E57" s="7">
        <v>0</v>
      </c>
      <c r="F57" s="7">
        <v>0</v>
      </c>
      <c r="G57" s="7">
        <v>0</v>
      </c>
      <c r="H57" s="7">
        <v>0</v>
      </c>
      <c r="I57" s="7">
        <v>0</v>
      </c>
      <c r="J57" s="7">
        <v>0</v>
      </c>
      <c r="K57" s="7">
        <v>0</v>
      </c>
      <c r="L57" s="7">
        <v>0</v>
      </c>
      <c r="M57" s="7">
        <v>0</v>
      </c>
      <c r="N57" s="7">
        <v>0</v>
      </c>
      <c r="O57" s="22">
        <v>0</v>
      </c>
    </row>
    <row r="58" spans="1:16" ht="15" customHeight="1" x14ac:dyDescent="0.2">
      <c r="B58" s="2" t="s">
        <v>429</v>
      </c>
      <c r="C58" s="7">
        <v>0</v>
      </c>
      <c r="D58" s="7">
        <v>0</v>
      </c>
      <c r="E58" s="7">
        <v>0</v>
      </c>
      <c r="F58" s="7">
        <v>0.02</v>
      </c>
      <c r="G58" s="7">
        <v>0</v>
      </c>
      <c r="H58" s="7">
        <v>0</v>
      </c>
      <c r="I58" s="7">
        <v>0</v>
      </c>
      <c r="J58" s="7">
        <v>0.02</v>
      </c>
      <c r="K58" s="7">
        <v>0</v>
      </c>
      <c r="L58" s="7">
        <v>0</v>
      </c>
      <c r="M58" s="7">
        <v>0</v>
      </c>
      <c r="N58" s="7">
        <v>0</v>
      </c>
      <c r="O58" s="22">
        <v>0.04</v>
      </c>
    </row>
    <row r="59" spans="1:16" ht="15" customHeight="1" x14ac:dyDescent="0.2">
      <c r="C59" s="7"/>
      <c r="D59" s="7"/>
      <c r="E59" s="7"/>
      <c r="F59" s="7"/>
      <c r="G59" s="7"/>
      <c r="H59" s="7"/>
      <c r="I59" s="7"/>
      <c r="J59" s="7"/>
      <c r="K59" s="7"/>
      <c r="L59" s="7"/>
      <c r="M59" s="7"/>
      <c r="N59" s="7"/>
      <c r="O59" s="22"/>
    </row>
    <row r="60" spans="1:16" s="4" customFormat="1" ht="15" customHeight="1" x14ac:dyDescent="0.25">
      <c r="A60" s="3" t="s">
        <v>78</v>
      </c>
      <c r="C60" s="5">
        <v>80.87</v>
      </c>
      <c r="D60" s="5">
        <v>47.79</v>
      </c>
      <c r="E60" s="5">
        <v>42.29</v>
      </c>
      <c r="F60" s="5">
        <v>90.039999999999992</v>
      </c>
      <c r="G60" s="5">
        <v>189.78</v>
      </c>
      <c r="H60" s="5">
        <v>168.74</v>
      </c>
      <c r="I60" s="5">
        <v>328.11</v>
      </c>
      <c r="J60" s="5">
        <v>180.26000000000002</v>
      </c>
      <c r="K60" s="5">
        <v>220.04999999999998</v>
      </c>
      <c r="L60" s="5">
        <v>250.19</v>
      </c>
      <c r="M60" s="5">
        <v>142.84</v>
      </c>
      <c r="N60" s="5">
        <v>70.099999999999994</v>
      </c>
      <c r="O60" s="21">
        <v>1811.06</v>
      </c>
      <c r="P60" s="5"/>
    </row>
    <row r="61" spans="1:16" ht="15" customHeight="1" x14ac:dyDescent="0.2">
      <c r="B61" s="2" t="s">
        <v>288</v>
      </c>
      <c r="C61" s="7">
        <v>29.28</v>
      </c>
      <c r="D61" s="7">
        <v>24.25</v>
      </c>
      <c r="E61" s="7">
        <v>14.51</v>
      </c>
      <c r="F61" s="7">
        <v>14.11</v>
      </c>
      <c r="G61" s="7">
        <v>23.96</v>
      </c>
      <c r="H61" s="7">
        <v>12.5</v>
      </c>
      <c r="I61" s="7">
        <v>12.84</v>
      </c>
      <c r="J61" s="7">
        <v>14.260000000000002</v>
      </c>
      <c r="K61" s="7">
        <v>20.82</v>
      </c>
      <c r="L61" s="7">
        <v>16.21</v>
      </c>
      <c r="M61" s="7">
        <v>23.74</v>
      </c>
      <c r="N61" s="7">
        <v>25.240000000000002</v>
      </c>
      <c r="O61" s="22">
        <v>231.72000000000003</v>
      </c>
    </row>
    <row r="62" spans="1:16" ht="15" customHeight="1" x14ac:dyDescent="0.2">
      <c r="B62" s="2" t="s">
        <v>289</v>
      </c>
      <c r="C62" s="7">
        <v>0.02</v>
      </c>
      <c r="D62" s="7">
        <v>0.02</v>
      </c>
      <c r="E62" s="7">
        <v>0.01</v>
      </c>
      <c r="F62" s="7">
        <v>0.01</v>
      </c>
      <c r="G62" s="7">
        <v>0.02</v>
      </c>
      <c r="H62" s="7">
        <v>0.01</v>
      </c>
      <c r="I62" s="7">
        <v>0.03</v>
      </c>
      <c r="J62" s="7">
        <v>0.04</v>
      </c>
      <c r="K62" s="7">
        <v>0.01</v>
      </c>
      <c r="L62" s="7">
        <v>0.02</v>
      </c>
      <c r="M62" s="7">
        <v>0.01</v>
      </c>
      <c r="N62" s="7">
        <v>0.01</v>
      </c>
      <c r="O62" s="22">
        <v>0.21000000000000002</v>
      </c>
    </row>
    <row r="63" spans="1:16" ht="15" customHeight="1" x14ac:dyDescent="0.2">
      <c r="B63" s="2" t="s">
        <v>290</v>
      </c>
      <c r="C63" s="7">
        <v>0.18</v>
      </c>
      <c r="D63" s="7">
        <v>0.42</v>
      </c>
      <c r="E63" s="7">
        <v>1.0900000000000001</v>
      </c>
      <c r="F63" s="7">
        <v>0.1</v>
      </c>
      <c r="G63" s="7">
        <v>2.0099999999999998</v>
      </c>
      <c r="H63" s="7">
        <v>0.08</v>
      </c>
      <c r="I63" s="7">
        <v>0.24</v>
      </c>
      <c r="J63" s="7">
        <v>0.28999999999999998</v>
      </c>
      <c r="K63" s="7">
        <v>0.18</v>
      </c>
      <c r="L63" s="7">
        <v>0.77</v>
      </c>
      <c r="M63" s="7">
        <v>0.22</v>
      </c>
      <c r="N63" s="7">
        <v>0.05</v>
      </c>
      <c r="O63" s="22">
        <v>5.629999999999999</v>
      </c>
    </row>
    <row r="64" spans="1:16" ht="15" customHeight="1" x14ac:dyDescent="0.2">
      <c r="B64" s="2" t="s">
        <v>291</v>
      </c>
      <c r="C64" s="7">
        <v>3.91</v>
      </c>
      <c r="D64" s="7">
        <v>8.9499999999999993</v>
      </c>
      <c r="E64" s="7">
        <v>11.64</v>
      </c>
      <c r="F64" s="7">
        <v>6.74</v>
      </c>
      <c r="G64" s="7">
        <v>6.01</v>
      </c>
      <c r="H64" s="7">
        <v>6.07</v>
      </c>
      <c r="I64" s="7">
        <v>5.29</v>
      </c>
      <c r="J64" s="7">
        <v>5.83</v>
      </c>
      <c r="K64" s="7">
        <v>6.42</v>
      </c>
      <c r="L64" s="7">
        <v>6.75</v>
      </c>
      <c r="M64" s="7">
        <v>6.01</v>
      </c>
      <c r="N64" s="7">
        <v>4.41</v>
      </c>
      <c r="O64" s="22">
        <v>78.03</v>
      </c>
    </row>
    <row r="65" spans="1:16" ht="15" customHeight="1" x14ac:dyDescent="0.2">
      <c r="B65" s="2" t="s">
        <v>292</v>
      </c>
      <c r="C65" s="7">
        <v>1.25</v>
      </c>
      <c r="D65" s="7">
        <v>0.32</v>
      </c>
      <c r="E65" s="7">
        <v>0.25</v>
      </c>
      <c r="F65" s="7">
        <v>0.2</v>
      </c>
      <c r="G65" s="7">
        <v>0.09</v>
      </c>
      <c r="H65" s="7">
        <v>0.28000000000000003</v>
      </c>
      <c r="I65" s="7">
        <v>0.17</v>
      </c>
      <c r="J65" s="7">
        <v>0.04</v>
      </c>
      <c r="K65" s="7">
        <v>0.24</v>
      </c>
      <c r="L65" s="7">
        <v>0.26</v>
      </c>
      <c r="M65" s="7">
        <v>0.97</v>
      </c>
      <c r="N65" s="7">
        <v>0.91</v>
      </c>
      <c r="O65" s="22">
        <v>4.9799999999999995</v>
      </c>
    </row>
    <row r="66" spans="1:16" ht="15" customHeight="1" x14ac:dyDescent="0.2">
      <c r="B66" s="2" t="s">
        <v>293</v>
      </c>
      <c r="C66" s="7">
        <v>44.92</v>
      </c>
      <c r="D66" s="7">
        <v>12.65</v>
      </c>
      <c r="E66" s="7">
        <v>14.12</v>
      </c>
      <c r="F66" s="7">
        <v>68</v>
      </c>
      <c r="G66" s="7">
        <v>155.47</v>
      </c>
      <c r="H66" s="7">
        <v>149.18</v>
      </c>
      <c r="I66" s="7">
        <v>308.60000000000002</v>
      </c>
      <c r="J66" s="7">
        <v>159.21</v>
      </c>
      <c r="K66" s="7">
        <v>191.66</v>
      </c>
      <c r="L66" s="7">
        <v>219.86</v>
      </c>
      <c r="M66" s="7">
        <v>111.26</v>
      </c>
      <c r="N66" s="7">
        <v>17.77</v>
      </c>
      <c r="O66" s="22">
        <v>1452.7</v>
      </c>
    </row>
    <row r="67" spans="1:16" ht="15" customHeight="1" x14ac:dyDescent="0.2">
      <c r="B67" s="2" t="s">
        <v>294</v>
      </c>
      <c r="C67" s="7">
        <v>1</v>
      </c>
      <c r="D67" s="7">
        <v>1.1399999999999999</v>
      </c>
      <c r="E67" s="7">
        <v>0.67</v>
      </c>
      <c r="F67" s="7">
        <v>0.86</v>
      </c>
      <c r="G67" s="7">
        <v>2.21</v>
      </c>
      <c r="H67" s="7">
        <v>0.57999999999999996</v>
      </c>
      <c r="I67" s="7">
        <v>0.62</v>
      </c>
      <c r="J67" s="7">
        <v>0.54</v>
      </c>
      <c r="K67" s="7">
        <v>0.7</v>
      </c>
      <c r="L67" s="7">
        <v>0.53</v>
      </c>
      <c r="M67" s="7">
        <v>0.63</v>
      </c>
      <c r="N67" s="7">
        <v>21.69</v>
      </c>
      <c r="O67" s="22">
        <v>31.17</v>
      </c>
    </row>
    <row r="68" spans="1:16" ht="15" customHeight="1" x14ac:dyDescent="0.2">
      <c r="B68" s="2" t="s">
        <v>421</v>
      </c>
      <c r="C68" s="7">
        <v>0</v>
      </c>
      <c r="D68" s="7">
        <v>0</v>
      </c>
      <c r="E68" s="7">
        <v>0</v>
      </c>
      <c r="F68" s="7">
        <v>0</v>
      </c>
      <c r="G68" s="7">
        <v>0</v>
      </c>
      <c r="H68" s="7">
        <v>0</v>
      </c>
      <c r="I68" s="7">
        <v>0</v>
      </c>
      <c r="J68" s="7">
        <v>0</v>
      </c>
      <c r="K68" s="7">
        <v>0</v>
      </c>
      <c r="L68" s="7">
        <v>5.79</v>
      </c>
      <c r="M68" s="7">
        <v>0</v>
      </c>
      <c r="N68" s="7">
        <v>0</v>
      </c>
      <c r="O68" s="22">
        <v>5.79</v>
      </c>
    </row>
    <row r="69" spans="1:16" ht="15" customHeight="1" x14ac:dyDescent="0.2">
      <c r="B69" s="2" t="s">
        <v>296</v>
      </c>
      <c r="C69" s="7">
        <v>0.31</v>
      </c>
      <c r="D69" s="7">
        <v>0.04</v>
      </c>
      <c r="E69" s="7">
        <v>0</v>
      </c>
      <c r="F69" s="7">
        <v>0.02</v>
      </c>
      <c r="G69" s="7">
        <v>0.01</v>
      </c>
      <c r="H69" s="7">
        <v>0.04</v>
      </c>
      <c r="I69" s="7">
        <v>0.32</v>
      </c>
      <c r="J69" s="7">
        <v>0.05</v>
      </c>
      <c r="K69" s="7">
        <v>0.02</v>
      </c>
      <c r="L69" s="7">
        <v>0</v>
      </c>
      <c r="M69" s="7">
        <v>0</v>
      </c>
      <c r="N69" s="7">
        <v>0.02</v>
      </c>
      <c r="O69" s="22">
        <v>0.83000000000000007</v>
      </c>
    </row>
    <row r="70" spans="1:16" ht="15" customHeight="1" x14ac:dyDescent="0.2">
      <c r="C70" s="7"/>
      <c r="D70" s="7"/>
      <c r="E70" s="7"/>
      <c r="O70" s="22"/>
    </row>
    <row r="71" spans="1:16" s="4" customFormat="1" ht="15" customHeight="1" x14ac:dyDescent="0.25">
      <c r="A71" s="3" t="s">
        <v>88</v>
      </c>
      <c r="C71" s="5">
        <v>281.43</v>
      </c>
      <c r="D71" s="5">
        <v>157.25</v>
      </c>
      <c r="E71" s="5">
        <v>243.20000000000002</v>
      </c>
      <c r="F71" s="5">
        <v>128.63000000000002</v>
      </c>
      <c r="G71" s="5">
        <v>244.04</v>
      </c>
      <c r="H71" s="5">
        <v>236.58999999999997</v>
      </c>
      <c r="I71" s="5">
        <v>417.75</v>
      </c>
      <c r="J71" s="5">
        <v>166.19</v>
      </c>
      <c r="K71" s="5">
        <v>265.08000000000004</v>
      </c>
      <c r="L71" s="5">
        <v>223.77</v>
      </c>
      <c r="M71" s="5">
        <v>159.53000000000003</v>
      </c>
      <c r="N71" s="5">
        <v>267.51</v>
      </c>
      <c r="O71" s="21">
        <v>2790.9700000000003</v>
      </c>
      <c r="P71" s="5"/>
    </row>
    <row r="72" spans="1:16" ht="15" customHeight="1" x14ac:dyDescent="0.2">
      <c r="B72" s="2" t="s">
        <v>297</v>
      </c>
      <c r="C72" s="7">
        <v>3.1</v>
      </c>
      <c r="D72" s="7">
        <v>5.28</v>
      </c>
      <c r="E72" s="7">
        <v>13.77</v>
      </c>
      <c r="F72" s="7">
        <v>5.75</v>
      </c>
      <c r="G72" s="7">
        <v>4.16</v>
      </c>
      <c r="H72" s="7">
        <v>5.19</v>
      </c>
      <c r="I72" s="7">
        <v>4.96</v>
      </c>
      <c r="J72" s="7">
        <v>4.38</v>
      </c>
      <c r="K72" s="7">
        <v>6.43</v>
      </c>
      <c r="L72" s="7">
        <v>6.69</v>
      </c>
      <c r="M72" s="7">
        <v>4.3600000000000003</v>
      </c>
      <c r="N72" s="7">
        <v>4.3899999999999997</v>
      </c>
      <c r="O72" s="22">
        <v>68.460000000000008</v>
      </c>
    </row>
    <row r="73" spans="1:16" ht="15" customHeight="1" x14ac:dyDescent="0.2">
      <c r="B73" s="2" t="s">
        <v>299</v>
      </c>
      <c r="C73" s="7">
        <v>2.46</v>
      </c>
      <c r="D73" s="7">
        <v>7.33</v>
      </c>
      <c r="E73" s="7">
        <v>8.69</v>
      </c>
      <c r="F73" s="7">
        <v>4.96</v>
      </c>
      <c r="G73" s="7">
        <v>7.4</v>
      </c>
      <c r="H73" s="7">
        <v>11.51</v>
      </c>
      <c r="I73" s="7">
        <v>11.85</v>
      </c>
      <c r="J73" s="7">
        <v>5.75</v>
      </c>
      <c r="K73" s="7">
        <v>3.68</v>
      </c>
      <c r="L73" s="7">
        <v>3.81</v>
      </c>
      <c r="M73" s="7">
        <v>3.03</v>
      </c>
      <c r="N73" s="7">
        <v>22.69</v>
      </c>
      <c r="O73" s="22">
        <v>93.16</v>
      </c>
    </row>
    <row r="74" spans="1:16" ht="15" customHeight="1" x14ac:dyDescent="0.2">
      <c r="B74" s="2" t="s">
        <v>300</v>
      </c>
      <c r="C74" s="7">
        <v>275.01</v>
      </c>
      <c r="D74" s="7">
        <v>143.71</v>
      </c>
      <c r="E74" s="7">
        <v>219.88</v>
      </c>
      <c r="F74" s="7">
        <v>116.93</v>
      </c>
      <c r="G74" s="7">
        <v>232.2</v>
      </c>
      <c r="H74" s="7">
        <v>218.67</v>
      </c>
      <c r="I74" s="7">
        <v>400.82</v>
      </c>
      <c r="J74" s="7">
        <v>155.77000000000001</v>
      </c>
      <c r="K74" s="7">
        <v>254.5</v>
      </c>
      <c r="L74" s="7">
        <v>212.74</v>
      </c>
      <c r="M74" s="7">
        <v>151.15</v>
      </c>
      <c r="N74" s="7">
        <v>232.04</v>
      </c>
      <c r="O74" s="22">
        <v>2613.42</v>
      </c>
    </row>
    <row r="75" spans="1:16" ht="15" customHeight="1" x14ac:dyDescent="0.2">
      <c r="B75" s="2" t="s">
        <v>298</v>
      </c>
      <c r="C75" s="7">
        <v>0.86</v>
      </c>
      <c r="D75" s="7">
        <v>0.93</v>
      </c>
      <c r="E75" s="7">
        <v>0.86</v>
      </c>
      <c r="F75" s="7">
        <v>0.99</v>
      </c>
      <c r="G75" s="7">
        <v>0.28000000000000003</v>
      </c>
      <c r="H75" s="7">
        <v>1.22</v>
      </c>
      <c r="I75" s="7">
        <v>0.12</v>
      </c>
      <c r="J75" s="7">
        <v>0.28999999999999998</v>
      </c>
      <c r="K75" s="7">
        <v>0.47</v>
      </c>
      <c r="L75" s="7">
        <v>0.53</v>
      </c>
      <c r="M75" s="7">
        <v>0.99</v>
      </c>
      <c r="N75" s="7">
        <v>8.39</v>
      </c>
      <c r="O75" s="22">
        <v>15.93</v>
      </c>
    </row>
    <row r="76" spans="1:16" ht="15" customHeight="1" x14ac:dyDescent="0.2">
      <c r="C76" s="7"/>
      <c r="D76" s="7"/>
      <c r="E76" s="7"/>
      <c r="F76" s="7"/>
      <c r="G76" s="7"/>
      <c r="H76" s="7"/>
      <c r="I76" s="7"/>
      <c r="J76" s="7"/>
      <c r="K76" s="7"/>
      <c r="L76" s="7"/>
      <c r="M76" s="7"/>
      <c r="N76" s="7"/>
      <c r="O76" s="22"/>
    </row>
    <row r="77" spans="1:16" s="4" customFormat="1" ht="15" customHeight="1" x14ac:dyDescent="0.25">
      <c r="A77" s="3" t="s">
        <v>92</v>
      </c>
      <c r="C77" s="5">
        <v>152.78</v>
      </c>
      <c r="D77" s="5">
        <v>220.65</v>
      </c>
      <c r="E77" s="5">
        <v>196.29999999999998</v>
      </c>
      <c r="F77" s="5">
        <v>163.82999999999998</v>
      </c>
      <c r="G77" s="5">
        <v>198.72</v>
      </c>
      <c r="H77" s="5">
        <v>179.95</v>
      </c>
      <c r="I77" s="5">
        <v>168.53</v>
      </c>
      <c r="J77" s="5">
        <v>140.22</v>
      </c>
      <c r="K77" s="5">
        <v>167.69</v>
      </c>
      <c r="L77" s="5">
        <v>170.17000000000002</v>
      </c>
      <c r="M77" s="5">
        <v>161.16999999999999</v>
      </c>
      <c r="N77" s="5">
        <v>120.88</v>
      </c>
      <c r="O77" s="21">
        <v>2040.8900000000003</v>
      </c>
    </row>
    <row r="78" spans="1:16" ht="15" customHeight="1" x14ac:dyDescent="0.2">
      <c r="B78" s="2" t="s">
        <v>301</v>
      </c>
      <c r="C78" s="7">
        <v>150.15</v>
      </c>
      <c r="D78" s="7">
        <v>216.59</v>
      </c>
      <c r="E78" s="7">
        <v>192.45</v>
      </c>
      <c r="F78" s="7">
        <v>160.41</v>
      </c>
      <c r="G78" s="7">
        <v>195.29</v>
      </c>
      <c r="H78" s="7">
        <v>176.89</v>
      </c>
      <c r="I78" s="7">
        <v>165.58</v>
      </c>
      <c r="J78" s="7">
        <v>138</v>
      </c>
      <c r="K78" s="7">
        <v>165.09</v>
      </c>
      <c r="L78" s="7">
        <v>167.27</v>
      </c>
      <c r="M78" s="7">
        <v>157.91</v>
      </c>
      <c r="N78" s="7">
        <v>118.85</v>
      </c>
      <c r="O78" s="22">
        <v>2004.4799999999998</v>
      </c>
    </row>
    <row r="79" spans="1:16" ht="15" customHeight="1" x14ac:dyDescent="0.2">
      <c r="B79" s="2" t="s">
        <v>302</v>
      </c>
      <c r="C79" s="7">
        <v>2.63</v>
      </c>
      <c r="D79" s="7">
        <v>4.0599999999999996</v>
      </c>
      <c r="E79" s="7">
        <v>3.85</v>
      </c>
      <c r="F79" s="7">
        <v>3.42</v>
      </c>
      <c r="G79" s="7">
        <v>3.43</v>
      </c>
      <c r="H79" s="7">
        <v>3.06</v>
      </c>
      <c r="I79" s="7">
        <v>2.95</v>
      </c>
      <c r="J79" s="7">
        <v>2.2200000000000002</v>
      </c>
      <c r="K79" s="7">
        <v>2.6</v>
      </c>
      <c r="L79" s="7">
        <v>2.9</v>
      </c>
      <c r="M79" s="7">
        <v>3.26</v>
      </c>
      <c r="N79" s="7">
        <v>2.0299999999999998</v>
      </c>
      <c r="O79" s="22">
        <v>36.409999999999997</v>
      </c>
    </row>
    <row r="80" spans="1:16" ht="15" customHeight="1" x14ac:dyDescent="0.2">
      <c r="C80" s="7"/>
      <c r="D80" s="7"/>
      <c r="E80" s="7"/>
      <c r="O80" s="22"/>
    </row>
    <row r="81" spans="1:15" s="4" customFormat="1" ht="15" customHeight="1" x14ac:dyDescent="0.25">
      <c r="A81" s="3" t="s">
        <v>96</v>
      </c>
      <c r="C81" s="5">
        <v>16.8</v>
      </c>
      <c r="D81" s="5">
        <v>26.27</v>
      </c>
      <c r="E81" s="5">
        <v>10.7</v>
      </c>
      <c r="F81" s="5">
        <v>17.190000000000001</v>
      </c>
      <c r="G81" s="5">
        <v>12.84</v>
      </c>
      <c r="H81" s="5">
        <v>22.62</v>
      </c>
      <c r="I81" s="5">
        <v>15.82</v>
      </c>
      <c r="J81" s="5">
        <v>9.6499999999999986</v>
      </c>
      <c r="K81" s="5">
        <v>22</v>
      </c>
      <c r="L81" s="5">
        <v>22.169999999999998</v>
      </c>
      <c r="M81" s="5">
        <v>28.16</v>
      </c>
      <c r="N81" s="5">
        <v>14.92</v>
      </c>
      <c r="O81" s="21">
        <v>219.14</v>
      </c>
    </row>
    <row r="82" spans="1:15" ht="15" customHeight="1" x14ac:dyDescent="0.2">
      <c r="B82" s="2" t="s">
        <v>304</v>
      </c>
      <c r="C82" s="7">
        <v>12.88</v>
      </c>
      <c r="D82" s="7">
        <v>21.58</v>
      </c>
      <c r="E82" s="7">
        <v>6.31</v>
      </c>
      <c r="F82" s="7">
        <v>13.41</v>
      </c>
      <c r="G82" s="7">
        <v>8.6300000000000008</v>
      </c>
      <c r="H82" s="7">
        <v>17.34</v>
      </c>
      <c r="I82" s="7">
        <v>11.98</v>
      </c>
      <c r="J82" s="7">
        <v>6.56</v>
      </c>
      <c r="K82" s="7">
        <v>17.68</v>
      </c>
      <c r="L82" s="7">
        <v>16.2</v>
      </c>
      <c r="M82" s="7">
        <v>23.02</v>
      </c>
      <c r="N82" s="7">
        <v>10.87</v>
      </c>
      <c r="O82" s="22">
        <v>166.46</v>
      </c>
    </row>
    <row r="83" spans="1:15" ht="15" customHeight="1" x14ac:dyDescent="0.2">
      <c r="B83" s="2" t="s">
        <v>305</v>
      </c>
      <c r="C83" s="7">
        <v>3.08</v>
      </c>
      <c r="D83" s="7">
        <v>0.44</v>
      </c>
      <c r="E83" s="7">
        <v>0.65</v>
      </c>
      <c r="F83" s="7">
        <v>0.49</v>
      </c>
      <c r="G83" s="7">
        <v>0.53</v>
      </c>
      <c r="H83" s="7">
        <v>1.33</v>
      </c>
      <c r="I83" s="7">
        <v>0.4</v>
      </c>
      <c r="J83" s="7">
        <v>0.5</v>
      </c>
      <c r="K83" s="7">
        <v>0.62</v>
      </c>
      <c r="L83" s="7">
        <v>0.47</v>
      </c>
      <c r="M83" s="7">
        <v>0.3</v>
      </c>
      <c r="N83" s="7">
        <v>0.74</v>
      </c>
      <c r="O83" s="22">
        <v>9.5500000000000025</v>
      </c>
    </row>
    <row r="84" spans="1:15" ht="15" customHeight="1" x14ac:dyDescent="0.2">
      <c r="B84" s="2" t="s">
        <v>306</v>
      </c>
      <c r="C84" s="7">
        <v>0.84</v>
      </c>
      <c r="D84" s="7">
        <v>4.25</v>
      </c>
      <c r="E84" s="7">
        <v>3.74</v>
      </c>
      <c r="F84" s="7">
        <v>3.29</v>
      </c>
      <c r="G84" s="7">
        <v>3.68</v>
      </c>
      <c r="H84" s="7">
        <v>3.95</v>
      </c>
      <c r="I84" s="7">
        <v>3.44</v>
      </c>
      <c r="J84" s="7">
        <v>2.59</v>
      </c>
      <c r="K84" s="7">
        <v>3.7</v>
      </c>
      <c r="L84" s="7">
        <v>5.5</v>
      </c>
      <c r="M84" s="7">
        <v>4.84</v>
      </c>
      <c r="N84" s="7">
        <v>3.31</v>
      </c>
      <c r="O84" s="22">
        <v>43.13000000000001</v>
      </c>
    </row>
    <row r="85" spans="1:15" ht="15" customHeight="1" x14ac:dyDescent="0.2">
      <c r="C85" s="7"/>
      <c r="D85" s="7"/>
      <c r="E85" s="7"/>
      <c r="O85" s="22"/>
    </row>
    <row r="86" spans="1:15" s="4" customFormat="1" ht="15" customHeight="1" x14ac:dyDescent="0.25">
      <c r="A86" s="3" t="s">
        <v>102</v>
      </c>
      <c r="C86" s="5">
        <v>12.97</v>
      </c>
      <c r="D86" s="5">
        <v>12.68</v>
      </c>
      <c r="E86" s="5">
        <v>15.24</v>
      </c>
      <c r="F86" s="5">
        <v>14.790000000000001</v>
      </c>
      <c r="G86" s="5">
        <v>3.48</v>
      </c>
      <c r="H86" s="5">
        <v>4.17</v>
      </c>
      <c r="I86" s="5">
        <v>4.879999999999999</v>
      </c>
      <c r="J86" s="5">
        <v>9.64</v>
      </c>
      <c r="K86" s="5">
        <v>7.85</v>
      </c>
      <c r="L86" s="5">
        <v>6.21</v>
      </c>
      <c r="M86" s="5">
        <v>3.03</v>
      </c>
      <c r="N86" s="5">
        <v>2.3199999999999998</v>
      </c>
      <c r="O86" s="21">
        <v>97.259999999999977</v>
      </c>
    </row>
    <row r="87" spans="1:15" ht="15" customHeight="1" x14ac:dyDescent="0.2">
      <c r="B87" s="2" t="s">
        <v>308</v>
      </c>
      <c r="C87" s="7">
        <v>12.48</v>
      </c>
      <c r="D87" s="7">
        <v>7.62</v>
      </c>
      <c r="E87" s="7">
        <v>8.24</v>
      </c>
      <c r="F87" s="7">
        <v>2.5299999999999998</v>
      </c>
      <c r="G87" s="7">
        <v>1.85</v>
      </c>
      <c r="H87" s="7">
        <v>3.55</v>
      </c>
      <c r="I87" s="7">
        <v>2.69</v>
      </c>
      <c r="J87" s="7">
        <v>1.87</v>
      </c>
      <c r="K87" s="7">
        <v>3.03</v>
      </c>
      <c r="L87" s="7">
        <v>4.49</v>
      </c>
      <c r="M87" s="7">
        <v>1.75</v>
      </c>
      <c r="N87" s="7">
        <v>1.84</v>
      </c>
      <c r="O87" s="22">
        <v>51.940000000000005</v>
      </c>
    </row>
    <row r="88" spans="1:15" ht="15" customHeight="1" x14ac:dyDescent="0.2">
      <c r="B88" s="2" t="s">
        <v>310</v>
      </c>
      <c r="C88" s="7">
        <v>0.16</v>
      </c>
      <c r="D88" s="7">
        <v>4.83</v>
      </c>
      <c r="E88" s="7">
        <v>6.81</v>
      </c>
      <c r="F88" s="7">
        <v>1.29</v>
      </c>
      <c r="G88" s="7">
        <v>0.34</v>
      </c>
      <c r="H88" s="7">
        <v>0.41</v>
      </c>
      <c r="I88" s="7">
        <v>1.92</v>
      </c>
      <c r="J88" s="7">
        <v>7.73</v>
      </c>
      <c r="K88" s="7">
        <v>4.6500000000000004</v>
      </c>
      <c r="L88" s="7">
        <v>1.52</v>
      </c>
      <c r="M88" s="7">
        <v>0.9</v>
      </c>
      <c r="N88" s="7">
        <v>0.41</v>
      </c>
      <c r="O88" s="22">
        <v>30.97</v>
      </c>
    </row>
    <row r="89" spans="1:15" ht="15" customHeight="1" x14ac:dyDescent="0.2">
      <c r="B89" s="2" t="s">
        <v>311</v>
      </c>
      <c r="C89" s="7">
        <v>0.33</v>
      </c>
      <c r="D89" s="7">
        <v>0.23</v>
      </c>
      <c r="E89" s="7">
        <v>0.19</v>
      </c>
      <c r="F89" s="7">
        <v>10.97</v>
      </c>
      <c r="G89" s="7">
        <v>1.29</v>
      </c>
      <c r="H89" s="7">
        <v>0.21</v>
      </c>
      <c r="I89" s="7">
        <v>0.27</v>
      </c>
      <c r="J89" s="7">
        <v>0.04</v>
      </c>
      <c r="K89" s="7">
        <v>0.17</v>
      </c>
      <c r="L89" s="7">
        <v>0.2</v>
      </c>
      <c r="M89" s="7">
        <v>0.38</v>
      </c>
      <c r="N89" s="7">
        <v>7.0000000000000007E-2</v>
      </c>
      <c r="O89" s="22">
        <v>14.350000000000001</v>
      </c>
    </row>
    <row r="90" spans="1:15" ht="15" customHeight="1" x14ac:dyDescent="0.2">
      <c r="C90" s="7"/>
      <c r="D90" s="7"/>
      <c r="E90" s="7"/>
      <c r="O90" s="22"/>
    </row>
    <row r="91" spans="1:15" s="4" customFormat="1" ht="15" customHeight="1" x14ac:dyDescent="0.25">
      <c r="A91" s="3" t="s">
        <v>107</v>
      </c>
      <c r="C91" s="5">
        <v>445.24999999999994</v>
      </c>
      <c r="D91" s="5">
        <v>504.92</v>
      </c>
      <c r="E91" s="5">
        <v>486.13</v>
      </c>
      <c r="F91" s="5">
        <v>430.73</v>
      </c>
      <c r="G91" s="5">
        <v>526.75</v>
      </c>
      <c r="H91" s="5">
        <v>487.78</v>
      </c>
      <c r="I91" s="5">
        <v>524.54999999999995</v>
      </c>
      <c r="J91" s="5">
        <v>408.67</v>
      </c>
      <c r="K91" s="5">
        <v>480.98999999999995</v>
      </c>
      <c r="L91" s="5">
        <v>564.29000000000008</v>
      </c>
      <c r="M91" s="5">
        <v>454.16</v>
      </c>
      <c r="N91" s="5">
        <v>408.96</v>
      </c>
      <c r="O91" s="21">
        <v>5723.1799999999994</v>
      </c>
    </row>
    <row r="92" spans="1:15" ht="15" customHeight="1" x14ac:dyDescent="0.2">
      <c r="B92" s="2" t="s">
        <v>312</v>
      </c>
      <c r="C92" s="7">
        <v>2.0699999999999998</v>
      </c>
      <c r="D92" s="7">
        <v>3.89</v>
      </c>
      <c r="E92" s="7">
        <v>2.94</v>
      </c>
      <c r="F92" s="7">
        <v>3.23</v>
      </c>
      <c r="G92" s="7">
        <v>2.42</v>
      </c>
      <c r="H92" s="7">
        <v>2.95</v>
      </c>
      <c r="I92" s="7">
        <v>2.66</v>
      </c>
      <c r="J92" s="7">
        <v>1.8</v>
      </c>
      <c r="K92" s="7">
        <v>2.59</v>
      </c>
      <c r="L92" s="7">
        <v>3.92</v>
      </c>
      <c r="M92" s="7">
        <v>2.84</v>
      </c>
      <c r="N92" s="7">
        <v>1.77</v>
      </c>
      <c r="O92" s="22">
        <v>33.08</v>
      </c>
    </row>
    <row r="93" spans="1:15" ht="15" customHeight="1" x14ac:dyDescent="0.2">
      <c r="B93" s="2" t="s">
        <v>313</v>
      </c>
      <c r="C93" s="7">
        <v>0</v>
      </c>
      <c r="D93" s="7">
        <v>0</v>
      </c>
      <c r="E93" s="7">
        <v>0</v>
      </c>
      <c r="F93" s="7">
        <v>0.15</v>
      </c>
      <c r="G93" s="7">
        <v>0</v>
      </c>
      <c r="H93" s="7">
        <v>0.39</v>
      </c>
      <c r="I93" s="7">
        <v>0</v>
      </c>
      <c r="J93" s="7">
        <v>0.02</v>
      </c>
      <c r="K93" s="7">
        <v>0.01</v>
      </c>
      <c r="L93" s="7">
        <v>0</v>
      </c>
      <c r="M93" s="7">
        <v>0.16</v>
      </c>
      <c r="N93" s="7">
        <v>0.64</v>
      </c>
      <c r="O93" s="22">
        <v>1.37</v>
      </c>
    </row>
    <row r="94" spans="1:15" ht="15" customHeight="1" x14ac:dyDescent="0.2">
      <c r="B94" s="2" t="s">
        <v>314</v>
      </c>
      <c r="C94" s="7">
        <v>200.47</v>
      </c>
      <c r="D94" s="7">
        <v>201.18</v>
      </c>
      <c r="E94" s="7">
        <v>187.7</v>
      </c>
      <c r="F94" s="7">
        <v>155.44</v>
      </c>
      <c r="G94" s="7">
        <v>199.38</v>
      </c>
      <c r="H94" s="7">
        <v>168.32</v>
      </c>
      <c r="I94" s="7">
        <v>199.07</v>
      </c>
      <c r="J94" s="7">
        <v>172.8</v>
      </c>
      <c r="K94" s="7">
        <v>183</v>
      </c>
      <c r="L94" s="7">
        <v>212.06</v>
      </c>
      <c r="M94" s="7">
        <v>179.03</v>
      </c>
      <c r="N94" s="7">
        <v>166.7</v>
      </c>
      <c r="O94" s="22">
        <v>2225.1499999999996</v>
      </c>
    </row>
    <row r="95" spans="1:15" ht="15" customHeight="1" x14ac:dyDescent="0.2">
      <c r="B95" s="2" t="s">
        <v>315</v>
      </c>
      <c r="C95" s="7">
        <v>205.26</v>
      </c>
      <c r="D95" s="7">
        <v>244.36</v>
      </c>
      <c r="E95" s="7">
        <v>247.94</v>
      </c>
      <c r="F95" s="7">
        <v>233.37</v>
      </c>
      <c r="G95" s="7">
        <v>279.37</v>
      </c>
      <c r="H95" s="7">
        <v>271.5</v>
      </c>
      <c r="I95" s="7">
        <v>280.81</v>
      </c>
      <c r="J95" s="7">
        <v>200.05</v>
      </c>
      <c r="K95" s="7">
        <v>254.2</v>
      </c>
      <c r="L95" s="7">
        <v>306.22000000000003</v>
      </c>
      <c r="M95" s="7">
        <v>234.96</v>
      </c>
      <c r="N95" s="7">
        <v>216.22</v>
      </c>
      <c r="O95" s="22">
        <v>2974.2599999999998</v>
      </c>
    </row>
    <row r="96" spans="1:15" ht="15" customHeight="1" x14ac:dyDescent="0.2">
      <c r="B96" s="2" t="s">
        <v>316</v>
      </c>
      <c r="C96" s="7">
        <v>37.450000000000003</v>
      </c>
      <c r="D96" s="7">
        <v>55.49</v>
      </c>
      <c r="E96" s="7">
        <v>47.55</v>
      </c>
      <c r="F96" s="7">
        <v>38.54</v>
      </c>
      <c r="G96" s="7">
        <v>45.58</v>
      </c>
      <c r="H96" s="7">
        <v>44.62</v>
      </c>
      <c r="I96" s="7">
        <v>42.01</v>
      </c>
      <c r="J96" s="7">
        <v>34</v>
      </c>
      <c r="K96" s="7">
        <v>41.19</v>
      </c>
      <c r="L96" s="7">
        <v>42.09</v>
      </c>
      <c r="M96" s="7">
        <v>37.17</v>
      </c>
      <c r="N96" s="7">
        <v>23.63</v>
      </c>
      <c r="O96" s="22">
        <v>489.32</v>
      </c>
    </row>
    <row r="97" spans="1:15" ht="15" customHeight="1" x14ac:dyDescent="0.2">
      <c r="C97" s="7"/>
      <c r="D97" s="7"/>
      <c r="E97" s="7"/>
      <c r="O97" s="22"/>
    </row>
    <row r="98" spans="1:15" s="4" customFormat="1" ht="15" customHeight="1" x14ac:dyDescent="0.25">
      <c r="A98" s="3" t="s">
        <v>113</v>
      </c>
      <c r="C98" s="5">
        <v>46.45</v>
      </c>
      <c r="D98" s="5">
        <v>58.94</v>
      </c>
      <c r="E98" s="5">
        <v>50.940000000000005</v>
      </c>
      <c r="F98" s="5">
        <v>48.07</v>
      </c>
      <c r="G98" s="5">
        <v>53.219999999999992</v>
      </c>
      <c r="H98" s="5">
        <v>56.9</v>
      </c>
      <c r="I98" s="5">
        <v>58.849999999999994</v>
      </c>
      <c r="J98" s="5">
        <v>41.94</v>
      </c>
      <c r="K98" s="5">
        <v>55.16</v>
      </c>
      <c r="L98" s="5">
        <v>51.330000000000005</v>
      </c>
      <c r="M98" s="5">
        <v>52.440000000000005</v>
      </c>
      <c r="N98" s="5">
        <v>42.78</v>
      </c>
      <c r="O98" s="21">
        <v>617.0200000000001</v>
      </c>
    </row>
    <row r="99" spans="1:15" ht="15" customHeight="1" x14ac:dyDescent="0.2">
      <c r="B99" s="2" t="s">
        <v>312</v>
      </c>
      <c r="C99" s="7">
        <v>7.1</v>
      </c>
      <c r="D99" s="7">
        <v>12.97</v>
      </c>
      <c r="E99" s="7">
        <v>12.91</v>
      </c>
      <c r="F99" s="7">
        <v>11.97</v>
      </c>
      <c r="G99" s="7">
        <v>14.42</v>
      </c>
      <c r="H99" s="7">
        <v>14.32</v>
      </c>
      <c r="I99" s="7">
        <v>16.11</v>
      </c>
      <c r="J99" s="7">
        <v>14.29</v>
      </c>
      <c r="K99" s="7">
        <v>15.92</v>
      </c>
      <c r="L99" s="7">
        <v>16.98</v>
      </c>
      <c r="M99" s="7">
        <v>15.48</v>
      </c>
      <c r="N99" s="7">
        <v>13.45</v>
      </c>
      <c r="O99" s="22">
        <v>165.92</v>
      </c>
    </row>
    <row r="100" spans="1:15" ht="15" customHeight="1" x14ac:dyDescent="0.2">
      <c r="B100" s="2" t="s">
        <v>317</v>
      </c>
      <c r="C100" s="7">
        <v>0.01</v>
      </c>
      <c r="D100" s="7">
        <v>0.01</v>
      </c>
      <c r="E100" s="7">
        <v>0</v>
      </c>
      <c r="F100" s="7">
        <v>0.03</v>
      </c>
      <c r="G100" s="7">
        <v>0.01</v>
      </c>
      <c r="H100" s="7">
        <v>0</v>
      </c>
      <c r="I100" s="7">
        <v>0</v>
      </c>
      <c r="J100" s="7">
        <v>0.09</v>
      </c>
      <c r="K100" s="7">
        <v>0</v>
      </c>
      <c r="L100" s="7">
        <v>0</v>
      </c>
      <c r="M100" s="7">
        <v>0</v>
      </c>
      <c r="N100" s="7">
        <v>0.01</v>
      </c>
      <c r="O100" s="22">
        <v>0.16</v>
      </c>
    </row>
    <row r="101" spans="1:15" ht="15" customHeight="1" x14ac:dyDescent="0.2">
      <c r="B101" s="2" t="s">
        <v>318</v>
      </c>
      <c r="C101" s="7">
        <v>0.06</v>
      </c>
      <c r="D101" s="7">
        <v>0.14000000000000001</v>
      </c>
      <c r="E101" s="7">
        <v>0.21</v>
      </c>
      <c r="F101" s="7">
        <v>0.11</v>
      </c>
      <c r="G101" s="7">
        <v>0.12</v>
      </c>
      <c r="H101" s="7">
        <v>0.08</v>
      </c>
      <c r="I101" s="7">
        <v>2.04</v>
      </c>
      <c r="J101" s="7">
        <v>0.35</v>
      </c>
      <c r="K101" s="7">
        <v>0.08</v>
      </c>
      <c r="L101" s="7">
        <v>0.15</v>
      </c>
      <c r="M101" s="7">
        <v>0.14000000000000001</v>
      </c>
      <c r="N101" s="7">
        <v>0.11</v>
      </c>
      <c r="O101" s="22">
        <v>3.59</v>
      </c>
    </row>
    <row r="102" spans="1:15" ht="15" customHeight="1" x14ac:dyDescent="0.2">
      <c r="B102" s="2" t="s">
        <v>319</v>
      </c>
      <c r="C102" s="7">
        <v>0</v>
      </c>
      <c r="D102" s="7">
        <v>0</v>
      </c>
      <c r="E102" s="7">
        <v>0</v>
      </c>
      <c r="F102" s="7">
        <v>0</v>
      </c>
      <c r="G102" s="7">
        <v>0</v>
      </c>
      <c r="H102" s="7">
        <v>0</v>
      </c>
      <c r="I102" s="7">
        <v>0</v>
      </c>
      <c r="J102" s="7">
        <v>0</v>
      </c>
      <c r="K102" s="7">
        <v>0.02</v>
      </c>
      <c r="L102" s="7">
        <v>0.01</v>
      </c>
      <c r="M102" s="7">
        <v>0.01</v>
      </c>
      <c r="N102" s="7">
        <v>0</v>
      </c>
      <c r="O102" s="22">
        <v>0.04</v>
      </c>
    </row>
    <row r="103" spans="1:15" ht="15" customHeight="1" x14ac:dyDescent="0.2">
      <c r="B103" s="2" t="s">
        <v>321</v>
      </c>
      <c r="C103" s="7">
        <v>37.880000000000003</v>
      </c>
      <c r="D103" s="7">
        <v>44.99</v>
      </c>
      <c r="E103" s="7">
        <v>34.75</v>
      </c>
      <c r="F103" s="7">
        <v>33.49</v>
      </c>
      <c r="G103" s="7">
        <v>37.94</v>
      </c>
      <c r="H103" s="7">
        <v>38.99</v>
      </c>
      <c r="I103" s="7">
        <v>39.22</v>
      </c>
      <c r="J103" s="7">
        <v>26.67</v>
      </c>
      <c r="K103" s="7">
        <v>38.69</v>
      </c>
      <c r="L103" s="7">
        <v>33.06</v>
      </c>
      <c r="M103" s="7">
        <v>36.21</v>
      </c>
      <c r="N103" s="7">
        <v>28.72</v>
      </c>
      <c r="O103" s="22">
        <v>430.61</v>
      </c>
    </row>
    <row r="104" spans="1:15" ht="15" customHeight="1" x14ac:dyDescent="0.2">
      <c r="B104" s="2" t="s">
        <v>322</v>
      </c>
      <c r="C104" s="7">
        <v>1.4</v>
      </c>
      <c r="D104" s="7">
        <v>0.83</v>
      </c>
      <c r="E104" s="7">
        <v>3.07</v>
      </c>
      <c r="F104" s="7">
        <v>2.4700000000000002</v>
      </c>
      <c r="G104" s="7">
        <v>0.73</v>
      </c>
      <c r="H104" s="7">
        <v>3.51</v>
      </c>
      <c r="I104" s="7">
        <v>1.48</v>
      </c>
      <c r="J104" s="7">
        <v>0.54</v>
      </c>
      <c r="K104" s="7">
        <v>0.45</v>
      </c>
      <c r="L104" s="7">
        <v>1.1299999999999999</v>
      </c>
      <c r="M104" s="7">
        <v>0.6</v>
      </c>
      <c r="N104" s="7">
        <v>0.49</v>
      </c>
      <c r="O104" s="22">
        <v>16.7</v>
      </c>
    </row>
    <row r="105" spans="1:15" ht="15" customHeight="1" x14ac:dyDescent="0.2">
      <c r="C105" s="7"/>
      <c r="D105" s="7"/>
      <c r="E105" s="7"/>
      <c r="O105" s="22"/>
    </row>
    <row r="106" spans="1:15" s="4" customFormat="1" ht="15" customHeight="1" x14ac:dyDescent="0.25">
      <c r="A106" s="3" t="s">
        <v>121</v>
      </c>
      <c r="C106" s="5">
        <v>1.34</v>
      </c>
      <c r="D106" s="5">
        <v>3.58</v>
      </c>
      <c r="E106" s="5">
        <v>1.55</v>
      </c>
      <c r="F106" s="5">
        <v>0.95</v>
      </c>
      <c r="G106" s="5">
        <v>2.37</v>
      </c>
      <c r="H106" s="5">
        <v>2.0699999999999998</v>
      </c>
      <c r="I106" s="5">
        <v>0.84</v>
      </c>
      <c r="J106" s="5">
        <v>1.26</v>
      </c>
      <c r="K106" s="5">
        <v>1.1599999999999999</v>
      </c>
      <c r="L106" s="5">
        <v>1.56</v>
      </c>
      <c r="M106" s="5">
        <v>1.1499999999999999</v>
      </c>
      <c r="N106" s="5">
        <v>1.2</v>
      </c>
      <c r="O106" s="21">
        <v>19.029999999999998</v>
      </c>
    </row>
    <row r="107" spans="1:15" ht="15" customHeight="1" x14ac:dyDescent="0.2">
      <c r="B107" s="2" t="s">
        <v>312</v>
      </c>
      <c r="C107" s="7">
        <v>1.34</v>
      </c>
      <c r="D107" s="7">
        <v>3.58</v>
      </c>
      <c r="E107" s="7">
        <v>1.55</v>
      </c>
      <c r="F107" s="7">
        <v>0.95</v>
      </c>
      <c r="G107" s="7">
        <v>2.37</v>
      </c>
      <c r="H107" s="7">
        <v>2.0699999999999998</v>
      </c>
      <c r="I107" s="7">
        <v>0.84</v>
      </c>
      <c r="J107" s="7">
        <v>1.26</v>
      </c>
      <c r="K107" s="7">
        <v>1.1599999999999999</v>
      </c>
      <c r="L107" s="7">
        <v>1.56</v>
      </c>
      <c r="M107" s="7">
        <v>1.1499999999999999</v>
      </c>
      <c r="N107" s="7">
        <v>1.2</v>
      </c>
      <c r="O107" s="22">
        <v>19.029999999999998</v>
      </c>
    </row>
    <row r="108" spans="1:15" ht="15" customHeight="1" x14ac:dyDescent="0.2">
      <c r="C108" s="7"/>
      <c r="D108" s="7"/>
      <c r="E108" s="7"/>
      <c r="F108" s="7"/>
      <c r="G108" s="7"/>
      <c r="H108" s="7"/>
      <c r="I108" s="7"/>
      <c r="J108" s="7"/>
      <c r="K108" s="7"/>
      <c r="L108" s="7"/>
      <c r="M108" s="7"/>
      <c r="N108" s="7"/>
      <c r="O108" s="22"/>
    </row>
    <row r="109" spans="1:15" s="4" customFormat="1" ht="15" customHeight="1" x14ac:dyDescent="0.25">
      <c r="A109" s="3" t="s">
        <v>324</v>
      </c>
      <c r="C109" s="5">
        <v>0</v>
      </c>
      <c r="D109" s="5">
        <v>0</v>
      </c>
      <c r="E109" s="5">
        <v>0</v>
      </c>
      <c r="F109" s="5">
        <v>0</v>
      </c>
      <c r="G109" s="5">
        <v>0</v>
      </c>
      <c r="H109" s="5">
        <v>0</v>
      </c>
      <c r="I109" s="5">
        <v>0</v>
      </c>
      <c r="J109" s="5">
        <v>0</v>
      </c>
      <c r="K109" s="5">
        <v>0</v>
      </c>
      <c r="L109" s="5">
        <v>0</v>
      </c>
      <c r="M109" s="5">
        <v>0</v>
      </c>
      <c r="N109" s="5">
        <v>0</v>
      </c>
      <c r="O109" s="21">
        <v>0</v>
      </c>
    </row>
    <row r="110" spans="1:15" ht="15" customHeight="1" x14ac:dyDescent="0.25">
      <c r="A110" s="1"/>
      <c r="B110" s="2" t="s">
        <v>325</v>
      </c>
      <c r="C110" s="7">
        <v>0</v>
      </c>
      <c r="D110" s="7">
        <v>0</v>
      </c>
      <c r="E110" s="7">
        <v>0</v>
      </c>
      <c r="F110" s="7">
        <v>0</v>
      </c>
      <c r="G110" s="7">
        <v>0</v>
      </c>
      <c r="H110" s="7">
        <v>0</v>
      </c>
      <c r="I110" s="7">
        <v>0</v>
      </c>
      <c r="J110" s="7">
        <v>0</v>
      </c>
      <c r="K110" s="7">
        <v>0</v>
      </c>
      <c r="L110" s="7">
        <v>0</v>
      </c>
      <c r="M110" s="17"/>
      <c r="N110" s="17"/>
      <c r="O110" s="22">
        <v>0</v>
      </c>
    </row>
    <row r="111" spans="1:15" ht="15" customHeight="1" x14ac:dyDescent="0.25">
      <c r="A111" s="1"/>
      <c r="B111" s="2" t="s">
        <v>326</v>
      </c>
      <c r="C111" s="7">
        <v>0</v>
      </c>
      <c r="D111" s="7">
        <v>0</v>
      </c>
      <c r="E111" s="7">
        <v>0</v>
      </c>
      <c r="F111" s="7">
        <v>0</v>
      </c>
      <c r="G111" s="7">
        <v>0</v>
      </c>
      <c r="H111" s="7">
        <v>0</v>
      </c>
      <c r="I111" s="7">
        <v>0</v>
      </c>
      <c r="J111" s="7">
        <v>0</v>
      </c>
      <c r="K111" s="7">
        <v>0</v>
      </c>
      <c r="L111" s="7">
        <v>0</v>
      </c>
      <c r="M111" s="17"/>
      <c r="N111" s="17"/>
      <c r="O111" s="22">
        <v>0</v>
      </c>
    </row>
    <row r="112" spans="1:15" ht="15" customHeight="1" x14ac:dyDescent="0.25">
      <c r="A112" s="1"/>
      <c r="B112" s="2" t="s">
        <v>327</v>
      </c>
      <c r="C112" s="7">
        <v>0</v>
      </c>
      <c r="D112" s="7">
        <v>0</v>
      </c>
      <c r="E112" s="7">
        <v>0</v>
      </c>
      <c r="F112" s="7">
        <v>0</v>
      </c>
      <c r="G112" s="7">
        <v>0</v>
      </c>
      <c r="H112" s="7">
        <v>0</v>
      </c>
      <c r="I112" s="7">
        <v>0</v>
      </c>
      <c r="J112" s="7">
        <v>0</v>
      </c>
      <c r="K112" s="7">
        <v>0</v>
      </c>
      <c r="L112" s="7">
        <v>0</v>
      </c>
      <c r="M112" s="17"/>
      <c r="N112" s="17"/>
      <c r="O112" s="22">
        <v>0</v>
      </c>
    </row>
    <row r="113" spans="1:16" ht="15" customHeight="1" x14ac:dyDescent="0.25">
      <c r="A113" s="1"/>
      <c r="B113" s="2" t="s">
        <v>328</v>
      </c>
      <c r="C113" s="7">
        <v>0</v>
      </c>
      <c r="D113" s="7">
        <v>0</v>
      </c>
      <c r="E113" s="7">
        <v>0</v>
      </c>
      <c r="F113" s="7">
        <v>0</v>
      </c>
      <c r="G113" s="7">
        <v>0</v>
      </c>
      <c r="H113" s="7">
        <v>0</v>
      </c>
      <c r="I113" s="7">
        <v>0</v>
      </c>
      <c r="J113" s="7">
        <v>0</v>
      </c>
      <c r="K113" s="7">
        <v>0</v>
      </c>
      <c r="L113" s="7">
        <v>0</v>
      </c>
      <c r="M113" s="17"/>
      <c r="N113" s="17"/>
      <c r="O113" s="22">
        <v>0</v>
      </c>
    </row>
    <row r="114" spans="1:16" ht="15" customHeight="1" x14ac:dyDescent="0.25">
      <c r="A114" s="1"/>
      <c r="B114" s="2" t="s">
        <v>329</v>
      </c>
      <c r="C114" s="7">
        <v>0</v>
      </c>
      <c r="D114" s="7">
        <v>0</v>
      </c>
      <c r="E114" s="7">
        <v>0</v>
      </c>
      <c r="F114" s="7">
        <v>0</v>
      </c>
      <c r="G114" s="7">
        <v>0</v>
      </c>
      <c r="H114" s="7">
        <v>0</v>
      </c>
      <c r="I114" s="7">
        <v>0</v>
      </c>
      <c r="J114" s="7">
        <v>0</v>
      </c>
      <c r="K114" s="7">
        <v>0</v>
      </c>
      <c r="L114" s="7">
        <v>0</v>
      </c>
      <c r="M114" s="17"/>
      <c r="N114" s="17"/>
      <c r="O114" s="22">
        <v>0</v>
      </c>
    </row>
    <row r="115" spans="1:16" ht="15" customHeight="1" x14ac:dyDescent="0.25">
      <c r="A115" s="1"/>
      <c r="B115" s="2" t="s">
        <v>330</v>
      </c>
      <c r="C115" s="7">
        <v>0</v>
      </c>
      <c r="D115" s="7">
        <v>0</v>
      </c>
      <c r="E115" s="7">
        <v>0</v>
      </c>
      <c r="F115" s="7">
        <v>0</v>
      </c>
      <c r="G115" s="7">
        <v>0</v>
      </c>
      <c r="H115" s="7">
        <v>0</v>
      </c>
      <c r="I115" s="7">
        <v>0</v>
      </c>
      <c r="J115" s="7">
        <v>0</v>
      </c>
      <c r="K115" s="7">
        <v>0</v>
      </c>
      <c r="L115" s="7">
        <v>0</v>
      </c>
      <c r="M115" s="17"/>
      <c r="N115" s="17"/>
      <c r="O115" s="22">
        <v>0</v>
      </c>
    </row>
    <row r="116" spans="1:16" ht="15" customHeight="1" x14ac:dyDescent="0.2">
      <c r="C116" s="7"/>
      <c r="D116" s="7"/>
      <c r="E116" s="7"/>
      <c r="F116" s="7"/>
      <c r="G116" s="7"/>
      <c r="H116" s="7"/>
      <c r="I116" s="7"/>
      <c r="J116" s="7"/>
      <c r="K116" s="7"/>
      <c r="L116" s="7"/>
      <c r="M116" s="7"/>
      <c r="N116" s="7"/>
      <c r="O116" s="22"/>
    </row>
    <row r="117" spans="1:16" s="4" customFormat="1" ht="15" customHeight="1" x14ac:dyDescent="0.25">
      <c r="A117" s="3" t="s">
        <v>122</v>
      </c>
      <c r="C117" s="5">
        <v>40.01</v>
      </c>
      <c r="D117" s="5">
        <v>79.559999999999988</v>
      </c>
      <c r="E117" s="5">
        <v>56.21</v>
      </c>
      <c r="F117" s="5">
        <v>62.62</v>
      </c>
      <c r="G117" s="5">
        <v>60.019999999999996</v>
      </c>
      <c r="H117" s="5">
        <v>77.900000000000006</v>
      </c>
      <c r="I117" s="5">
        <v>48.06</v>
      </c>
      <c r="J117" s="5">
        <v>51.230000000000004</v>
      </c>
      <c r="K117" s="5">
        <v>51.800000000000004</v>
      </c>
      <c r="L117" s="5">
        <v>48.839999999999996</v>
      </c>
      <c r="M117" s="5">
        <v>74.210000000000008</v>
      </c>
      <c r="N117" s="5">
        <v>10.87</v>
      </c>
      <c r="O117" s="21">
        <v>661.33000000000015</v>
      </c>
    </row>
    <row r="118" spans="1:16" ht="15" customHeight="1" x14ac:dyDescent="0.2">
      <c r="B118" s="2" t="s">
        <v>331</v>
      </c>
      <c r="C118" s="7">
        <v>0.01</v>
      </c>
      <c r="D118" s="7">
        <v>7.0000000000000007E-2</v>
      </c>
      <c r="E118" s="7">
        <v>7.0000000000000007E-2</v>
      </c>
      <c r="F118" s="7">
        <v>0.01</v>
      </c>
      <c r="G118" s="7">
        <v>0.05</v>
      </c>
      <c r="H118" s="7">
        <v>0.04</v>
      </c>
      <c r="I118" s="7">
        <v>0.09</v>
      </c>
      <c r="J118" s="7">
        <v>0.03</v>
      </c>
      <c r="K118" s="7">
        <v>0.24</v>
      </c>
      <c r="L118" s="7">
        <v>0.1</v>
      </c>
      <c r="M118" s="7">
        <v>0.01</v>
      </c>
      <c r="N118" s="7">
        <v>0.01</v>
      </c>
      <c r="O118" s="22">
        <v>0.73</v>
      </c>
    </row>
    <row r="119" spans="1:16" ht="15" customHeight="1" x14ac:dyDescent="0.2">
      <c r="B119" s="2" t="s">
        <v>332</v>
      </c>
      <c r="C119" s="7">
        <v>40</v>
      </c>
      <c r="D119" s="7">
        <v>79.489999999999995</v>
      </c>
      <c r="E119" s="7">
        <v>56.13</v>
      </c>
      <c r="F119" s="7">
        <v>62.61</v>
      </c>
      <c r="G119" s="7">
        <v>59.96</v>
      </c>
      <c r="H119" s="7">
        <v>77.83</v>
      </c>
      <c r="I119" s="7">
        <v>47.93</v>
      </c>
      <c r="J119" s="7">
        <v>51.2</v>
      </c>
      <c r="K119" s="7">
        <v>51.54</v>
      </c>
      <c r="L119" s="7">
        <v>48.73</v>
      </c>
      <c r="M119" s="7">
        <v>74.19</v>
      </c>
      <c r="N119" s="7">
        <v>10.57</v>
      </c>
      <c r="O119" s="22">
        <v>660.18</v>
      </c>
    </row>
    <row r="120" spans="1:16" ht="15" customHeight="1" x14ac:dyDescent="0.2">
      <c r="B120" s="2" t="s">
        <v>335</v>
      </c>
      <c r="C120" s="7">
        <v>0</v>
      </c>
      <c r="D120" s="7">
        <v>0</v>
      </c>
      <c r="E120" s="7">
        <v>0.01</v>
      </c>
      <c r="F120" s="7">
        <v>0</v>
      </c>
      <c r="G120" s="7">
        <v>0.01</v>
      </c>
      <c r="H120" s="7">
        <v>0.03</v>
      </c>
      <c r="I120" s="7">
        <v>0.04</v>
      </c>
      <c r="J120" s="7">
        <v>0</v>
      </c>
      <c r="K120" s="7">
        <v>0.02</v>
      </c>
      <c r="L120" s="7">
        <v>0.01</v>
      </c>
      <c r="M120" s="7">
        <v>0.01</v>
      </c>
      <c r="N120" s="7">
        <v>0.28999999999999998</v>
      </c>
      <c r="O120" s="22">
        <v>0.42</v>
      </c>
    </row>
    <row r="121" spans="1:16" ht="15" customHeight="1" x14ac:dyDescent="0.2">
      <c r="C121" s="7"/>
      <c r="D121" s="7"/>
      <c r="E121" s="7"/>
      <c r="F121" s="7"/>
      <c r="G121" s="22"/>
      <c r="O121" s="22"/>
    </row>
    <row r="122" spans="1:16" s="4" customFormat="1" ht="15" customHeight="1" x14ac:dyDescent="0.25">
      <c r="A122" s="3" t="s">
        <v>128</v>
      </c>
      <c r="C122" s="5">
        <v>65.13</v>
      </c>
      <c r="D122" s="5">
        <v>101.08</v>
      </c>
      <c r="E122" s="5">
        <v>50.88</v>
      </c>
      <c r="F122" s="5">
        <v>29.429999999999996</v>
      </c>
      <c r="G122" s="5">
        <v>36.029999999999994</v>
      </c>
      <c r="H122" s="5">
        <v>37.660000000000004</v>
      </c>
      <c r="I122" s="5">
        <v>29.28</v>
      </c>
      <c r="J122" s="5">
        <v>45.570000000000007</v>
      </c>
      <c r="K122" s="5">
        <v>50.660000000000004</v>
      </c>
      <c r="L122" s="5">
        <v>39.76</v>
      </c>
      <c r="M122" s="5">
        <v>36.800000000000004</v>
      </c>
      <c r="N122" s="5">
        <v>20.169999999999998</v>
      </c>
      <c r="O122" s="21">
        <v>542.44999999999993</v>
      </c>
      <c r="P122" s="5"/>
    </row>
    <row r="123" spans="1:16" ht="15" customHeight="1" x14ac:dyDescent="0.2">
      <c r="B123" s="2" t="s">
        <v>336</v>
      </c>
      <c r="C123" s="7">
        <v>61.75</v>
      </c>
      <c r="D123" s="7">
        <v>90.88</v>
      </c>
      <c r="E123" s="7">
        <v>43.72</v>
      </c>
      <c r="F123" s="7">
        <v>24.74</v>
      </c>
      <c r="G123" s="7">
        <v>26.99</v>
      </c>
      <c r="H123" s="7">
        <v>32.49</v>
      </c>
      <c r="I123" s="7">
        <v>22.7</v>
      </c>
      <c r="J123" s="7">
        <v>39.090000000000003</v>
      </c>
      <c r="K123" s="7">
        <v>41.72</v>
      </c>
      <c r="L123" s="7">
        <v>25.61</v>
      </c>
      <c r="M123" s="7">
        <v>31.67</v>
      </c>
      <c r="N123" s="7">
        <v>17.309999999999999</v>
      </c>
      <c r="O123" s="22">
        <v>458.67000000000007</v>
      </c>
    </row>
    <row r="124" spans="1:16" ht="15" customHeight="1" x14ac:dyDescent="0.2">
      <c r="B124" s="2" t="s">
        <v>338</v>
      </c>
      <c r="C124" s="7">
        <v>3.36</v>
      </c>
      <c r="D124" s="7">
        <v>10.18</v>
      </c>
      <c r="E124" s="7">
        <v>7.11</v>
      </c>
      <c r="F124" s="7">
        <v>4.5999999999999996</v>
      </c>
      <c r="G124" s="7">
        <v>8.74</v>
      </c>
      <c r="H124" s="7">
        <v>5.13</v>
      </c>
      <c r="I124" s="7">
        <v>6.55</v>
      </c>
      <c r="J124" s="7">
        <v>6.44</v>
      </c>
      <c r="K124" s="7">
        <v>8.85</v>
      </c>
      <c r="L124" s="7">
        <v>13.95</v>
      </c>
      <c r="M124" s="7">
        <v>5.13</v>
      </c>
      <c r="N124" s="7">
        <v>2.86</v>
      </c>
      <c r="O124" s="22">
        <v>82.899999999999991</v>
      </c>
    </row>
    <row r="125" spans="1:16" ht="15" customHeight="1" x14ac:dyDescent="0.2">
      <c r="B125" s="2" t="s">
        <v>339</v>
      </c>
      <c r="C125" s="7">
        <v>0</v>
      </c>
      <c r="D125" s="7">
        <v>0</v>
      </c>
      <c r="E125" s="7">
        <v>0.02</v>
      </c>
      <c r="F125" s="7">
        <v>0.01</v>
      </c>
      <c r="G125" s="7">
        <v>0.26</v>
      </c>
      <c r="H125" s="7">
        <v>0.03</v>
      </c>
      <c r="I125" s="7">
        <v>0</v>
      </c>
      <c r="J125" s="7">
        <v>0.02</v>
      </c>
      <c r="K125" s="7">
        <v>0.02</v>
      </c>
      <c r="L125" s="7">
        <v>0.04</v>
      </c>
      <c r="M125" s="7">
        <v>0</v>
      </c>
      <c r="N125" s="7">
        <v>0</v>
      </c>
      <c r="O125" s="22">
        <v>0.40000000000000008</v>
      </c>
    </row>
    <row r="126" spans="1:16" ht="15" customHeight="1" x14ac:dyDescent="0.2">
      <c r="B126" s="2" t="s">
        <v>340</v>
      </c>
      <c r="C126" s="7">
        <v>0</v>
      </c>
      <c r="D126" s="7">
        <v>0</v>
      </c>
      <c r="E126" s="7">
        <v>0</v>
      </c>
      <c r="F126" s="7">
        <v>0.08</v>
      </c>
      <c r="G126" s="7">
        <v>0.03</v>
      </c>
      <c r="H126" s="7">
        <v>0</v>
      </c>
      <c r="I126" s="7">
        <v>0</v>
      </c>
      <c r="J126" s="7">
        <v>0</v>
      </c>
      <c r="K126" s="7">
        <v>0</v>
      </c>
      <c r="L126" s="7">
        <v>0</v>
      </c>
      <c r="M126" s="7">
        <v>0</v>
      </c>
      <c r="N126" s="7">
        <v>0</v>
      </c>
      <c r="O126" s="22">
        <v>0.11</v>
      </c>
    </row>
    <row r="127" spans="1:16" ht="15" customHeight="1" x14ac:dyDescent="0.2">
      <c r="B127" s="2" t="s">
        <v>341</v>
      </c>
      <c r="C127" s="7">
        <v>0.02</v>
      </c>
      <c r="D127" s="7">
        <v>0.02</v>
      </c>
      <c r="E127" s="7">
        <v>0.03</v>
      </c>
      <c r="F127" s="7">
        <v>0</v>
      </c>
      <c r="G127" s="7">
        <v>0.01</v>
      </c>
      <c r="H127" s="7">
        <v>0.01</v>
      </c>
      <c r="I127" s="7">
        <v>0.03</v>
      </c>
      <c r="J127" s="7">
        <v>0.02</v>
      </c>
      <c r="K127" s="7">
        <v>7.0000000000000007E-2</v>
      </c>
      <c r="L127" s="7">
        <v>0.05</v>
      </c>
      <c r="M127" s="7">
        <v>0</v>
      </c>
      <c r="N127" s="7">
        <v>0</v>
      </c>
      <c r="O127" s="22">
        <v>0.26</v>
      </c>
    </row>
    <row r="128" spans="1:16" ht="15" customHeight="1" x14ac:dyDescent="0.2">
      <c r="B128" s="2" t="s">
        <v>343</v>
      </c>
      <c r="C128" s="7">
        <v>0</v>
      </c>
      <c r="D128" s="7">
        <v>0</v>
      </c>
      <c r="E128" s="7">
        <v>0</v>
      </c>
      <c r="F128" s="7">
        <v>0</v>
      </c>
      <c r="G128" s="7">
        <v>0</v>
      </c>
      <c r="H128" s="7">
        <v>0</v>
      </c>
      <c r="I128" s="7">
        <v>0</v>
      </c>
      <c r="J128" s="7">
        <v>0</v>
      </c>
      <c r="K128" s="7">
        <v>0</v>
      </c>
      <c r="L128" s="7">
        <v>0.11</v>
      </c>
      <c r="M128" s="7">
        <v>0</v>
      </c>
      <c r="N128" s="7">
        <v>0</v>
      </c>
      <c r="O128" s="22">
        <v>0.11</v>
      </c>
    </row>
    <row r="129" spans="1:16" ht="15" customHeight="1" x14ac:dyDescent="0.25">
      <c r="A129" s="24"/>
      <c r="B129" s="24"/>
      <c r="C129" s="24"/>
      <c r="D129" s="24"/>
      <c r="E129" s="24"/>
      <c r="F129" s="24"/>
      <c r="G129" s="24"/>
      <c r="H129" s="24"/>
      <c r="I129" s="24"/>
      <c r="J129" s="24"/>
      <c r="K129" s="24"/>
      <c r="L129" s="24"/>
      <c r="M129" s="24"/>
      <c r="N129" s="24"/>
      <c r="O129" s="24"/>
    </row>
    <row r="130" spans="1:16" s="4" customFormat="1" ht="15" customHeight="1" x14ac:dyDescent="0.25">
      <c r="A130" s="3" t="s">
        <v>140</v>
      </c>
      <c r="C130" s="5">
        <v>13.71</v>
      </c>
      <c r="D130" s="5">
        <v>21.069999999999993</v>
      </c>
      <c r="E130" s="5">
        <v>12.849999999999998</v>
      </c>
      <c r="F130" s="5">
        <v>13.440000000000001</v>
      </c>
      <c r="G130" s="5">
        <v>12.310000000000002</v>
      </c>
      <c r="H130" s="5">
        <v>12.39</v>
      </c>
      <c r="I130" s="5">
        <v>13.310000000000002</v>
      </c>
      <c r="J130" s="5">
        <v>10.73</v>
      </c>
      <c r="K130" s="5">
        <v>14.099999999999996</v>
      </c>
      <c r="L130" s="5">
        <v>16.880000000000003</v>
      </c>
      <c r="M130" s="5">
        <v>11.899999999999997</v>
      </c>
      <c r="N130" s="5">
        <v>8.4499999999999993</v>
      </c>
      <c r="O130" s="21">
        <v>161.13999999999999</v>
      </c>
      <c r="P130" s="5"/>
    </row>
    <row r="131" spans="1:16" ht="15" customHeight="1" x14ac:dyDescent="0.2">
      <c r="B131" s="2" t="s">
        <v>346</v>
      </c>
      <c r="C131" s="7">
        <v>3.95</v>
      </c>
      <c r="D131" s="7">
        <v>3.53</v>
      </c>
      <c r="E131" s="7">
        <v>3.12</v>
      </c>
      <c r="F131" s="7">
        <v>4.49</v>
      </c>
      <c r="G131" s="7">
        <v>3.18</v>
      </c>
      <c r="H131" s="7">
        <v>3.11</v>
      </c>
      <c r="I131" s="7">
        <v>2.81</v>
      </c>
      <c r="J131" s="7">
        <v>3.22</v>
      </c>
      <c r="K131" s="7">
        <v>2.66</v>
      </c>
      <c r="L131" s="7">
        <v>5.12</v>
      </c>
      <c r="M131" s="7">
        <v>4.18</v>
      </c>
      <c r="N131" s="7">
        <v>2.54</v>
      </c>
      <c r="O131" s="22">
        <v>41.91</v>
      </c>
    </row>
    <row r="132" spans="1:16" ht="15" customHeight="1" x14ac:dyDescent="0.2">
      <c r="B132" s="2" t="s">
        <v>347</v>
      </c>
      <c r="C132" s="7">
        <v>2.74</v>
      </c>
      <c r="D132" s="7">
        <v>0.66</v>
      </c>
      <c r="E132" s="7">
        <v>0.35</v>
      </c>
      <c r="F132" s="7">
        <v>1.29</v>
      </c>
      <c r="G132" s="7">
        <v>0.81</v>
      </c>
      <c r="H132" s="7">
        <v>0.74</v>
      </c>
      <c r="I132" s="7">
        <v>3.01</v>
      </c>
      <c r="J132" s="7">
        <v>0.42</v>
      </c>
      <c r="K132" s="7">
        <v>3.41</v>
      </c>
      <c r="L132" s="7">
        <v>3.18</v>
      </c>
      <c r="M132" s="7">
        <v>0.56000000000000005</v>
      </c>
      <c r="N132" s="7">
        <v>1.1000000000000001</v>
      </c>
      <c r="O132" s="22">
        <v>18.270000000000003</v>
      </c>
    </row>
    <row r="133" spans="1:16" ht="15" customHeight="1" x14ac:dyDescent="0.2">
      <c r="B133" s="2" t="s">
        <v>348</v>
      </c>
      <c r="C133" s="7">
        <v>0.28999999999999998</v>
      </c>
      <c r="D133" s="7">
        <v>0.21</v>
      </c>
      <c r="E133" s="7">
        <v>0.43</v>
      </c>
      <c r="F133" s="7">
        <v>0.13</v>
      </c>
      <c r="G133" s="7">
        <v>0.33</v>
      </c>
      <c r="H133" s="7">
        <v>0.22</v>
      </c>
      <c r="I133" s="7">
        <v>0.28999999999999998</v>
      </c>
      <c r="J133" s="7">
        <v>0.32</v>
      </c>
      <c r="K133" s="7">
        <v>0.14000000000000001</v>
      </c>
      <c r="L133" s="7">
        <v>0.34</v>
      </c>
      <c r="M133" s="7">
        <v>0.12</v>
      </c>
      <c r="N133" s="7">
        <v>0.04</v>
      </c>
      <c r="O133" s="22">
        <v>2.8600000000000003</v>
      </c>
    </row>
    <row r="134" spans="1:16" ht="15" customHeight="1" x14ac:dyDescent="0.2">
      <c r="B134" s="2" t="s">
        <v>349</v>
      </c>
      <c r="C134" s="7">
        <v>0.25</v>
      </c>
      <c r="D134" s="7">
        <v>0.18</v>
      </c>
      <c r="E134" s="7">
        <v>0.23</v>
      </c>
      <c r="F134" s="7">
        <v>0.13</v>
      </c>
      <c r="G134" s="7">
        <v>0.19</v>
      </c>
      <c r="H134" s="7">
        <v>0.1</v>
      </c>
      <c r="I134" s="7">
        <v>0.05</v>
      </c>
      <c r="J134" s="7">
        <v>0.27</v>
      </c>
      <c r="K134" s="7">
        <v>0.25</v>
      </c>
      <c r="L134" s="7">
        <v>0.18</v>
      </c>
      <c r="M134" s="7">
        <v>0.16</v>
      </c>
      <c r="N134" s="7">
        <v>0.13</v>
      </c>
      <c r="O134" s="22">
        <v>2.12</v>
      </c>
    </row>
    <row r="135" spans="1:16" ht="15" customHeight="1" x14ac:dyDescent="0.2">
      <c r="B135" s="2" t="s">
        <v>350</v>
      </c>
      <c r="C135" s="7">
        <v>1.51</v>
      </c>
      <c r="D135" s="7">
        <v>7.27</v>
      </c>
      <c r="E135" s="7">
        <v>2.1</v>
      </c>
      <c r="F135" s="7">
        <v>1.44</v>
      </c>
      <c r="G135" s="7">
        <v>1.63</v>
      </c>
      <c r="H135" s="7">
        <v>1.94</v>
      </c>
      <c r="I135" s="7">
        <v>1.24</v>
      </c>
      <c r="J135" s="7">
        <v>1.51</v>
      </c>
      <c r="K135" s="7">
        <v>1.42</v>
      </c>
      <c r="L135" s="7">
        <v>1.17</v>
      </c>
      <c r="M135" s="7">
        <v>1.24</v>
      </c>
      <c r="N135" s="7">
        <v>0.7</v>
      </c>
      <c r="O135" s="22">
        <v>23.17</v>
      </c>
    </row>
    <row r="136" spans="1:16" ht="15" customHeight="1" x14ac:dyDescent="0.2">
      <c r="B136" s="2" t="s">
        <v>351</v>
      </c>
      <c r="C136" s="7">
        <v>1.68</v>
      </c>
      <c r="D136" s="7">
        <v>3.38</v>
      </c>
      <c r="E136" s="7">
        <v>2.95</v>
      </c>
      <c r="F136" s="7">
        <v>3.17</v>
      </c>
      <c r="G136" s="7">
        <v>3.39</v>
      </c>
      <c r="H136" s="7">
        <v>3.5</v>
      </c>
      <c r="I136" s="7">
        <v>2.95</v>
      </c>
      <c r="J136" s="7">
        <v>2.92</v>
      </c>
      <c r="K136" s="7">
        <v>3.65</v>
      </c>
      <c r="L136" s="7">
        <v>3.64</v>
      </c>
      <c r="M136" s="7">
        <v>2.87</v>
      </c>
      <c r="N136" s="7">
        <v>2.0699999999999998</v>
      </c>
      <c r="O136" s="22">
        <v>36.169999999999995</v>
      </c>
    </row>
    <row r="137" spans="1:16" ht="15" customHeight="1" x14ac:dyDescent="0.2">
      <c r="B137" s="2" t="s">
        <v>352</v>
      </c>
      <c r="C137" s="7">
        <v>0</v>
      </c>
      <c r="D137" s="7">
        <v>0.02</v>
      </c>
      <c r="E137" s="7">
        <v>0.02</v>
      </c>
      <c r="F137" s="7">
        <v>0</v>
      </c>
      <c r="G137" s="7">
        <v>0</v>
      </c>
      <c r="H137" s="7">
        <v>0</v>
      </c>
      <c r="I137" s="7">
        <v>0</v>
      </c>
      <c r="J137" s="7">
        <v>0</v>
      </c>
      <c r="K137" s="7">
        <v>0.03</v>
      </c>
      <c r="L137" s="7">
        <v>0.05</v>
      </c>
      <c r="M137" s="7">
        <v>0.04</v>
      </c>
      <c r="N137" s="7">
        <v>0.06</v>
      </c>
      <c r="O137" s="22">
        <v>0.22</v>
      </c>
    </row>
    <row r="138" spans="1:16" ht="15" customHeight="1" x14ac:dyDescent="0.2">
      <c r="B138" s="2" t="s">
        <v>353</v>
      </c>
      <c r="C138" s="7">
        <v>0.41</v>
      </c>
      <c r="D138" s="7">
        <v>0.75</v>
      </c>
      <c r="E138" s="7">
        <v>0.61</v>
      </c>
      <c r="F138" s="7">
        <v>0.65</v>
      </c>
      <c r="G138" s="7">
        <v>0.49</v>
      </c>
      <c r="H138" s="7">
        <v>0.64</v>
      </c>
      <c r="I138" s="7">
        <v>0</v>
      </c>
      <c r="J138" s="7">
        <v>0.25</v>
      </c>
      <c r="K138" s="7">
        <v>0.79</v>
      </c>
      <c r="L138" s="7">
        <v>0.5</v>
      </c>
      <c r="M138" s="7">
        <v>0.51</v>
      </c>
      <c r="N138" s="7">
        <v>0.45</v>
      </c>
      <c r="O138" s="22">
        <v>6.05</v>
      </c>
    </row>
    <row r="139" spans="1:16" ht="15" customHeight="1" x14ac:dyDescent="0.2">
      <c r="B139" s="2" t="s">
        <v>354</v>
      </c>
      <c r="C139" s="7">
        <v>0</v>
      </c>
      <c r="D139" s="7">
        <v>0</v>
      </c>
      <c r="E139" s="7">
        <v>0</v>
      </c>
      <c r="F139" s="7">
        <v>0</v>
      </c>
      <c r="G139" s="7">
        <v>7.0000000000000007E-2</v>
      </c>
      <c r="H139" s="7">
        <v>0</v>
      </c>
      <c r="I139" s="7">
        <v>0.39</v>
      </c>
      <c r="J139" s="7">
        <v>0</v>
      </c>
      <c r="K139" s="7">
        <v>0</v>
      </c>
      <c r="L139" s="7">
        <v>0</v>
      </c>
      <c r="M139" s="7">
        <v>0</v>
      </c>
      <c r="N139" s="7">
        <v>0</v>
      </c>
      <c r="O139" s="22">
        <v>0.46</v>
      </c>
    </row>
    <row r="140" spans="1:16" ht="15" customHeight="1" x14ac:dyDescent="0.2">
      <c r="B140" s="2" t="s">
        <v>355</v>
      </c>
      <c r="C140" s="7">
        <v>2.65</v>
      </c>
      <c r="D140" s="7">
        <v>4.3600000000000003</v>
      </c>
      <c r="E140" s="7">
        <v>2.58</v>
      </c>
      <c r="F140" s="7">
        <v>1.74</v>
      </c>
      <c r="G140" s="7">
        <v>1.99</v>
      </c>
      <c r="H140" s="7">
        <v>1.87</v>
      </c>
      <c r="I140" s="7">
        <v>2.23</v>
      </c>
      <c r="J140" s="7">
        <v>1.39</v>
      </c>
      <c r="K140" s="7">
        <v>1.45</v>
      </c>
      <c r="L140" s="7">
        <v>2.02</v>
      </c>
      <c r="M140" s="7">
        <v>1.79</v>
      </c>
      <c r="N140" s="7">
        <v>1.1499999999999999</v>
      </c>
      <c r="O140" s="22">
        <v>25.22</v>
      </c>
    </row>
    <row r="141" spans="1:16" ht="15" customHeight="1" x14ac:dyDescent="0.2">
      <c r="B141" s="2" t="s">
        <v>356</v>
      </c>
      <c r="C141" s="7">
        <v>0.21</v>
      </c>
      <c r="D141" s="7">
        <v>0.49</v>
      </c>
      <c r="E141" s="7">
        <v>0.37</v>
      </c>
      <c r="F141" s="7">
        <v>0.32</v>
      </c>
      <c r="G141" s="7">
        <v>0.22</v>
      </c>
      <c r="H141" s="7">
        <v>0.25</v>
      </c>
      <c r="I141" s="7">
        <v>0.32</v>
      </c>
      <c r="J141" s="7">
        <v>0.3</v>
      </c>
      <c r="K141" s="7">
        <v>0.27</v>
      </c>
      <c r="L141" s="7">
        <v>0.32</v>
      </c>
      <c r="M141" s="7">
        <v>0.27</v>
      </c>
      <c r="N141" s="7">
        <v>0.16</v>
      </c>
      <c r="O141" s="22">
        <v>3.4999999999999996</v>
      </c>
    </row>
    <row r="142" spans="1:16" ht="15" customHeight="1" x14ac:dyDescent="0.2">
      <c r="B142" s="2" t="s">
        <v>357</v>
      </c>
      <c r="C142" s="7">
        <v>0.01</v>
      </c>
      <c r="D142" s="7">
        <v>0</v>
      </c>
      <c r="E142" s="7">
        <v>0</v>
      </c>
      <c r="F142" s="7">
        <v>0</v>
      </c>
      <c r="G142" s="7">
        <v>0</v>
      </c>
      <c r="H142" s="7">
        <v>0</v>
      </c>
      <c r="I142" s="7">
        <v>0</v>
      </c>
      <c r="J142" s="7">
        <v>0</v>
      </c>
      <c r="K142" s="7">
        <v>0.01</v>
      </c>
      <c r="L142" s="7">
        <v>0.22</v>
      </c>
      <c r="M142" s="7">
        <v>0.02</v>
      </c>
      <c r="N142" s="7">
        <v>0.04</v>
      </c>
      <c r="O142" s="22">
        <v>0.3</v>
      </c>
    </row>
    <row r="143" spans="1:16" ht="15" customHeight="1" x14ac:dyDescent="0.2">
      <c r="B143" s="2" t="s">
        <v>358</v>
      </c>
      <c r="C143" s="7">
        <v>0.01</v>
      </c>
      <c r="D143" s="7">
        <v>0</v>
      </c>
      <c r="E143" s="7">
        <v>0</v>
      </c>
      <c r="F143" s="7">
        <v>0</v>
      </c>
      <c r="G143" s="7">
        <v>0</v>
      </c>
      <c r="H143" s="7">
        <v>0</v>
      </c>
      <c r="I143" s="7">
        <v>0</v>
      </c>
      <c r="J143" s="7">
        <v>0</v>
      </c>
      <c r="K143" s="7">
        <v>0</v>
      </c>
      <c r="L143" s="7">
        <v>0</v>
      </c>
      <c r="M143" s="7">
        <v>0</v>
      </c>
      <c r="N143" s="7">
        <v>0</v>
      </c>
      <c r="O143" s="22">
        <v>0.01</v>
      </c>
    </row>
    <row r="144" spans="1:16" ht="15" customHeight="1" x14ac:dyDescent="0.2">
      <c r="B144" s="2" t="s">
        <v>359</v>
      </c>
      <c r="C144" s="7">
        <v>0</v>
      </c>
      <c r="D144" s="7">
        <v>0</v>
      </c>
      <c r="E144" s="7">
        <v>0</v>
      </c>
      <c r="F144" s="7">
        <v>0</v>
      </c>
      <c r="G144" s="7">
        <v>0</v>
      </c>
      <c r="H144" s="7">
        <v>0</v>
      </c>
      <c r="I144" s="7">
        <v>0</v>
      </c>
      <c r="J144" s="7">
        <v>0</v>
      </c>
      <c r="K144" s="7">
        <v>0</v>
      </c>
      <c r="L144" s="7">
        <v>0</v>
      </c>
      <c r="M144" s="7">
        <v>0</v>
      </c>
      <c r="N144" s="7">
        <v>0</v>
      </c>
      <c r="O144" s="22">
        <v>0</v>
      </c>
    </row>
    <row r="145" spans="1:15" ht="15" customHeight="1" x14ac:dyDescent="0.2">
      <c r="B145" s="2" t="s">
        <v>360</v>
      </c>
      <c r="C145" s="7">
        <v>0</v>
      </c>
      <c r="D145" s="7">
        <v>0.22</v>
      </c>
      <c r="E145" s="7">
        <v>0.08</v>
      </c>
      <c r="F145" s="7">
        <v>0.08</v>
      </c>
      <c r="G145" s="7">
        <v>0</v>
      </c>
      <c r="H145" s="7">
        <v>0.01</v>
      </c>
      <c r="I145" s="7">
        <v>0.01</v>
      </c>
      <c r="J145" s="7">
        <v>0.09</v>
      </c>
      <c r="K145" s="7">
        <v>0</v>
      </c>
      <c r="L145" s="7">
        <v>0.13</v>
      </c>
      <c r="M145" s="7">
        <v>0.11</v>
      </c>
      <c r="N145" s="7">
        <v>0</v>
      </c>
      <c r="O145" s="22">
        <v>0.73</v>
      </c>
    </row>
    <row r="146" spans="1:15" ht="15" customHeight="1" x14ac:dyDescent="0.2">
      <c r="B146" s="2" t="s">
        <v>361</v>
      </c>
      <c r="C146" s="7">
        <v>0</v>
      </c>
      <c r="D146" s="7">
        <v>0</v>
      </c>
      <c r="E146" s="7">
        <v>0</v>
      </c>
      <c r="F146" s="7">
        <v>0</v>
      </c>
      <c r="G146" s="7">
        <v>0</v>
      </c>
      <c r="H146" s="7">
        <v>0</v>
      </c>
      <c r="I146" s="7">
        <v>0</v>
      </c>
      <c r="J146" s="7">
        <v>0</v>
      </c>
      <c r="K146" s="7">
        <v>0</v>
      </c>
      <c r="L146" s="7">
        <v>0</v>
      </c>
      <c r="M146" s="7">
        <v>0.03</v>
      </c>
      <c r="N146" s="7">
        <v>0</v>
      </c>
      <c r="O146" s="22">
        <v>0.03</v>
      </c>
    </row>
    <row r="147" spans="1:15" ht="15" customHeight="1" x14ac:dyDescent="0.2">
      <c r="B147" s="2" t="s">
        <v>362</v>
      </c>
      <c r="C147" s="7">
        <v>0</v>
      </c>
      <c r="D147" s="7">
        <v>0</v>
      </c>
      <c r="E147" s="7">
        <v>0.01</v>
      </c>
      <c r="F147" s="7">
        <v>0</v>
      </c>
      <c r="G147" s="7">
        <v>0.01</v>
      </c>
      <c r="H147" s="7">
        <v>0.01</v>
      </c>
      <c r="I147" s="7">
        <v>0.01</v>
      </c>
      <c r="J147" s="7">
        <v>0.04</v>
      </c>
      <c r="K147" s="7">
        <v>0.02</v>
      </c>
      <c r="L147" s="7">
        <v>0.01</v>
      </c>
      <c r="M147" s="7">
        <v>0</v>
      </c>
      <c r="N147" s="7">
        <v>0.01</v>
      </c>
      <c r="O147" s="22">
        <v>0.12</v>
      </c>
    </row>
    <row r="148" spans="1:15" ht="15" customHeight="1" x14ac:dyDescent="0.2">
      <c r="C148" s="7"/>
      <c r="D148" s="7"/>
      <c r="E148" s="7"/>
      <c r="O148" s="22"/>
    </row>
    <row r="149" spans="1:15" s="4" customFormat="1" ht="15" customHeight="1" x14ac:dyDescent="0.25">
      <c r="A149" s="3" t="s">
        <v>159</v>
      </c>
      <c r="C149" s="5">
        <v>1.46</v>
      </c>
      <c r="D149" s="5">
        <v>1.95</v>
      </c>
      <c r="E149" s="5">
        <v>1.76</v>
      </c>
      <c r="F149" s="5">
        <v>1.63</v>
      </c>
      <c r="G149" s="5">
        <v>1.85</v>
      </c>
      <c r="H149" s="5">
        <v>1.76</v>
      </c>
      <c r="I149" s="5">
        <v>0.95</v>
      </c>
      <c r="J149" s="5">
        <v>0.68</v>
      </c>
      <c r="K149" s="5">
        <v>0.88</v>
      </c>
      <c r="L149" s="5">
        <v>1.36</v>
      </c>
      <c r="M149" s="5">
        <v>1.29</v>
      </c>
      <c r="N149" s="5">
        <v>1.03</v>
      </c>
      <c r="O149" s="21">
        <v>16.600000000000001</v>
      </c>
    </row>
    <row r="150" spans="1:15" ht="15" customHeight="1" x14ac:dyDescent="0.2">
      <c r="B150" s="2" t="s">
        <v>363</v>
      </c>
      <c r="C150" s="7">
        <v>1.46</v>
      </c>
      <c r="D150" s="7">
        <v>1.95</v>
      </c>
      <c r="E150" s="7">
        <v>1.76</v>
      </c>
      <c r="F150" s="7">
        <v>1.63</v>
      </c>
      <c r="G150" s="7">
        <v>1.85</v>
      </c>
      <c r="H150" s="7">
        <v>1.76</v>
      </c>
      <c r="I150" s="7">
        <v>0.95</v>
      </c>
      <c r="J150" s="7">
        <v>0.68</v>
      </c>
      <c r="K150" s="7">
        <v>0.88</v>
      </c>
      <c r="L150" s="7">
        <v>1.36</v>
      </c>
      <c r="M150" s="7">
        <v>1.29</v>
      </c>
      <c r="N150" s="7">
        <v>1.03</v>
      </c>
      <c r="O150" s="22">
        <v>16.600000000000001</v>
      </c>
    </row>
    <row r="151" spans="1:15" ht="15" customHeight="1" x14ac:dyDescent="0.2">
      <c r="C151" s="7"/>
      <c r="D151" s="7"/>
      <c r="E151" s="7"/>
      <c r="O151" s="22"/>
    </row>
    <row r="152" spans="1:15" s="4" customFormat="1" ht="15" customHeight="1" x14ac:dyDescent="0.25">
      <c r="A152" s="3" t="s">
        <v>161</v>
      </c>
      <c r="C152" s="5">
        <v>3.7899999999999996</v>
      </c>
      <c r="D152" s="5">
        <v>2.5499999999999998</v>
      </c>
      <c r="E152" s="5">
        <v>3.11</v>
      </c>
      <c r="F152" s="5">
        <v>2.9099999999999997</v>
      </c>
      <c r="G152" s="5">
        <v>2.34</v>
      </c>
      <c r="H152" s="5">
        <v>5</v>
      </c>
      <c r="I152" s="5">
        <v>2.82</v>
      </c>
      <c r="J152" s="5">
        <v>1.56</v>
      </c>
      <c r="K152" s="5">
        <v>2.02</v>
      </c>
      <c r="L152" s="5">
        <v>4.3499999999999996</v>
      </c>
      <c r="M152" s="5">
        <v>2.77</v>
      </c>
      <c r="N152" s="5">
        <v>2.3499999999999996</v>
      </c>
      <c r="O152" s="21">
        <v>35.57</v>
      </c>
    </row>
    <row r="153" spans="1:15" ht="15" customHeight="1" x14ac:dyDescent="0.2">
      <c r="B153" s="2" t="s">
        <v>364</v>
      </c>
      <c r="C153" s="7">
        <v>0.01</v>
      </c>
      <c r="D153" s="7">
        <v>0.02</v>
      </c>
      <c r="E153" s="7">
        <v>0.01</v>
      </c>
      <c r="F153" s="7">
        <v>0.01</v>
      </c>
      <c r="G153" s="7">
        <v>0.02</v>
      </c>
      <c r="H153" s="7">
        <v>0.12</v>
      </c>
      <c r="I153" s="7">
        <v>0.02</v>
      </c>
      <c r="J153" s="7">
        <v>0.05</v>
      </c>
      <c r="K153" s="7">
        <v>0.08</v>
      </c>
      <c r="L153" s="7">
        <v>0.04</v>
      </c>
      <c r="M153" s="7">
        <v>0.02</v>
      </c>
      <c r="N153" s="7">
        <v>0.01</v>
      </c>
      <c r="O153" s="22">
        <v>0.41000000000000003</v>
      </c>
    </row>
    <row r="154" spans="1:15" ht="15" customHeight="1" x14ac:dyDescent="0.2">
      <c r="B154" s="2" t="s">
        <v>365</v>
      </c>
      <c r="C154" s="7">
        <v>0</v>
      </c>
      <c r="D154" s="7">
        <v>0</v>
      </c>
      <c r="E154" s="7">
        <v>0.06</v>
      </c>
      <c r="F154" s="7">
        <v>0</v>
      </c>
      <c r="G154" s="7">
        <v>7.0000000000000007E-2</v>
      </c>
      <c r="H154" s="7">
        <v>0</v>
      </c>
      <c r="I154" s="7">
        <v>0.01</v>
      </c>
      <c r="J154" s="7">
        <v>0</v>
      </c>
      <c r="K154" s="7">
        <v>0.06</v>
      </c>
      <c r="L154" s="7">
        <v>0</v>
      </c>
      <c r="M154" s="7">
        <v>0.08</v>
      </c>
      <c r="N154" s="7">
        <v>0</v>
      </c>
      <c r="O154" s="22">
        <v>0.28000000000000003</v>
      </c>
    </row>
    <row r="155" spans="1:15" ht="15" customHeight="1" x14ac:dyDescent="0.2">
      <c r="B155" s="2" t="s">
        <v>366</v>
      </c>
      <c r="C155" s="7">
        <v>3.78</v>
      </c>
      <c r="D155" s="7">
        <v>2.5299999999999998</v>
      </c>
      <c r="E155" s="7">
        <v>3.04</v>
      </c>
      <c r="F155" s="7">
        <v>2.9</v>
      </c>
      <c r="G155" s="7">
        <v>2.25</v>
      </c>
      <c r="H155" s="7">
        <v>4.88</v>
      </c>
      <c r="I155" s="7">
        <v>2.79</v>
      </c>
      <c r="J155" s="7">
        <v>1.51</v>
      </c>
      <c r="K155" s="7">
        <v>1.88</v>
      </c>
      <c r="L155" s="7">
        <v>4.3099999999999996</v>
      </c>
      <c r="M155" s="7">
        <v>2.67</v>
      </c>
      <c r="N155" s="7">
        <v>2.34</v>
      </c>
      <c r="O155" s="22">
        <v>34.879999999999995</v>
      </c>
    </row>
    <row r="156" spans="1:15" ht="15" customHeight="1" x14ac:dyDescent="0.2">
      <c r="C156" s="7"/>
      <c r="D156" s="7"/>
      <c r="E156" s="7"/>
      <c r="F156" s="7"/>
      <c r="G156" s="7"/>
      <c r="H156" s="7"/>
      <c r="I156" s="7"/>
      <c r="J156" s="7"/>
      <c r="K156" s="7"/>
      <c r="L156" s="7"/>
      <c r="M156" s="7"/>
      <c r="N156" s="7"/>
      <c r="O156" s="22"/>
    </row>
    <row r="157" spans="1:15" s="4" customFormat="1" ht="15" customHeight="1" x14ac:dyDescent="0.25">
      <c r="A157" s="3" t="s">
        <v>166</v>
      </c>
      <c r="C157" s="5">
        <v>25.78</v>
      </c>
      <c r="D157" s="5">
        <v>32.53</v>
      </c>
      <c r="E157" s="5">
        <v>32.03</v>
      </c>
      <c r="F157" s="5">
        <v>22.819999999999997</v>
      </c>
      <c r="G157" s="5">
        <v>26.11</v>
      </c>
      <c r="H157" s="5">
        <v>25.25</v>
      </c>
      <c r="I157" s="5">
        <v>25.92</v>
      </c>
      <c r="J157" s="5">
        <v>21.549999999999997</v>
      </c>
      <c r="K157" s="5">
        <v>25.11</v>
      </c>
      <c r="L157" s="5">
        <v>25.860000000000003</v>
      </c>
      <c r="M157" s="5">
        <v>25.099999999999998</v>
      </c>
      <c r="N157" s="5">
        <v>16.61</v>
      </c>
      <c r="O157" s="21">
        <v>304.67000000000007</v>
      </c>
    </row>
    <row r="158" spans="1:15" ht="15" customHeight="1" x14ac:dyDescent="0.2">
      <c r="B158" s="2" t="s">
        <v>367</v>
      </c>
      <c r="C158" s="7">
        <v>23.62</v>
      </c>
      <c r="D158" s="7">
        <v>28.52</v>
      </c>
      <c r="E158" s="7">
        <v>27.34</v>
      </c>
      <c r="F158" s="7">
        <v>19.87</v>
      </c>
      <c r="G158" s="7">
        <v>22.74</v>
      </c>
      <c r="H158" s="7">
        <v>21.49</v>
      </c>
      <c r="I158" s="7">
        <v>22.62</v>
      </c>
      <c r="J158" s="7">
        <v>18.68</v>
      </c>
      <c r="K158" s="7">
        <v>22.63</v>
      </c>
      <c r="L158" s="7">
        <v>22.64</v>
      </c>
      <c r="M158" s="7">
        <v>21.23</v>
      </c>
      <c r="N158" s="7">
        <v>13.76</v>
      </c>
      <c r="O158" s="22">
        <v>265.14000000000004</v>
      </c>
    </row>
    <row r="159" spans="1:15" ht="15" customHeight="1" x14ac:dyDescent="0.2">
      <c r="B159" s="2" t="s">
        <v>368</v>
      </c>
      <c r="C159" s="7">
        <v>1.79</v>
      </c>
      <c r="D159" s="7">
        <v>2.46</v>
      </c>
      <c r="E159" s="7">
        <v>2.35</v>
      </c>
      <c r="F159" s="7">
        <v>2.4700000000000002</v>
      </c>
      <c r="G159" s="7">
        <v>2.6</v>
      </c>
      <c r="H159" s="7">
        <v>2.6</v>
      </c>
      <c r="I159" s="7">
        <v>2.36</v>
      </c>
      <c r="J159" s="7">
        <v>2.31</v>
      </c>
      <c r="K159" s="7">
        <v>1.85</v>
      </c>
      <c r="L159" s="7">
        <v>2.39</v>
      </c>
      <c r="M159" s="7">
        <v>2.38</v>
      </c>
      <c r="N159" s="7">
        <v>1.94</v>
      </c>
      <c r="O159" s="22">
        <v>27.5</v>
      </c>
    </row>
    <row r="160" spans="1:15" ht="15" customHeight="1" x14ac:dyDescent="0.2">
      <c r="B160" s="2" t="s">
        <v>369</v>
      </c>
      <c r="C160" s="7">
        <v>0.23</v>
      </c>
      <c r="D160" s="7">
        <v>0.16</v>
      </c>
      <c r="E160" s="7">
        <v>0.11</v>
      </c>
      <c r="F160" s="7">
        <v>0.08</v>
      </c>
      <c r="G160" s="7">
        <v>0.08</v>
      </c>
      <c r="H160" s="7">
        <v>0.11</v>
      </c>
      <c r="I160" s="7">
        <v>0.1</v>
      </c>
      <c r="J160" s="7">
        <v>0.06</v>
      </c>
      <c r="K160" s="7">
        <v>0.06</v>
      </c>
      <c r="L160" s="7">
        <v>0.11</v>
      </c>
      <c r="M160" s="7">
        <v>0.06</v>
      </c>
      <c r="N160" s="7">
        <v>0.03</v>
      </c>
      <c r="O160" s="22">
        <v>1.1900000000000002</v>
      </c>
    </row>
    <row r="161" spans="1:16" ht="15" customHeight="1" x14ac:dyDescent="0.2">
      <c r="B161" s="2" t="s">
        <v>370</v>
      </c>
      <c r="C161" s="7">
        <v>0.14000000000000001</v>
      </c>
      <c r="D161" s="7">
        <v>0</v>
      </c>
      <c r="E161" s="7">
        <v>0</v>
      </c>
      <c r="F161" s="7">
        <v>0</v>
      </c>
      <c r="G161" s="7">
        <v>0</v>
      </c>
      <c r="H161" s="7">
        <v>0</v>
      </c>
      <c r="I161" s="7">
        <v>0</v>
      </c>
      <c r="J161" s="7">
        <v>0</v>
      </c>
      <c r="K161" s="7">
        <v>0.03</v>
      </c>
      <c r="L161" s="7">
        <v>0.01</v>
      </c>
      <c r="M161" s="7">
        <v>0</v>
      </c>
      <c r="N161" s="7">
        <v>0.01</v>
      </c>
      <c r="O161" s="22">
        <v>0.19000000000000003</v>
      </c>
    </row>
    <row r="162" spans="1:16" ht="15" customHeight="1" x14ac:dyDescent="0.2">
      <c r="B162" s="2" t="s">
        <v>371</v>
      </c>
      <c r="C162" s="7">
        <v>0</v>
      </c>
      <c r="D162" s="7">
        <v>0.01</v>
      </c>
      <c r="E162" s="7">
        <v>0</v>
      </c>
      <c r="F162" s="7">
        <v>0</v>
      </c>
      <c r="G162" s="7">
        <v>0</v>
      </c>
      <c r="H162" s="7">
        <v>0.09</v>
      </c>
      <c r="I162" s="7">
        <v>0.01</v>
      </c>
      <c r="J162" s="7">
        <v>0</v>
      </c>
      <c r="K162" s="7">
        <v>0</v>
      </c>
      <c r="L162" s="7">
        <v>0.01</v>
      </c>
      <c r="M162" s="7">
        <v>0.22</v>
      </c>
      <c r="N162" s="7">
        <v>0</v>
      </c>
      <c r="O162" s="22">
        <v>0.33999999999999997</v>
      </c>
    </row>
    <row r="163" spans="1:16" ht="15" customHeight="1" x14ac:dyDescent="0.2">
      <c r="B163" s="2" t="s">
        <v>372</v>
      </c>
      <c r="C163" s="7">
        <v>0</v>
      </c>
      <c r="D163" s="7">
        <v>1.38</v>
      </c>
      <c r="E163" s="7">
        <v>2.23</v>
      </c>
      <c r="F163" s="7">
        <v>0.4</v>
      </c>
      <c r="G163" s="7">
        <v>0.69</v>
      </c>
      <c r="H163" s="7">
        <v>0.96</v>
      </c>
      <c r="I163" s="7">
        <v>0.83</v>
      </c>
      <c r="J163" s="7">
        <v>0.5</v>
      </c>
      <c r="K163" s="7">
        <v>0.54</v>
      </c>
      <c r="L163" s="7">
        <v>0.7</v>
      </c>
      <c r="M163" s="7">
        <v>1.21</v>
      </c>
      <c r="N163" s="7">
        <v>0.87</v>
      </c>
      <c r="O163" s="22">
        <v>10.309999999999997</v>
      </c>
    </row>
    <row r="164" spans="1:16" ht="15" customHeight="1" x14ac:dyDescent="0.2">
      <c r="C164" s="7"/>
      <c r="D164" s="7"/>
      <c r="E164" s="7"/>
      <c r="F164" s="7"/>
      <c r="G164" s="7"/>
      <c r="H164" s="7"/>
      <c r="I164" s="7"/>
      <c r="J164" s="7"/>
      <c r="K164" s="7"/>
      <c r="L164" s="7"/>
      <c r="M164" s="7"/>
      <c r="N164" s="7"/>
      <c r="O164" s="22"/>
    </row>
    <row r="165" spans="1:16" s="4" customFormat="1" ht="15" customHeight="1" x14ac:dyDescent="0.25">
      <c r="A165" s="3" t="s">
        <v>174</v>
      </c>
      <c r="C165" s="5">
        <v>330.38</v>
      </c>
      <c r="D165" s="5">
        <v>428.65</v>
      </c>
      <c r="E165" s="5">
        <v>382.02</v>
      </c>
      <c r="F165" s="5">
        <v>328.77</v>
      </c>
      <c r="G165" s="5">
        <v>403.65999999999997</v>
      </c>
      <c r="H165" s="5">
        <v>362.56000000000006</v>
      </c>
      <c r="I165" s="5">
        <v>368.61</v>
      </c>
      <c r="J165" s="5">
        <v>346.07</v>
      </c>
      <c r="K165" s="5">
        <v>411.89</v>
      </c>
      <c r="L165" s="5">
        <v>427.47</v>
      </c>
      <c r="M165" s="5">
        <v>327.01999999999992</v>
      </c>
      <c r="N165" s="5">
        <v>245.64</v>
      </c>
      <c r="O165" s="21">
        <v>4362.74</v>
      </c>
    </row>
    <row r="166" spans="1:16" ht="15" customHeight="1" x14ac:dyDescent="0.2">
      <c r="B166" s="2" t="s">
        <v>373</v>
      </c>
      <c r="C166" s="7">
        <v>44.16</v>
      </c>
      <c r="D166" s="7">
        <v>48.12</v>
      </c>
      <c r="E166" s="7">
        <v>46.58</v>
      </c>
      <c r="F166" s="7">
        <v>39.54</v>
      </c>
      <c r="G166" s="7">
        <v>47.79</v>
      </c>
      <c r="H166" s="7">
        <v>41.4</v>
      </c>
      <c r="I166" s="7">
        <v>42.06</v>
      </c>
      <c r="J166" s="7">
        <v>38.79</v>
      </c>
      <c r="K166" s="7">
        <v>54.92</v>
      </c>
      <c r="L166" s="7">
        <v>50.45</v>
      </c>
      <c r="M166" s="7">
        <v>39.590000000000003</v>
      </c>
      <c r="N166" s="7">
        <v>32.25</v>
      </c>
      <c r="O166" s="22">
        <v>525.65</v>
      </c>
    </row>
    <row r="167" spans="1:16" ht="15" customHeight="1" x14ac:dyDescent="0.2">
      <c r="B167" s="2" t="s">
        <v>374</v>
      </c>
      <c r="C167" s="7">
        <v>4.1399999999999997</v>
      </c>
      <c r="D167" s="7">
        <v>10.27</v>
      </c>
      <c r="E167" s="7">
        <v>3.57</v>
      </c>
      <c r="F167" s="7">
        <v>5.78</v>
      </c>
      <c r="G167" s="7">
        <v>3.85</v>
      </c>
      <c r="H167" s="7">
        <v>4.7699999999999996</v>
      </c>
      <c r="I167" s="7">
        <v>3.08</v>
      </c>
      <c r="J167" s="7">
        <v>2.9</v>
      </c>
      <c r="K167" s="7">
        <v>3.44</v>
      </c>
      <c r="L167" s="7">
        <v>7.5</v>
      </c>
      <c r="M167" s="7">
        <v>4.33</v>
      </c>
      <c r="N167" s="7">
        <v>2.38</v>
      </c>
      <c r="O167" s="22">
        <v>56.01</v>
      </c>
    </row>
    <row r="168" spans="1:16" ht="15" customHeight="1" x14ac:dyDescent="0.2">
      <c r="B168" s="2" t="s">
        <v>375</v>
      </c>
      <c r="C168" s="7">
        <v>40.4</v>
      </c>
      <c r="D168" s="7">
        <v>46.66</v>
      </c>
      <c r="E168" s="7">
        <v>39.549999999999997</v>
      </c>
      <c r="F168" s="7">
        <v>35.15</v>
      </c>
      <c r="G168" s="7">
        <v>39.97</v>
      </c>
      <c r="H168" s="7">
        <v>33.630000000000003</v>
      </c>
      <c r="I168" s="7">
        <v>38.590000000000003</v>
      </c>
      <c r="J168" s="7">
        <v>34.590000000000003</v>
      </c>
      <c r="K168" s="7">
        <v>49.87</v>
      </c>
      <c r="L168" s="7">
        <v>59.83</v>
      </c>
      <c r="M168" s="7">
        <v>24.96</v>
      </c>
      <c r="N168" s="7">
        <v>17.34</v>
      </c>
      <c r="O168" s="22">
        <v>460.53999999999991</v>
      </c>
    </row>
    <row r="169" spans="1:16" ht="15" customHeight="1" x14ac:dyDescent="0.2">
      <c r="B169" s="2" t="s">
        <v>376</v>
      </c>
      <c r="C169" s="7">
        <v>216.17</v>
      </c>
      <c r="D169" s="7">
        <v>280.63</v>
      </c>
      <c r="E169" s="7">
        <v>249.05</v>
      </c>
      <c r="F169" s="7">
        <v>216.19</v>
      </c>
      <c r="G169" s="7">
        <v>274.27</v>
      </c>
      <c r="H169" s="7">
        <v>250.02</v>
      </c>
      <c r="I169" s="7">
        <v>251.76</v>
      </c>
      <c r="J169" s="7">
        <v>235.82</v>
      </c>
      <c r="K169" s="7">
        <v>267.27999999999997</v>
      </c>
      <c r="L169" s="7">
        <v>271.42</v>
      </c>
      <c r="M169" s="7">
        <v>221.65</v>
      </c>
      <c r="N169" s="7">
        <v>164.27</v>
      </c>
      <c r="O169" s="22">
        <v>2898.5299999999997</v>
      </c>
    </row>
    <row r="170" spans="1:16" ht="15" customHeight="1" x14ac:dyDescent="0.2">
      <c r="B170" s="2" t="s">
        <v>378</v>
      </c>
      <c r="C170" s="7">
        <v>25.51</v>
      </c>
      <c r="D170" s="7">
        <v>42.96</v>
      </c>
      <c r="E170" s="7">
        <v>43.26</v>
      </c>
      <c r="F170" s="7">
        <v>32.11</v>
      </c>
      <c r="G170" s="7">
        <v>37.770000000000003</v>
      </c>
      <c r="H170" s="7">
        <v>32.74</v>
      </c>
      <c r="I170" s="7">
        <v>33.1</v>
      </c>
      <c r="J170" s="7">
        <v>33.94</v>
      </c>
      <c r="K170" s="7">
        <v>36.35</v>
      </c>
      <c r="L170" s="7">
        <v>38.270000000000003</v>
      </c>
      <c r="M170" s="7">
        <v>36.46</v>
      </c>
      <c r="N170" s="7">
        <v>29.39</v>
      </c>
      <c r="O170" s="22">
        <v>421.85999999999996</v>
      </c>
    </row>
    <row r="171" spans="1:16" ht="15" customHeight="1" x14ac:dyDescent="0.2">
      <c r="B171" s="2" t="s">
        <v>379</v>
      </c>
      <c r="C171" s="7">
        <v>0</v>
      </c>
      <c r="D171" s="7">
        <v>0.01</v>
      </c>
      <c r="E171" s="7">
        <v>0.01</v>
      </c>
      <c r="F171" s="7">
        <v>0</v>
      </c>
      <c r="G171" s="7">
        <v>0.01</v>
      </c>
      <c r="H171" s="7">
        <v>0</v>
      </c>
      <c r="I171" s="7">
        <v>0.02</v>
      </c>
      <c r="J171" s="7">
        <v>0.03</v>
      </c>
      <c r="K171" s="7">
        <v>0.03</v>
      </c>
      <c r="L171" s="7">
        <v>0</v>
      </c>
      <c r="M171" s="7">
        <v>0.03</v>
      </c>
      <c r="N171" s="7">
        <v>0.01</v>
      </c>
      <c r="O171" s="22">
        <v>0.15000000000000002</v>
      </c>
    </row>
    <row r="172" spans="1:16" ht="15" customHeight="1" x14ac:dyDescent="0.2">
      <c r="C172" s="7"/>
      <c r="D172" s="7"/>
      <c r="E172" s="7"/>
      <c r="F172" s="7"/>
      <c r="G172" s="7"/>
      <c r="H172" s="7"/>
      <c r="I172" s="7"/>
      <c r="J172" s="7"/>
      <c r="K172" s="7"/>
      <c r="L172" s="7"/>
      <c r="M172" s="7"/>
      <c r="N172" s="7"/>
      <c r="O172" s="22"/>
    </row>
    <row r="173" spans="1:16" s="4" customFormat="1" ht="15" customHeight="1" x14ac:dyDescent="0.25">
      <c r="A173" s="3" t="s">
        <v>182</v>
      </c>
      <c r="C173" s="5">
        <v>131.21</v>
      </c>
      <c r="D173" s="5">
        <v>79.029999999999987</v>
      </c>
      <c r="E173" s="5">
        <v>8.9199999999999982</v>
      </c>
      <c r="F173" s="5">
        <v>14.169999999999998</v>
      </c>
      <c r="G173" s="5">
        <v>11.9</v>
      </c>
      <c r="H173" s="5">
        <v>97.839999999999989</v>
      </c>
      <c r="I173" s="5">
        <v>193.51000000000002</v>
      </c>
      <c r="J173" s="5">
        <v>19.370000000000005</v>
      </c>
      <c r="K173" s="5">
        <v>22.710000000000004</v>
      </c>
      <c r="L173" s="5">
        <v>21.790000000000006</v>
      </c>
      <c r="M173" s="5">
        <v>23.729999999999997</v>
      </c>
      <c r="N173" s="5">
        <v>8.8699999999999957</v>
      </c>
      <c r="O173" s="21">
        <v>633.05000000000007</v>
      </c>
      <c r="P173" s="5"/>
    </row>
    <row r="174" spans="1:16" ht="15" customHeight="1" x14ac:dyDescent="0.2">
      <c r="B174" s="2" t="s">
        <v>380</v>
      </c>
      <c r="C174" s="7">
        <v>1.54</v>
      </c>
      <c r="D174" s="7">
        <v>3.92</v>
      </c>
      <c r="E174" s="7">
        <v>0.56999999999999995</v>
      </c>
      <c r="F174" s="7">
        <v>0.55000000000000004</v>
      </c>
      <c r="G174" s="7">
        <v>2.95</v>
      </c>
      <c r="H174" s="7">
        <v>0.27</v>
      </c>
      <c r="I174" s="7">
        <v>0.91</v>
      </c>
      <c r="J174" s="7">
        <v>1.28</v>
      </c>
      <c r="K174" s="7">
        <v>1.63</v>
      </c>
      <c r="L174" s="7">
        <v>0.27</v>
      </c>
      <c r="M174" s="7">
        <v>0.86</v>
      </c>
      <c r="N174" s="7">
        <v>0.88</v>
      </c>
      <c r="O174" s="22">
        <v>15.63</v>
      </c>
    </row>
    <row r="175" spans="1:16" ht="15" customHeight="1" x14ac:dyDescent="0.2">
      <c r="B175" s="2" t="s">
        <v>381</v>
      </c>
      <c r="C175" s="7">
        <v>1.52</v>
      </c>
      <c r="D175" s="7">
        <v>3.94</v>
      </c>
      <c r="E175" s="7">
        <v>2.41</v>
      </c>
      <c r="F175" s="7">
        <v>2.8</v>
      </c>
      <c r="G175" s="7">
        <v>1.77</v>
      </c>
      <c r="H175" s="7">
        <v>2</v>
      </c>
      <c r="I175" s="7">
        <v>4.8899999999999997</v>
      </c>
      <c r="J175" s="7">
        <v>3.27</v>
      </c>
      <c r="K175" s="7">
        <v>2.79</v>
      </c>
      <c r="L175" s="7">
        <v>2.65</v>
      </c>
      <c r="M175" s="7">
        <v>1.33</v>
      </c>
      <c r="N175" s="7">
        <v>0.36</v>
      </c>
      <c r="O175" s="22">
        <v>29.729999999999997</v>
      </c>
    </row>
    <row r="176" spans="1:16" ht="15" customHeight="1" x14ac:dyDescent="0.2">
      <c r="B176" s="2" t="s">
        <v>440</v>
      </c>
      <c r="C176" s="7">
        <v>0</v>
      </c>
      <c r="D176" s="7"/>
      <c r="E176" s="7">
        <v>0</v>
      </c>
      <c r="F176" s="7">
        <v>0</v>
      </c>
      <c r="G176" s="7">
        <v>0</v>
      </c>
      <c r="H176" s="7">
        <v>0</v>
      </c>
      <c r="I176" s="7">
        <v>0</v>
      </c>
      <c r="J176" s="7">
        <v>0</v>
      </c>
      <c r="K176" s="7">
        <v>0.03</v>
      </c>
      <c r="L176" s="7">
        <v>0</v>
      </c>
      <c r="M176" s="7">
        <v>0</v>
      </c>
      <c r="N176" s="7">
        <v>0</v>
      </c>
      <c r="O176" s="22">
        <v>0.03</v>
      </c>
    </row>
    <row r="177" spans="2:15" ht="15" customHeight="1" x14ac:dyDescent="0.2">
      <c r="B177" s="2" t="s">
        <v>383</v>
      </c>
      <c r="C177" s="7">
        <v>118.47</v>
      </c>
      <c r="D177" s="7">
        <v>64.459999999999994</v>
      </c>
      <c r="E177" s="7">
        <v>1.18</v>
      </c>
      <c r="F177" s="7">
        <v>6.85</v>
      </c>
      <c r="G177" s="7">
        <v>1.22</v>
      </c>
      <c r="H177" s="7">
        <v>86.79</v>
      </c>
      <c r="I177" s="7">
        <v>178.22</v>
      </c>
      <c r="J177" s="7">
        <v>6.64</v>
      </c>
      <c r="K177" s="7">
        <v>11.57</v>
      </c>
      <c r="L177" s="7">
        <v>13.81</v>
      </c>
      <c r="M177" s="7">
        <v>1.43</v>
      </c>
      <c r="N177" s="7">
        <v>3.98</v>
      </c>
      <c r="O177" s="22">
        <v>494.62000000000006</v>
      </c>
    </row>
    <row r="178" spans="2:15" ht="15" customHeight="1" x14ac:dyDescent="0.2">
      <c r="B178" s="2" t="s">
        <v>384</v>
      </c>
      <c r="C178" s="7">
        <v>0.37</v>
      </c>
      <c r="D178" s="7">
        <v>0</v>
      </c>
      <c r="E178" s="7">
        <v>0</v>
      </c>
      <c r="F178" s="7">
        <v>0</v>
      </c>
      <c r="G178" s="7">
        <v>0</v>
      </c>
      <c r="H178" s="7">
        <v>0</v>
      </c>
      <c r="I178" s="7">
        <v>0</v>
      </c>
      <c r="J178" s="7">
        <v>0</v>
      </c>
      <c r="K178" s="7">
        <v>0</v>
      </c>
      <c r="L178" s="7">
        <v>0.03</v>
      </c>
      <c r="M178" s="7">
        <v>0</v>
      </c>
      <c r="N178" s="7">
        <v>0</v>
      </c>
      <c r="O178" s="22">
        <v>0.4</v>
      </c>
    </row>
    <row r="179" spans="2:15" ht="15" customHeight="1" x14ac:dyDescent="0.2">
      <c r="B179" s="2" t="s">
        <v>385</v>
      </c>
      <c r="C179" s="7">
        <v>0</v>
      </c>
      <c r="D179" s="7">
        <v>0</v>
      </c>
      <c r="E179" s="7">
        <v>0.01</v>
      </c>
      <c r="F179" s="7">
        <v>0.03</v>
      </c>
      <c r="G179" s="7">
        <v>0.01</v>
      </c>
      <c r="H179" s="7">
        <v>0.02</v>
      </c>
      <c r="I179" s="7">
        <v>0.01</v>
      </c>
      <c r="J179" s="7">
        <v>0</v>
      </c>
      <c r="K179" s="7">
        <v>0.01</v>
      </c>
      <c r="L179" s="7">
        <v>0.01</v>
      </c>
      <c r="M179" s="7">
        <v>0.01</v>
      </c>
      <c r="N179" s="7">
        <v>0</v>
      </c>
      <c r="O179" s="22">
        <v>0.10999999999999999</v>
      </c>
    </row>
    <row r="180" spans="2:15" ht="15" customHeight="1" x14ac:dyDescent="0.2">
      <c r="B180" s="2" t="s">
        <v>388</v>
      </c>
      <c r="C180" s="7">
        <v>2.2799999999999998</v>
      </c>
      <c r="D180" s="7">
        <v>4.5199999999999996</v>
      </c>
      <c r="E180" s="7">
        <v>3.13</v>
      </c>
      <c r="F180" s="7">
        <v>2.2999999999999998</v>
      </c>
      <c r="G180" s="7">
        <v>3.82</v>
      </c>
      <c r="H180" s="7">
        <v>6.5</v>
      </c>
      <c r="I180" s="7">
        <v>7.64</v>
      </c>
      <c r="J180" s="7">
        <v>3.33</v>
      </c>
      <c r="K180" s="7">
        <v>3.77</v>
      </c>
      <c r="L180" s="7">
        <v>3.68</v>
      </c>
      <c r="M180" s="7">
        <v>4.75</v>
      </c>
      <c r="N180" s="7">
        <v>2.72</v>
      </c>
      <c r="O180" s="22">
        <v>48.440000000000005</v>
      </c>
    </row>
    <row r="181" spans="2:15" ht="15" customHeight="1" x14ac:dyDescent="0.2">
      <c r="B181" s="2" t="s">
        <v>389</v>
      </c>
      <c r="C181" s="7">
        <v>0</v>
      </c>
      <c r="D181" s="7">
        <v>0</v>
      </c>
      <c r="E181" s="7">
        <v>0</v>
      </c>
      <c r="F181" s="7">
        <v>0</v>
      </c>
      <c r="G181" s="7">
        <v>0</v>
      </c>
      <c r="H181" s="7">
        <v>0</v>
      </c>
      <c r="I181" s="7">
        <v>0.02</v>
      </c>
      <c r="J181" s="7">
        <v>0</v>
      </c>
      <c r="K181" s="7">
        <v>0</v>
      </c>
      <c r="L181" s="7">
        <v>0</v>
      </c>
      <c r="M181" s="7">
        <v>0</v>
      </c>
      <c r="N181" s="7">
        <v>0</v>
      </c>
      <c r="O181" s="22">
        <v>0.02</v>
      </c>
    </row>
    <row r="182" spans="2:15" ht="15" customHeight="1" x14ac:dyDescent="0.2">
      <c r="B182" s="2" t="s">
        <v>441</v>
      </c>
      <c r="C182" s="7">
        <v>0.05</v>
      </c>
      <c r="D182" s="7">
        <v>0</v>
      </c>
      <c r="E182" s="7">
        <v>0.01</v>
      </c>
      <c r="F182" s="7">
        <v>0</v>
      </c>
      <c r="G182" s="7">
        <v>0.03</v>
      </c>
      <c r="H182" s="7">
        <v>0</v>
      </c>
      <c r="I182" s="7">
        <v>0.02</v>
      </c>
      <c r="J182" s="7">
        <v>0</v>
      </c>
      <c r="K182" s="7">
        <v>0.02</v>
      </c>
      <c r="L182" s="7">
        <v>0.03</v>
      </c>
      <c r="M182" s="7">
        <v>0.03</v>
      </c>
      <c r="N182" s="7">
        <v>0.02</v>
      </c>
      <c r="O182" s="22">
        <v>0.21</v>
      </c>
    </row>
    <row r="183" spans="2:15" ht="15" customHeight="1" x14ac:dyDescent="0.2">
      <c r="B183" s="2" t="s">
        <v>392</v>
      </c>
      <c r="C183" s="7">
        <v>0.09</v>
      </c>
      <c r="D183" s="7">
        <v>0.01</v>
      </c>
      <c r="E183" s="7">
        <v>0</v>
      </c>
      <c r="F183" s="7">
        <v>0</v>
      </c>
      <c r="G183" s="7">
        <v>0</v>
      </c>
      <c r="H183" s="7">
        <v>0.21</v>
      </c>
      <c r="I183" s="7">
        <v>0</v>
      </c>
      <c r="J183" s="7">
        <v>3.64</v>
      </c>
      <c r="K183" s="7">
        <v>0</v>
      </c>
      <c r="L183" s="7">
        <v>0.01</v>
      </c>
      <c r="M183" s="7">
        <v>0</v>
      </c>
      <c r="N183" s="7">
        <v>0</v>
      </c>
      <c r="O183" s="22">
        <v>3.96</v>
      </c>
    </row>
    <row r="184" spans="2:15" ht="15" customHeight="1" x14ac:dyDescent="0.2">
      <c r="B184" s="2" t="s">
        <v>393</v>
      </c>
      <c r="C184" s="7">
        <v>0.09</v>
      </c>
      <c r="D184" s="7">
        <v>0.13</v>
      </c>
      <c r="E184" s="7">
        <v>0.06</v>
      </c>
      <c r="F184" s="7">
        <v>0.13</v>
      </c>
      <c r="G184" s="7">
        <v>0.05</v>
      </c>
      <c r="H184" s="7">
        <v>0.13</v>
      </c>
      <c r="I184" s="7">
        <v>7.0000000000000007E-2</v>
      </c>
      <c r="J184" s="7">
        <v>0.03</v>
      </c>
      <c r="K184" s="7">
        <v>0.21</v>
      </c>
      <c r="L184" s="7">
        <v>0.18</v>
      </c>
      <c r="M184" s="7">
        <v>0.12</v>
      </c>
      <c r="N184" s="7">
        <v>0.12</v>
      </c>
      <c r="O184" s="22">
        <v>1.3200000000000003</v>
      </c>
    </row>
    <row r="185" spans="2:15" ht="15" customHeight="1" x14ac:dyDescent="0.2">
      <c r="B185" s="2" t="s">
        <v>394</v>
      </c>
      <c r="C185" s="7">
        <v>0.09</v>
      </c>
      <c r="D185" s="7">
        <v>0.13</v>
      </c>
      <c r="E185" s="7">
        <v>0.3</v>
      </c>
      <c r="F185" s="7">
        <v>0.1</v>
      </c>
      <c r="G185" s="7">
        <v>0.05</v>
      </c>
      <c r="H185" s="7">
        <v>0.02</v>
      </c>
      <c r="I185" s="7">
        <v>0.08</v>
      </c>
      <c r="J185" s="7">
        <v>0.01</v>
      </c>
      <c r="K185" s="7">
        <v>0.68</v>
      </c>
      <c r="L185" s="7">
        <v>0.2</v>
      </c>
      <c r="M185" s="7">
        <v>0.54</v>
      </c>
      <c r="N185" s="7">
        <v>0.04</v>
      </c>
      <c r="O185" s="22">
        <v>2.2400000000000002</v>
      </c>
    </row>
    <row r="186" spans="2:15" ht="15" customHeight="1" x14ac:dyDescent="0.2">
      <c r="B186" s="2" t="s">
        <v>395</v>
      </c>
      <c r="C186" s="7">
        <v>0.24</v>
      </c>
      <c r="D186" s="7">
        <v>0.05</v>
      </c>
      <c r="E186" s="7">
        <v>0</v>
      </c>
      <c r="F186" s="7">
        <v>0.01</v>
      </c>
      <c r="G186" s="7">
        <v>0</v>
      </c>
      <c r="H186" s="7">
        <v>0.11</v>
      </c>
      <c r="I186" s="7">
        <v>0</v>
      </c>
      <c r="J186" s="7">
        <v>0</v>
      </c>
      <c r="K186" s="7">
        <v>0.03</v>
      </c>
      <c r="L186" s="7">
        <v>0.02</v>
      </c>
      <c r="M186" s="7">
        <v>0.08</v>
      </c>
      <c r="N186" s="7">
        <v>0.01</v>
      </c>
      <c r="O186" s="22">
        <v>0.54999999999999993</v>
      </c>
    </row>
    <row r="187" spans="2:15" ht="15" customHeight="1" x14ac:dyDescent="0.2">
      <c r="B187" s="2" t="s">
        <v>397</v>
      </c>
      <c r="C187" s="7">
        <v>0</v>
      </c>
      <c r="D187" s="7">
        <v>0</v>
      </c>
      <c r="E187" s="7">
        <v>0</v>
      </c>
      <c r="F187" s="7">
        <v>0</v>
      </c>
      <c r="G187" s="7">
        <v>0</v>
      </c>
      <c r="H187" s="7">
        <v>0</v>
      </c>
      <c r="I187" s="7">
        <v>0</v>
      </c>
      <c r="J187" s="7">
        <v>0.04</v>
      </c>
      <c r="K187" s="7">
        <v>0</v>
      </c>
      <c r="L187" s="7">
        <v>0</v>
      </c>
      <c r="M187" s="7">
        <v>0</v>
      </c>
      <c r="N187" s="7">
        <v>0</v>
      </c>
      <c r="O187" s="22">
        <v>0.04</v>
      </c>
    </row>
    <row r="188" spans="2:15" ht="15" customHeight="1" x14ac:dyDescent="0.2">
      <c r="B188" s="2" t="s">
        <v>398</v>
      </c>
      <c r="C188" s="7">
        <v>0</v>
      </c>
      <c r="D188" s="7">
        <v>0</v>
      </c>
      <c r="E188" s="7">
        <v>0</v>
      </c>
      <c r="F188" s="7">
        <v>0</v>
      </c>
      <c r="G188" s="7">
        <v>0</v>
      </c>
      <c r="H188" s="7">
        <v>0</v>
      </c>
      <c r="I188" s="7">
        <v>0</v>
      </c>
      <c r="J188" s="7">
        <v>0.05</v>
      </c>
      <c r="K188" s="7">
        <v>0</v>
      </c>
      <c r="L188" s="7">
        <v>0</v>
      </c>
      <c r="M188" s="7">
        <v>0</v>
      </c>
      <c r="N188" s="7">
        <v>0</v>
      </c>
      <c r="O188" s="22">
        <v>0.05</v>
      </c>
    </row>
    <row r="189" spans="2:15" ht="15" customHeight="1" x14ac:dyDescent="0.2">
      <c r="B189" s="2" t="s">
        <v>400</v>
      </c>
      <c r="C189" s="7">
        <v>0.57999999999999996</v>
      </c>
      <c r="D189" s="7">
        <v>0</v>
      </c>
      <c r="E189" s="7">
        <v>0</v>
      </c>
      <c r="F189" s="7">
        <v>0</v>
      </c>
      <c r="G189" s="7">
        <v>0</v>
      </c>
      <c r="H189" s="7">
        <v>0</v>
      </c>
      <c r="I189" s="7">
        <v>0</v>
      </c>
      <c r="J189" s="7">
        <v>0</v>
      </c>
      <c r="K189" s="7">
        <v>0</v>
      </c>
      <c r="L189" s="7">
        <v>0</v>
      </c>
      <c r="M189" s="7">
        <v>0</v>
      </c>
      <c r="N189" s="7">
        <v>0</v>
      </c>
      <c r="O189" s="22">
        <v>0.57999999999999996</v>
      </c>
    </row>
    <row r="190" spans="2:15" ht="15" customHeight="1" x14ac:dyDescent="0.2">
      <c r="B190" s="2" t="s">
        <v>401</v>
      </c>
      <c r="C190" s="7">
        <v>0.03</v>
      </c>
      <c r="D190" s="7">
        <v>0</v>
      </c>
      <c r="E190" s="7">
        <v>0</v>
      </c>
      <c r="F190" s="7">
        <v>0</v>
      </c>
      <c r="G190" s="7">
        <v>0</v>
      </c>
      <c r="H190" s="7">
        <v>0</v>
      </c>
      <c r="I190" s="7">
        <v>0</v>
      </c>
      <c r="J190" s="7">
        <v>0</v>
      </c>
      <c r="K190" s="7">
        <v>0</v>
      </c>
      <c r="L190" s="7">
        <v>0</v>
      </c>
      <c r="M190" s="7">
        <v>0</v>
      </c>
      <c r="N190" s="7">
        <v>0.02</v>
      </c>
      <c r="O190" s="22">
        <v>0.05</v>
      </c>
    </row>
    <row r="191" spans="2:15" ht="15" customHeight="1" x14ac:dyDescent="0.2">
      <c r="B191" s="2" t="s">
        <v>403</v>
      </c>
      <c r="C191" s="7">
        <v>0</v>
      </c>
      <c r="D191" s="7">
        <v>0</v>
      </c>
      <c r="E191" s="7">
        <v>0.01</v>
      </c>
      <c r="F191" s="7">
        <v>0</v>
      </c>
      <c r="G191" s="7">
        <v>0</v>
      </c>
      <c r="H191" s="7">
        <v>0</v>
      </c>
      <c r="I191" s="7">
        <v>0</v>
      </c>
      <c r="J191" s="7">
        <v>0</v>
      </c>
      <c r="K191" s="7">
        <v>0</v>
      </c>
      <c r="L191" s="7">
        <v>0</v>
      </c>
      <c r="M191" s="7">
        <v>0</v>
      </c>
      <c r="N191" s="7">
        <v>0</v>
      </c>
      <c r="O191" s="22">
        <v>0.01</v>
      </c>
    </row>
    <row r="192" spans="2:15" ht="15" customHeight="1" x14ac:dyDescent="0.2">
      <c r="B192" s="2" t="s">
        <v>404</v>
      </c>
      <c r="C192" s="7">
        <v>0.01</v>
      </c>
      <c r="D192" s="7">
        <v>0</v>
      </c>
      <c r="E192" s="7">
        <v>0</v>
      </c>
      <c r="F192" s="7">
        <v>0</v>
      </c>
      <c r="G192" s="7">
        <v>0</v>
      </c>
      <c r="H192" s="7">
        <v>0</v>
      </c>
      <c r="I192" s="7">
        <v>0.01</v>
      </c>
      <c r="J192" s="7">
        <v>0</v>
      </c>
      <c r="K192" s="7">
        <v>0</v>
      </c>
      <c r="L192" s="7">
        <v>0.01</v>
      </c>
      <c r="M192" s="7">
        <v>0</v>
      </c>
      <c r="N192" s="7">
        <v>0</v>
      </c>
      <c r="O192" s="22">
        <v>0.03</v>
      </c>
    </row>
    <row r="193" spans="2:17" ht="15" customHeight="1" x14ac:dyDescent="0.2">
      <c r="B193" s="2" t="s">
        <v>436</v>
      </c>
      <c r="C193" s="7">
        <v>0</v>
      </c>
      <c r="D193" s="7">
        <v>0</v>
      </c>
      <c r="E193" s="7">
        <v>0</v>
      </c>
      <c r="F193" s="7">
        <v>0</v>
      </c>
      <c r="G193" s="7">
        <v>0.01</v>
      </c>
      <c r="H193" s="7">
        <v>0</v>
      </c>
      <c r="I193" s="7">
        <v>0</v>
      </c>
      <c r="J193" s="7">
        <v>0</v>
      </c>
      <c r="K193" s="7">
        <v>0.01</v>
      </c>
      <c r="L193" s="7">
        <v>0</v>
      </c>
      <c r="M193" s="7">
        <v>0</v>
      </c>
      <c r="N193" s="7">
        <v>0</v>
      </c>
      <c r="O193" s="22">
        <v>0.02</v>
      </c>
    </row>
    <row r="194" spans="2:17" ht="15" customHeight="1" x14ac:dyDescent="0.2">
      <c r="B194" s="2" t="s">
        <v>442</v>
      </c>
      <c r="C194" s="7">
        <v>0</v>
      </c>
      <c r="D194" s="7">
        <v>0</v>
      </c>
      <c r="E194" s="7">
        <v>0</v>
      </c>
      <c r="F194" s="7">
        <v>0</v>
      </c>
      <c r="G194" s="7">
        <v>0</v>
      </c>
      <c r="H194" s="7">
        <v>0</v>
      </c>
      <c r="I194" s="7">
        <v>0</v>
      </c>
      <c r="J194" s="7">
        <v>0.01</v>
      </c>
      <c r="K194" s="7">
        <v>0</v>
      </c>
      <c r="L194" s="7">
        <v>0</v>
      </c>
      <c r="M194" s="7">
        <v>0</v>
      </c>
      <c r="N194" s="7">
        <v>0</v>
      </c>
      <c r="O194" s="22">
        <v>0.01</v>
      </c>
    </row>
    <row r="195" spans="2:17" ht="15" customHeight="1" x14ac:dyDescent="0.2">
      <c r="B195" s="2" t="s">
        <v>407</v>
      </c>
      <c r="C195" s="7">
        <v>2.02</v>
      </c>
      <c r="D195" s="7">
        <v>0.08</v>
      </c>
      <c r="E195" s="7">
        <v>0.03</v>
      </c>
      <c r="F195" s="7">
        <v>0.01</v>
      </c>
      <c r="G195" s="7">
        <v>7.0000000000000007E-2</v>
      </c>
      <c r="H195" s="7">
        <v>0.04</v>
      </c>
      <c r="I195" s="7">
        <v>0.06</v>
      </c>
      <c r="J195" s="7">
        <v>7.0000000000000007E-2</v>
      </c>
      <c r="K195" s="7">
        <v>0.06</v>
      </c>
      <c r="L195" s="7">
        <v>7.0000000000000007E-2</v>
      </c>
      <c r="M195" s="7">
        <v>7.0000000000000007E-2</v>
      </c>
      <c r="N195" s="7">
        <v>0.08</v>
      </c>
      <c r="O195" s="22">
        <v>2.6599999999999993</v>
      </c>
    </row>
    <row r="196" spans="2:17" ht="15" customHeight="1" x14ac:dyDescent="0.2">
      <c r="B196" s="2" t="s">
        <v>408</v>
      </c>
      <c r="C196" s="7">
        <v>0</v>
      </c>
      <c r="D196" s="7">
        <v>0</v>
      </c>
      <c r="E196" s="7">
        <v>0</v>
      </c>
      <c r="F196" s="7">
        <v>0</v>
      </c>
      <c r="G196" s="7">
        <v>0.16</v>
      </c>
      <c r="H196" s="7">
        <v>0</v>
      </c>
      <c r="I196" s="7">
        <v>0</v>
      </c>
      <c r="J196" s="7">
        <v>0.21</v>
      </c>
      <c r="K196" s="7">
        <v>0.94</v>
      </c>
      <c r="L196" s="7">
        <v>0</v>
      </c>
      <c r="M196" s="7">
        <v>0</v>
      </c>
      <c r="N196" s="7">
        <v>0.18</v>
      </c>
      <c r="O196" s="22">
        <v>1.49</v>
      </c>
    </row>
    <row r="197" spans="2:17" ht="15" customHeight="1" x14ac:dyDescent="0.2">
      <c r="B197" s="2" t="s">
        <v>409</v>
      </c>
      <c r="C197" s="7">
        <v>0.02</v>
      </c>
      <c r="D197" s="7">
        <v>0</v>
      </c>
      <c r="E197" s="7">
        <v>0</v>
      </c>
      <c r="F197" s="7">
        <v>0</v>
      </c>
      <c r="G197" s="7">
        <v>0.01</v>
      </c>
      <c r="H197" s="7">
        <v>0</v>
      </c>
      <c r="I197" s="7">
        <v>0</v>
      </c>
      <c r="J197" s="7">
        <v>0</v>
      </c>
      <c r="K197" s="7">
        <v>0</v>
      </c>
      <c r="L197" s="7">
        <v>0</v>
      </c>
      <c r="M197" s="7">
        <v>0</v>
      </c>
      <c r="N197" s="7">
        <v>0.03</v>
      </c>
      <c r="O197" s="22">
        <v>0.06</v>
      </c>
    </row>
    <row r="198" spans="2:17" ht="15" customHeight="1" x14ac:dyDescent="0.2">
      <c r="B198" s="2" t="s">
        <v>410</v>
      </c>
      <c r="C198" s="7">
        <v>3.81</v>
      </c>
      <c r="D198" s="7">
        <v>1.79</v>
      </c>
      <c r="E198" s="7">
        <v>1.21</v>
      </c>
      <c r="F198" s="7">
        <v>1.39</v>
      </c>
      <c r="G198" s="7">
        <v>1.75</v>
      </c>
      <c r="H198" s="7">
        <v>1.75</v>
      </c>
      <c r="I198" s="7">
        <v>1.58</v>
      </c>
      <c r="J198" s="7">
        <v>0.79</v>
      </c>
      <c r="K198" s="7">
        <v>0.96</v>
      </c>
      <c r="L198" s="7">
        <v>0.82</v>
      </c>
      <c r="M198" s="7">
        <v>14.51</v>
      </c>
      <c r="N198" s="7">
        <v>0.43</v>
      </c>
      <c r="O198" s="22">
        <v>30.79</v>
      </c>
    </row>
    <row r="199" spans="2:17" ht="15" customHeight="1" x14ac:dyDescent="0.2">
      <c r="C199" s="7"/>
      <c r="D199" s="7"/>
      <c r="E199" s="7"/>
      <c r="F199" s="7"/>
      <c r="G199" s="7"/>
      <c r="H199" s="7"/>
      <c r="I199" s="7"/>
      <c r="J199" s="7"/>
      <c r="K199" s="7"/>
      <c r="L199" s="7"/>
      <c r="M199" s="7"/>
      <c r="N199" s="7"/>
      <c r="O199" s="22"/>
    </row>
    <row r="200" spans="2:17" ht="15" customHeight="1" x14ac:dyDescent="0.25">
      <c r="B200" s="1" t="s">
        <v>222</v>
      </c>
      <c r="C200" s="23">
        <v>1962.35</v>
      </c>
      <c r="D200" s="23">
        <v>2735.3100000000009</v>
      </c>
      <c r="E200" s="23">
        <v>1994.8200000000002</v>
      </c>
      <c r="F200" s="23">
        <v>1714.9200000000003</v>
      </c>
      <c r="G200" s="23">
        <v>2214.3699999999994</v>
      </c>
      <c r="H200" s="23">
        <v>2184.8200000000002</v>
      </c>
      <c r="I200" s="23">
        <v>2538.6799999999998</v>
      </c>
      <c r="J200" s="23">
        <v>2100.0600000000004</v>
      </c>
      <c r="K200" s="23">
        <v>2234.08</v>
      </c>
      <c r="L200" s="23">
        <v>4463.1900000000005</v>
      </c>
      <c r="M200" s="23">
        <v>1874.68</v>
      </c>
      <c r="N200" s="23">
        <v>1775.6</v>
      </c>
      <c r="O200" s="23">
        <v>27792.879999999994</v>
      </c>
      <c r="Q200" s="22"/>
    </row>
    <row r="202" spans="2:17" ht="15" customHeight="1" x14ac:dyDescent="0.2">
      <c r="J202" s="22"/>
      <c r="L202" s="22"/>
    </row>
    <row r="203" spans="2:17" ht="15" customHeight="1" x14ac:dyDescent="0.2">
      <c r="L203" s="22"/>
    </row>
  </sheetData>
  <mergeCells count="2">
    <mergeCell ref="A3:C3"/>
    <mergeCell ref="A6:B6"/>
  </mergeCells>
  <printOptions horizontalCentered="1"/>
  <pageMargins left="0" right="0" top="0.51181102362204722" bottom="0.59055118110236227" header="0" footer="0.19685039370078741"/>
  <pageSetup paperSize="9" scale="45" orientation="portrait" r:id="rId1"/>
  <headerFooter>
    <oddHeader>Page &amp;P</oddHeader>
  </headerFooter>
  <rowBreaks count="2" manualBreakCount="2">
    <brk id="104" max="14" man="1"/>
    <brk id="200"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07"/>
  <sheetViews>
    <sheetView zoomScaleNormal="100" workbookViewId="0">
      <pane xSplit="2" ySplit="6" topLeftCell="C7" activePane="bottomRight" state="frozen"/>
      <selection pane="topRight" activeCell="C1" sqref="C1"/>
      <selection pane="bottomLeft" activeCell="A7" sqref="A7"/>
      <selection pane="bottomRight" activeCell="F22" sqref="F22"/>
    </sheetView>
  </sheetViews>
  <sheetFormatPr defaultColWidth="8.85546875" defaultRowHeight="14.25" x14ac:dyDescent="0.2"/>
  <cols>
    <col min="1" max="1" width="2" style="2" customWidth="1"/>
    <col min="2" max="2" width="62.42578125" style="2" customWidth="1"/>
    <col min="3" max="15" width="10" style="2" customWidth="1"/>
    <col min="16" max="256" width="9.140625" style="2"/>
    <col min="257" max="257" width="2" style="2" customWidth="1"/>
    <col min="258" max="258" width="51.85546875" style="2" customWidth="1"/>
    <col min="259" max="261" width="8.140625" style="2" bestFit="1" customWidth="1"/>
    <col min="262" max="262" width="8.140625" style="2" customWidth="1"/>
    <col min="263" max="263" width="8.140625" style="2" bestFit="1" customWidth="1"/>
    <col min="264" max="264" width="8.140625" style="2" customWidth="1"/>
    <col min="265" max="268" width="8.140625" style="2" bestFit="1" customWidth="1"/>
    <col min="269" max="270" width="9.140625" style="2" customWidth="1"/>
    <col min="271" max="512" width="9.140625" style="2"/>
    <col min="513" max="513" width="2" style="2" customWidth="1"/>
    <col min="514" max="514" width="51.85546875" style="2" customWidth="1"/>
    <col min="515" max="517" width="8.140625" style="2" bestFit="1" customWidth="1"/>
    <col min="518" max="518" width="8.140625" style="2" customWidth="1"/>
    <col min="519" max="519" width="8.140625" style="2" bestFit="1" customWidth="1"/>
    <col min="520" max="520" width="8.140625" style="2" customWidth="1"/>
    <col min="521" max="524" width="8.140625" style="2" bestFit="1" customWidth="1"/>
    <col min="525" max="526" width="9.140625" style="2" customWidth="1"/>
    <col min="527" max="768" width="9.140625" style="2"/>
    <col min="769" max="769" width="2" style="2" customWidth="1"/>
    <col min="770" max="770" width="51.85546875" style="2" customWidth="1"/>
    <col min="771" max="773" width="8.140625" style="2" bestFit="1" customWidth="1"/>
    <col min="774" max="774" width="8.140625" style="2" customWidth="1"/>
    <col min="775" max="775" width="8.140625" style="2" bestFit="1" customWidth="1"/>
    <col min="776" max="776" width="8.140625" style="2" customWidth="1"/>
    <col min="777" max="780" width="8.140625" style="2" bestFit="1" customWidth="1"/>
    <col min="781" max="782" width="9.140625" style="2" customWidth="1"/>
    <col min="783" max="1024" width="9.140625" style="2"/>
    <col min="1025" max="1025" width="2" style="2" customWidth="1"/>
    <col min="1026" max="1026" width="51.85546875" style="2" customWidth="1"/>
    <col min="1027" max="1029" width="8.140625" style="2" bestFit="1" customWidth="1"/>
    <col min="1030" max="1030" width="8.140625" style="2" customWidth="1"/>
    <col min="1031" max="1031" width="8.140625" style="2" bestFit="1" customWidth="1"/>
    <col min="1032" max="1032" width="8.140625" style="2" customWidth="1"/>
    <col min="1033" max="1036" width="8.140625" style="2" bestFit="1" customWidth="1"/>
    <col min="1037" max="1038" width="9.140625" style="2" customWidth="1"/>
    <col min="1039" max="1280" width="9.140625" style="2"/>
    <col min="1281" max="1281" width="2" style="2" customWidth="1"/>
    <col min="1282" max="1282" width="51.85546875" style="2" customWidth="1"/>
    <col min="1283" max="1285" width="8.140625" style="2" bestFit="1" customWidth="1"/>
    <col min="1286" max="1286" width="8.140625" style="2" customWidth="1"/>
    <col min="1287" max="1287" width="8.140625" style="2" bestFit="1" customWidth="1"/>
    <col min="1288" max="1288" width="8.140625" style="2" customWidth="1"/>
    <col min="1289" max="1292" width="8.140625" style="2" bestFit="1" customWidth="1"/>
    <col min="1293" max="1294" width="9.140625" style="2" customWidth="1"/>
    <col min="1295" max="1536" width="9.140625" style="2"/>
    <col min="1537" max="1537" width="2" style="2" customWidth="1"/>
    <col min="1538" max="1538" width="51.85546875" style="2" customWidth="1"/>
    <col min="1539" max="1541" width="8.140625" style="2" bestFit="1" customWidth="1"/>
    <col min="1542" max="1542" width="8.140625" style="2" customWidth="1"/>
    <col min="1543" max="1543" width="8.140625" style="2" bestFit="1" customWidth="1"/>
    <col min="1544" max="1544" width="8.140625" style="2" customWidth="1"/>
    <col min="1545" max="1548" width="8.140625" style="2" bestFit="1" customWidth="1"/>
    <col min="1549" max="1550" width="9.140625" style="2" customWidth="1"/>
    <col min="1551" max="1792" width="9.140625" style="2"/>
    <col min="1793" max="1793" width="2" style="2" customWidth="1"/>
    <col min="1794" max="1794" width="51.85546875" style="2" customWidth="1"/>
    <col min="1795" max="1797" width="8.140625" style="2" bestFit="1" customWidth="1"/>
    <col min="1798" max="1798" width="8.140625" style="2" customWidth="1"/>
    <col min="1799" max="1799" width="8.140625" style="2" bestFit="1" customWidth="1"/>
    <col min="1800" max="1800" width="8.140625" style="2" customWidth="1"/>
    <col min="1801" max="1804" width="8.140625" style="2" bestFit="1" customWidth="1"/>
    <col min="1805" max="1806" width="9.140625" style="2" customWidth="1"/>
    <col min="1807" max="2048" width="9.140625" style="2"/>
    <col min="2049" max="2049" width="2" style="2" customWidth="1"/>
    <col min="2050" max="2050" width="51.85546875" style="2" customWidth="1"/>
    <col min="2051" max="2053" width="8.140625" style="2" bestFit="1" customWidth="1"/>
    <col min="2054" max="2054" width="8.140625" style="2" customWidth="1"/>
    <col min="2055" max="2055" width="8.140625" style="2" bestFit="1" customWidth="1"/>
    <col min="2056" max="2056" width="8.140625" style="2" customWidth="1"/>
    <col min="2057" max="2060" width="8.140625" style="2" bestFit="1" customWidth="1"/>
    <col min="2061" max="2062" width="9.140625" style="2" customWidth="1"/>
    <col min="2063" max="2304" width="9.140625" style="2"/>
    <col min="2305" max="2305" width="2" style="2" customWidth="1"/>
    <col min="2306" max="2306" width="51.85546875" style="2" customWidth="1"/>
    <col min="2307" max="2309" width="8.140625" style="2" bestFit="1" customWidth="1"/>
    <col min="2310" max="2310" width="8.140625" style="2" customWidth="1"/>
    <col min="2311" max="2311" width="8.140625" style="2" bestFit="1" customWidth="1"/>
    <col min="2312" max="2312" width="8.140625" style="2" customWidth="1"/>
    <col min="2313" max="2316" width="8.140625" style="2" bestFit="1" customWidth="1"/>
    <col min="2317" max="2318" width="9.140625" style="2" customWidth="1"/>
    <col min="2319" max="2560" width="9.140625" style="2"/>
    <col min="2561" max="2561" width="2" style="2" customWidth="1"/>
    <col min="2562" max="2562" width="51.85546875" style="2" customWidth="1"/>
    <col min="2563" max="2565" width="8.140625" style="2" bestFit="1" customWidth="1"/>
    <col min="2566" max="2566" width="8.140625" style="2" customWidth="1"/>
    <col min="2567" max="2567" width="8.140625" style="2" bestFit="1" customWidth="1"/>
    <col min="2568" max="2568" width="8.140625" style="2" customWidth="1"/>
    <col min="2569" max="2572" width="8.140625" style="2" bestFit="1" customWidth="1"/>
    <col min="2573" max="2574" width="9.140625" style="2" customWidth="1"/>
    <col min="2575" max="2816" width="9.140625" style="2"/>
    <col min="2817" max="2817" width="2" style="2" customWidth="1"/>
    <col min="2818" max="2818" width="51.85546875" style="2" customWidth="1"/>
    <col min="2819" max="2821" width="8.140625" style="2" bestFit="1" customWidth="1"/>
    <col min="2822" max="2822" width="8.140625" style="2" customWidth="1"/>
    <col min="2823" max="2823" width="8.140625" style="2" bestFit="1" customWidth="1"/>
    <col min="2824" max="2824" width="8.140625" style="2" customWidth="1"/>
    <col min="2825" max="2828" width="8.140625" style="2" bestFit="1" customWidth="1"/>
    <col min="2829" max="2830" width="9.140625" style="2" customWidth="1"/>
    <col min="2831" max="3072" width="9.140625" style="2"/>
    <col min="3073" max="3073" width="2" style="2" customWidth="1"/>
    <col min="3074" max="3074" width="51.85546875" style="2" customWidth="1"/>
    <col min="3075" max="3077" width="8.140625" style="2" bestFit="1" customWidth="1"/>
    <col min="3078" max="3078" width="8.140625" style="2" customWidth="1"/>
    <col min="3079" max="3079" width="8.140625" style="2" bestFit="1" customWidth="1"/>
    <col min="3080" max="3080" width="8.140625" style="2" customWidth="1"/>
    <col min="3081" max="3084" width="8.140625" style="2" bestFit="1" customWidth="1"/>
    <col min="3085" max="3086" width="9.140625" style="2" customWidth="1"/>
    <col min="3087" max="3328" width="9.140625" style="2"/>
    <col min="3329" max="3329" width="2" style="2" customWidth="1"/>
    <col min="3330" max="3330" width="51.85546875" style="2" customWidth="1"/>
    <col min="3331" max="3333" width="8.140625" style="2" bestFit="1" customWidth="1"/>
    <col min="3334" max="3334" width="8.140625" style="2" customWidth="1"/>
    <col min="3335" max="3335" width="8.140625" style="2" bestFit="1" customWidth="1"/>
    <col min="3336" max="3336" width="8.140625" style="2" customWidth="1"/>
    <col min="3337" max="3340" width="8.140625" style="2" bestFit="1" customWidth="1"/>
    <col min="3341" max="3342" width="9.140625" style="2" customWidth="1"/>
    <col min="3343" max="3584" width="9.140625" style="2"/>
    <col min="3585" max="3585" width="2" style="2" customWidth="1"/>
    <col min="3586" max="3586" width="51.85546875" style="2" customWidth="1"/>
    <col min="3587" max="3589" width="8.140625" style="2" bestFit="1" customWidth="1"/>
    <col min="3590" max="3590" width="8.140625" style="2" customWidth="1"/>
    <col min="3591" max="3591" width="8.140625" style="2" bestFit="1" customWidth="1"/>
    <col min="3592" max="3592" width="8.140625" style="2" customWidth="1"/>
    <col min="3593" max="3596" width="8.140625" style="2" bestFit="1" customWidth="1"/>
    <col min="3597" max="3598" width="9.140625" style="2" customWidth="1"/>
    <col min="3599" max="3840" width="9.140625" style="2"/>
    <col min="3841" max="3841" width="2" style="2" customWidth="1"/>
    <col min="3842" max="3842" width="51.85546875" style="2" customWidth="1"/>
    <col min="3843" max="3845" width="8.140625" style="2" bestFit="1" customWidth="1"/>
    <col min="3846" max="3846" width="8.140625" style="2" customWidth="1"/>
    <col min="3847" max="3847" width="8.140625" style="2" bestFit="1" customWidth="1"/>
    <col min="3848" max="3848" width="8.140625" style="2" customWidth="1"/>
    <col min="3849" max="3852" width="8.140625" style="2" bestFit="1" customWidth="1"/>
    <col min="3853" max="3854" width="9.140625" style="2" customWidth="1"/>
    <col min="3855" max="4096" width="9.140625" style="2"/>
    <col min="4097" max="4097" width="2" style="2" customWidth="1"/>
    <col min="4098" max="4098" width="51.85546875" style="2" customWidth="1"/>
    <col min="4099" max="4101" width="8.140625" style="2" bestFit="1" customWidth="1"/>
    <col min="4102" max="4102" width="8.140625" style="2" customWidth="1"/>
    <col min="4103" max="4103" width="8.140625" style="2" bestFit="1" customWidth="1"/>
    <col min="4104" max="4104" width="8.140625" style="2" customWidth="1"/>
    <col min="4105" max="4108" width="8.140625" style="2" bestFit="1" customWidth="1"/>
    <col min="4109" max="4110" width="9.140625" style="2" customWidth="1"/>
    <col min="4111" max="4352" width="9.140625" style="2"/>
    <col min="4353" max="4353" width="2" style="2" customWidth="1"/>
    <col min="4354" max="4354" width="51.85546875" style="2" customWidth="1"/>
    <col min="4355" max="4357" width="8.140625" style="2" bestFit="1" customWidth="1"/>
    <col min="4358" max="4358" width="8.140625" style="2" customWidth="1"/>
    <col min="4359" max="4359" width="8.140625" style="2" bestFit="1" customWidth="1"/>
    <col min="4360" max="4360" width="8.140625" style="2" customWidth="1"/>
    <col min="4361" max="4364" width="8.140625" style="2" bestFit="1" customWidth="1"/>
    <col min="4365" max="4366" width="9.140625" style="2" customWidth="1"/>
    <col min="4367" max="4608" width="9.140625" style="2"/>
    <col min="4609" max="4609" width="2" style="2" customWidth="1"/>
    <col min="4610" max="4610" width="51.85546875" style="2" customWidth="1"/>
    <col min="4611" max="4613" width="8.140625" style="2" bestFit="1" customWidth="1"/>
    <col min="4614" max="4614" width="8.140625" style="2" customWidth="1"/>
    <col min="4615" max="4615" width="8.140625" style="2" bestFit="1" customWidth="1"/>
    <col min="4616" max="4616" width="8.140625" style="2" customWidth="1"/>
    <col min="4617" max="4620" width="8.140625" style="2" bestFit="1" customWidth="1"/>
    <col min="4621" max="4622" width="9.140625" style="2" customWidth="1"/>
    <col min="4623" max="4864" width="9.140625" style="2"/>
    <col min="4865" max="4865" width="2" style="2" customWidth="1"/>
    <col min="4866" max="4866" width="51.85546875" style="2" customWidth="1"/>
    <col min="4867" max="4869" width="8.140625" style="2" bestFit="1" customWidth="1"/>
    <col min="4870" max="4870" width="8.140625" style="2" customWidth="1"/>
    <col min="4871" max="4871" width="8.140625" style="2" bestFit="1" customWidth="1"/>
    <col min="4872" max="4872" width="8.140625" style="2" customWidth="1"/>
    <col min="4873" max="4876" width="8.140625" style="2" bestFit="1" customWidth="1"/>
    <col min="4877" max="4878" width="9.140625" style="2" customWidth="1"/>
    <col min="4879" max="5120" width="9.140625" style="2"/>
    <col min="5121" max="5121" width="2" style="2" customWidth="1"/>
    <col min="5122" max="5122" width="51.85546875" style="2" customWidth="1"/>
    <col min="5123" max="5125" width="8.140625" style="2" bestFit="1" customWidth="1"/>
    <col min="5126" max="5126" width="8.140625" style="2" customWidth="1"/>
    <col min="5127" max="5127" width="8.140625" style="2" bestFit="1" customWidth="1"/>
    <col min="5128" max="5128" width="8.140625" style="2" customWidth="1"/>
    <col min="5129" max="5132" width="8.140625" style="2" bestFit="1" customWidth="1"/>
    <col min="5133" max="5134" width="9.140625" style="2" customWidth="1"/>
    <col min="5135" max="5376" width="9.140625" style="2"/>
    <col min="5377" max="5377" width="2" style="2" customWidth="1"/>
    <col min="5378" max="5378" width="51.85546875" style="2" customWidth="1"/>
    <col min="5379" max="5381" width="8.140625" style="2" bestFit="1" customWidth="1"/>
    <col min="5382" max="5382" width="8.140625" style="2" customWidth="1"/>
    <col min="5383" max="5383" width="8.140625" style="2" bestFit="1" customWidth="1"/>
    <col min="5384" max="5384" width="8.140625" style="2" customWidth="1"/>
    <col min="5385" max="5388" width="8.140625" style="2" bestFit="1" customWidth="1"/>
    <col min="5389" max="5390" width="9.140625" style="2" customWidth="1"/>
    <col min="5391" max="5632" width="9.140625" style="2"/>
    <col min="5633" max="5633" width="2" style="2" customWidth="1"/>
    <col min="5634" max="5634" width="51.85546875" style="2" customWidth="1"/>
    <col min="5635" max="5637" width="8.140625" style="2" bestFit="1" customWidth="1"/>
    <col min="5638" max="5638" width="8.140625" style="2" customWidth="1"/>
    <col min="5639" max="5639" width="8.140625" style="2" bestFit="1" customWidth="1"/>
    <col min="5640" max="5640" width="8.140625" style="2" customWidth="1"/>
    <col min="5641" max="5644" width="8.140625" style="2" bestFit="1" customWidth="1"/>
    <col min="5645" max="5646" width="9.140625" style="2" customWidth="1"/>
    <col min="5647" max="5888" width="9.140625" style="2"/>
    <col min="5889" max="5889" width="2" style="2" customWidth="1"/>
    <col min="5890" max="5890" width="51.85546875" style="2" customWidth="1"/>
    <col min="5891" max="5893" width="8.140625" style="2" bestFit="1" customWidth="1"/>
    <col min="5894" max="5894" width="8.140625" style="2" customWidth="1"/>
    <col min="5895" max="5895" width="8.140625" style="2" bestFit="1" customWidth="1"/>
    <col min="5896" max="5896" width="8.140625" style="2" customWidth="1"/>
    <col min="5897" max="5900" width="8.140625" style="2" bestFit="1" customWidth="1"/>
    <col min="5901" max="5902" width="9.140625" style="2" customWidth="1"/>
    <col min="5903" max="6144" width="9.140625" style="2"/>
    <col min="6145" max="6145" width="2" style="2" customWidth="1"/>
    <col min="6146" max="6146" width="51.85546875" style="2" customWidth="1"/>
    <col min="6147" max="6149" width="8.140625" style="2" bestFit="1" customWidth="1"/>
    <col min="6150" max="6150" width="8.140625" style="2" customWidth="1"/>
    <col min="6151" max="6151" width="8.140625" style="2" bestFit="1" customWidth="1"/>
    <col min="6152" max="6152" width="8.140625" style="2" customWidth="1"/>
    <col min="6153" max="6156" width="8.140625" style="2" bestFit="1" customWidth="1"/>
    <col min="6157" max="6158" width="9.140625" style="2" customWidth="1"/>
    <col min="6159" max="6400" width="9.140625" style="2"/>
    <col min="6401" max="6401" width="2" style="2" customWidth="1"/>
    <col min="6402" max="6402" width="51.85546875" style="2" customWidth="1"/>
    <col min="6403" max="6405" width="8.140625" style="2" bestFit="1" customWidth="1"/>
    <col min="6406" max="6406" width="8.140625" style="2" customWidth="1"/>
    <col min="6407" max="6407" width="8.140625" style="2" bestFit="1" customWidth="1"/>
    <col min="6408" max="6408" width="8.140625" style="2" customWidth="1"/>
    <col min="6409" max="6412" width="8.140625" style="2" bestFit="1" customWidth="1"/>
    <col min="6413" max="6414" width="9.140625" style="2" customWidth="1"/>
    <col min="6415" max="6656" width="9.140625" style="2"/>
    <col min="6657" max="6657" width="2" style="2" customWidth="1"/>
    <col min="6658" max="6658" width="51.85546875" style="2" customWidth="1"/>
    <col min="6659" max="6661" width="8.140625" style="2" bestFit="1" customWidth="1"/>
    <col min="6662" max="6662" width="8.140625" style="2" customWidth="1"/>
    <col min="6663" max="6663" width="8.140625" style="2" bestFit="1" customWidth="1"/>
    <col min="6664" max="6664" width="8.140625" style="2" customWidth="1"/>
    <col min="6665" max="6668" width="8.140625" style="2" bestFit="1" customWidth="1"/>
    <col min="6669" max="6670" width="9.140625" style="2" customWidth="1"/>
    <col min="6671" max="6912" width="9.140625" style="2"/>
    <col min="6913" max="6913" width="2" style="2" customWidth="1"/>
    <col min="6914" max="6914" width="51.85546875" style="2" customWidth="1"/>
    <col min="6915" max="6917" width="8.140625" style="2" bestFit="1" customWidth="1"/>
    <col min="6918" max="6918" width="8.140625" style="2" customWidth="1"/>
    <col min="6919" max="6919" width="8.140625" style="2" bestFit="1" customWidth="1"/>
    <col min="6920" max="6920" width="8.140625" style="2" customWidth="1"/>
    <col min="6921" max="6924" width="8.140625" style="2" bestFit="1" customWidth="1"/>
    <col min="6925" max="6926" width="9.140625" style="2" customWidth="1"/>
    <col min="6927" max="7168" width="9.140625" style="2"/>
    <col min="7169" max="7169" width="2" style="2" customWidth="1"/>
    <col min="7170" max="7170" width="51.85546875" style="2" customWidth="1"/>
    <col min="7171" max="7173" width="8.140625" style="2" bestFit="1" customWidth="1"/>
    <col min="7174" max="7174" width="8.140625" style="2" customWidth="1"/>
    <col min="7175" max="7175" width="8.140625" style="2" bestFit="1" customWidth="1"/>
    <col min="7176" max="7176" width="8.140625" style="2" customWidth="1"/>
    <col min="7177" max="7180" width="8.140625" style="2" bestFit="1" customWidth="1"/>
    <col min="7181" max="7182" width="9.140625" style="2" customWidth="1"/>
    <col min="7183" max="7424" width="9.140625" style="2"/>
    <col min="7425" max="7425" width="2" style="2" customWidth="1"/>
    <col min="7426" max="7426" width="51.85546875" style="2" customWidth="1"/>
    <col min="7427" max="7429" width="8.140625" style="2" bestFit="1" customWidth="1"/>
    <col min="7430" max="7430" width="8.140625" style="2" customWidth="1"/>
    <col min="7431" max="7431" width="8.140625" style="2" bestFit="1" customWidth="1"/>
    <col min="7432" max="7432" width="8.140625" style="2" customWidth="1"/>
    <col min="7433" max="7436" width="8.140625" style="2" bestFit="1" customWidth="1"/>
    <col min="7437" max="7438" width="9.140625" style="2" customWidth="1"/>
    <col min="7439" max="7680" width="9.140625" style="2"/>
    <col min="7681" max="7681" width="2" style="2" customWidth="1"/>
    <col min="7682" max="7682" width="51.85546875" style="2" customWidth="1"/>
    <col min="7683" max="7685" width="8.140625" style="2" bestFit="1" customWidth="1"/>
    <col min="7686" max="7686" width="8.140625" style="2" customWidth="1"/>
    <col min="7687" max="7687" width="8.140625" style="2" bestFit="1" customWidth="1"/>
    <col min="7688" max="7688" width="8.140625" style="2" customWidth="1"/>
    <col min="7689" max="7692" width="8.140625" style="2" bestFit="1" customWidth="1"/>
    <col min="7693" max="7694" width="9.140625" style="2" customWidth="1"/>
    <col min="7695" max="7936" width="9.140625" style="2"/>
    <col min="7937" max="7937" width="2" style="2" customWidth="1"/>
    <col min="7938" max="7938" width="51.85546875" style="2" customWidth="1"/>
    <col min="7939" max="7941" width="8.140625" style="2" bestFit="1" customWidth="1"/>
    <col min="7942" max="7942" width="8.140625" style="2" customWidth="1"/>
    <col min="7943" max="7943" width="8.140625" style="2" bestFit="1" customWidth="1"/>
    <col min="7944" max="7944" width="8.140625" style="2" customWidth="1"/>
    <col min="7945" max="7948" width="8.140625" style="2" bestFit="1" customWidth="1"/>
    <col min="7949" max="7950" width="9.140625" style="2" customWidth="1"/>
    <col min="7951" max="8192" width="9.140625" style="2"/>
    <col min="8193" max="8193" width="2" style="2" customWidth="1"/>
    <col min="8194" max="8194" width="51.85546875" style="2" customWidth="1"/>
    <col min="8195" max="8197" width="8.140625" style="2" bestFit="1" customWidth="1"/>
    <col min="8198" max="8198" width="8.140625" style="2" customWidth="1"/>
    <col min="8199" max="8199" width="8.140625" style="2" bestFit="1" customWidth="1"/>
    <col min="8200" max="8200" width="8.140625" style="2" customWidth="1"/>
    <col min="8201" max="8204" width="8.140625" style="2" bestFit="1" customWidth="1"/>
    <col min="8205" max="8206" width="9.140625" style="2" customWidth="1"/>
    <col min="8207" max="8448" width="9.140625" style="2"/>
    <col min="8449" max="8449" width="2" style="2" customWidth="1"/>
    <col min="8450" max="8450" width="51.85546875" style="2" customWidth="1"/>
    <col min="8451" max="8453" width="8.140625" style="2" bestFit="1" customWidth="1"/>
    <col min="8454" max="8454" width="8.140625" style="2" customWidth="1"/>
    <col min="8455" max="8455" width="8.140625" style="2" bestFit="1" customWidth="1"/>
    <col min="8456" max="8456" width="8.140625" style="2" customWidth="1"/>
    <col min="8457" max="8460" width="8.140625" style="2" bestFit="1" customWidth="1"/>
    <col min="8461" max="8462" width="9.140625" style="2" customWidth="1"/>
    <col min="8463" max="8704" width="9.140625" style="2"/>
    <col min="8705" max="8705" width="2" style="2" customWidth="1"/>
    <col min="8706" max="8706" width="51.85546875" style="2" customWidth="1"/>
    <col min="8707" max="8709" width="8.140625" style="2" bestFit="1" customWidth="1"/>
    <col min="8710" max="8710" width="8.140625" style="2" customWidth="1"/>
    <col min="8711" max="8711" width="8.140625" style="2" bestFit="1" customWidth="1"/>
    <col min="8712" max="8712" width="8.140625" style="2" customWidth="1"/>
    <col min="8713" max="8716" width="8.140625" style="2" bestFit="1" customWidth="1"/>
    <col min="8717" max="8718" width="9.140625" style="2" customWidth="1"/>
    <col min="8719" max="8960" width="9.140625" style="2"/>
    <col min="8961" max="8961" width="2" style="2" customWidth="1"/>
    <col min="8962" max="8962" width="51.85546875" style="2" customWidth="1"/>
    <col min="8963" max="8965" width="8.140625" style="2" bestFit="1" customWidth="1"/>
    <col min="8966" max="8966" width="8.140625" style="2" customWidth="1"/>
    <col min="8967" max="8967" width="8.140625" style="2" bestFit="1" customWidth="1"/>
    <col min="8968" max="8968" width="8.140625" style="2" customWidth="1"/>
    <col min="8969" max="8972" width="8.140625" style="2" bestFit="1" customWidth="1"/>
    <col min="8973" max="8974" width="9.140625" style="2" customWidth="1"/>
    <col min="8975" max="9216" width="9.140625" style="2"/>
    <col min="9217" max="9217" width="2" style="2" customWidth="1"/>
    <col min="9218" max="9218" width="51.85546875" style="2" customWidth="1"/>
    <col min="9219" max="9221" width="8.140625" style="2" bestFit="1" customWidth="1"/>
    <col min="9222" max="9222" width="8.140625" style="2" customWidth="1"/>
    <col min="9223" max="9223" width="8.140625" style="2" bestFit="1" customWidth="1"/>
    <col min="9224" max="9224" width="8.140625" style="2" customWidth="1"/>
    <col min="9225" max="9228" width="8.140625" style="2" bestFit="1" customWidth="1"/>
    <col min="9229" max="9230" width="9.140625" style="2" customWidth="1"/>
    <col min="9231" max="9472" width="9.140625" style="2"/>
    <col min="9473" max="9473" width="2" style="2" customWidth="1"/>
    <col min="9474" max="9474" width="51.85546875" style="2" customWidth="1"/>
    <col min="9475" max="9477" width="8.140625" style="2" bestFit="1" customWidth="1"/>
    <col min="9478" max="9478" width="8.140625" style="2" customWidth="1"/>
    <col min="9479" max="9479" width="8.140625" style="2" bestFit="1" customWidth="1"/>
    <col min="9480" max="9480" width="8.140625" style="2" customWidth="1"/>
    <col min="9481" max="9484" width="8.140625" style="2" bestFit="1" customWidth="1"/>
    <col min="9485" max="9486" width="9.140625" style="2" customWidth="1"/>
    <col min="9487" max="9728" width="9.140625" style="2"/>
    <col min="9729" max="9729" width="2" style="2" customWidth="1"/>
    <col min="9730" max="9730" width="51.85546875" style="2" customWidth="1"/>
    <col min="9731" max="9733" width="8.140625" style="2" bestFit="1" customWidth="1"/>
    <col min="9734" max="9734" width="8.140625" style="2" customWidth="1"/>
    <col min="9735" max="9735" width="8.140625" style="2" bestFit="1" customWidth="1"/>
    <col min="9736" max="9736" width="8.140625" style="2" customWidth="1"/>
    <col min="9737" max="9740" width="8.140625" style="2" bestFit="1" customWidth="1"/>
    <col min="9741" max="9742" width="9.140625" style="2" customWidth="1"/>
    <col min="9743" max="9984" width="9.140625" style="2"/>
    <col min="9985" max="9985" width="2" style="2" customWidth="1"/>
    <col min="9986" max="9986" width="51.85546875" style="2" customWidth="1"/>
    <col min="9987" max="9989" width="8.140625" style="2" bestFit="1" customWidth="1"/>
    <col min="9990" max="9990" width="8.140625" style="2" customWidth="1"/>
    <col min="9991" max="9991" width="8.140625" style="2" bestFit="1" customWidth="1"/>
    <col min="9992" max="9992" width="8.140625" style="2" customWidth="1"/>
    <col min="9993" max="9996" width="8.140625" style="2" bestFit="1" customWidth="1"/>
    <col min="9997" max="9998" width="9.140625" style="2" customWidth="1"/>
    <col min="9999" max="10240" width="9.140625" style="2"/>
    <col min="10241" max="10241" width="2" style="2" customWidth="1"/>
    <col min="10242" max="10242" width="51.85546875" style="2" customWidth="1"/>
    <col min="10243" max="10245" width="8.140625" style="2" bestFit="1" customWidth="1"/>
    <col min="10246" max="10246" width="8.140625" style="2" customWidth="1"/>
    <col min="10247" max="10247" width="8.140625" style="2" bestFit="1" customWidth="1"/>
    <col min="10248" max="10248" width="8.140625" style="2" customWidth="1"/>
    <col min="10249" max="10252" width="8.140625" style="2" bestFit="1" customWidth="1"/>
    <col min="10253" max="10254" width="9.140625" style="2" customWidth="1"/>
    <col min="10255" max="10496" width="9.140625" style="2"/>
    <col min="10497" max="10497" width="2" style="2" customWidth="1"/>
    <col min="10498" max="10498" width="51.85546875" style="2" customWidth="1"/>
    <col min="10499" max="10501" width="8.140625" style="2" bestFit="1" customWidth="1"/>
    <col min="10502" max="10502" width="8.140625" style="2" customWidth="1"/>
    <col min="10503" max="10503" width="8.140625" style="2" bestFit="1" customWidth="1"/>
    <col min="10504" max="10504" width="8.140625" style="2" customWidth="1"/>
    <col min="10505" max="10508" width="8.140625" style="2" bestFit="1" customWidth="1"/>
    <col min="10509" max="10510" width="9.140625" style="2" customWidth="1"/>
    <col min="10511" max="10752" width="9.140625" style="2"/>
    <col min="10753" max="10753" width="2" style="2" customWidth="1"/>
    <col min="10754" max="10754" width="51.85546875" style="2" customWidth="1"/>
    <col min="10755" max="10757" width="8.140625" style="2" bestFit="1" customWidth="1"/>
    <col min="10758" max="10758" width="8.140625" style="2" customWidth="1"/>
    <col min="10759" max="10759" width="8.140625" style="2" bestFit="1" customWidth="1"/>
    <col min="10760" max="10760" width="8.140625" style="2" customWidth="1"/>
    <col min="10761" max="10764" width="8.140625" style="2" bestFit="1" customWidth="1"/>
    <col min="10765" max="10766" width="9.140625" style="2" customWidth="1"/>
    <col min="10767" max="11008" width="9.140625" style="2"/>
    <col min="11009" max="11009" width="2" style="2" customWidth="1"/>
    <col min="11010" max="11010" width="51.85546875" style="2" customWidth="1"/>
    <col min="11011" max="11013" width="8.140625" style="2" bestFit="1" customWidth="1"/>
    <col min="11014" max="11014" width="8.140625" style="2" customWidth="1"/>
    <col min="11015" max="11015" width="8.140625" style="2" bestFit="1" customWidth="1"/>
    <col min="11016" max="11016" width="8.140625" style="2" customWidth="1"/>
    <col min="11017" max="11020" width="8.140625" style="2" bestFit="1" customWidth="1"/>
    <col min="11021" max="11022" width="9.140625" style="2" customWidth="1"/>
    <col min="11023" max="11264" width="9.140625" style="2"/>
    <col min="11265" max="11265" width="2" style="2" customWidth="1"/>
    <col min="11266" max="11266" width="51.85546875" style="2" customWidth="1"/>
    <col min="11267" max="11269" width="8.140625" style="2" bestFit="1" customWidth="1"/>
    <col min="11270" max="11270" width="8.140625" style="2" customWidth="1"/>
    <col min="11271" max="11271" width="8.140625" style="2" bestFit="1" customWidth="1"/>
    <col min="11272" max="11272" width="8.140625" style="2" customWidth="1"/>
    <col min="11273" max="11276" width="8.140625" style="2" bestFit="1" customWidth="1"/>
    <col min="11277" max="11278" width="9.140625" style="2" customWidth="1"/>
    <col min="11279" max="11520" width="9.140625" style="2"/>
    <col min="11521" max="11521" width="2" style="2" customWidth="1"/>
    <col min="11522" max="11522" width="51.85546875" style="2" customWidth="1"/>
    <col min="11523" max="11525" width="8.140625" style="2" bestFit="1" customWidth="1"/>
    <col min="11526" max="11526" width="8.140625" style="2" customWidth="1"/>
    <col min="11527" max="11527" width="8.140625" style="2" bestFit="1" customWidth="1"/>
    <col min="11528" max="11528" width="8.140625" style="2" customWidth="1"/>
    <col min="11529" max="11532" width="8.140625" style="2" bestFit="1" customWidth="1"/>
    <col min="11533" max="11534" width="9.140625" style="2" customWidth="1"/>
    <col min="11535" max="11776" width="9.140625" style="2"/>
    <col min="11777" max="11777" width="2" style="2" customWidth="1"/>
    <col min="11778" max="11778" width="51.85546875" style="2" customWidth="1"/>
    <col min="11779" max="11781" width="8.140625" style="2" bestFit="1" customWidth="1"/>
    <col min="11782" max="11782" width="8.140625" style="2" customWidth="1"/>
    <col min="11783" max="11783" width="8.140625" style="2" bestFit="1" customWidth="1"/>
    <col min="11784" max="11784" width="8.140625" style="2" customWidth="1"/>
    <col min="11785" max="11788" width="8.140625" style="2" bestFit="1" customWidth="1"/>
    <col min="11789" max="11790" width="9.140625" style="2" customWidth="1"/>
    <col min="11791" max="12032" width="9.140625" style="2"/>
    <col min="12033" max="12033" width="2" style="2" customWidth="1"/>
    <col min="12034" max="12034" width="51.85546875" style="2" customWidth="1"/>
    <col min="12035" max="12037" width="8.140625" style="2" bestFit="1" customWidth="1"/>
    <col min="12038" max="12038" width="8.140625" style="2" customWidth="1"/>
    <col min="12039" max="12039" width="8.140625" style="2" bestFit="1" customWidth="1"/>
    <col min="12040" max="12040" width="8.140625" style="2" customWidth="1"/>
    <col min="12041" max="12044" width="8.140625" style="2" bestFit="1" customWidth="1"/>
    <col min="12045" max="12046" width="9.140625" style="2" customWidth="1"/>
    <col min="12047" max="12288" width="9.140625" style="2"/>
    <col min="12289" max="12289" width="2" style="2" customWidth="1"/>
    <col min="12290" max="12290" width="51.85546875" style="2" customWidth="1"/>
    <col min="12291" max="12293" width="8.140625" style="2" bestFit="1" customWidth="1"/>
    <col min="12294" max="12294" width="8.140625" style="2" customWidth="1"/>
    <col min="12295" max="12295" width="8.140625" style="2" bestFit="1" customWidth="1"/>
    <col min="12296" max="12296" width="8.140625" style="2" customWidth="1"/>
    <col min="12297" max="12300" width="8.140625" style="2" bestFit="1" customWidth="1"/>
    <col min="12301" max="12302" width="9.140625" style="2" customWidth="1"/>
    <col min="12303" max="12544" width="9.140625" style="2"/>
    <col min="12545" max="12545" width="2" style="2" customWidth="1"/>
    <col min="12546" max="12546" width="51.85546875" style="2" customWidth="1"/>
    <col min="12547" max="12549" width="8.140625" style="2" bestFit="1" customWidth="1"/>
    <col min="12550" max="12550" width="8.140625" style="2" customWidth="1"/>
    <col min="12551" max="12551" width="8.140625" style="2" bestFit="1" customWidth="1"/>
    <col min="12552" max="12552" width="8.140625" style="2" customWidth="1"/>
    <col min="12553" max="12556" width="8.140625" style="2" bestFit="1" customWidth="1"/>
    <col min="12557" max="12558" width="9.140625" style="2" customWidth="1"/>
    <col min="12559" max="12800" width="9.140625" style="2"/>
    <col min="12801" max="12801" width="2" style="2" customWidth="1"/>
    <col min="12802" max="12802" width="51.85546875" style="2" customWidth="1"/>
    <col min="12803" max="12805" width="8.140625" style="2" bestFit="1" customWidth="1"/>
    <col min="12806" max="12806" width="8.140625" style="2" customWidth="1"/>
    <col min="12807" max="12807" width="8.140625" style="2" bestFit="1" customWidth="1"/>
    <col min="12808" max="12808" width="8.140625" style="2" customWidth="1"/>
    <col min="12809" max="12812" width="8.140625" style="2" bestFit="1" customWidth="1"/>
    <col min="12813" max="12814" width="9.140625" style="2" customWidth="1"/>
    <col min="12815" max="13056" width="9.140625" style="2"/>
    <col min="13057" max="13057" width="2" style="2" customWidth="1"/>
    <col min="13058" max="13058" width="51.85546875" style="2" customWidth="1"/>
    <col min="13059" max="13061" width="8.140625" style="2" bestFit="1" customWidth="1"/>
    <col min="13062" max="13062" width="8.140625" style="2" customWidth="1"/>
    <col min="13063" max="13063" width="8.140625" style="2" bestFit="1" customWidth="1"/>
    <col min="13064" max="13064" width="8.140625" style="2" customWidth="1"/>
    <col min="13065" max="13068" width="8.140625" style="2" bestFit="1" customWidth="1"/>
    <col min="13069" max="13070" width="9.140625" style="2" customWidth="1"/>
    <col min="13071" max="13312" width="9.140625" style="2"/>
    <col min="13313" max="13313" width="2" style="2" customWidth="1"/>
    <col min="13314" max="13314" width="51.85546875" style="2" customWidth="1"/>
    <col min="13315" max="13317" width="8.140625" style="2" bestFit="1" customWidth="1"/>
    <col min="13318" max="13318" width="8.140625" style="2" customWidth="1"/>
    <col min="13319" max="13319" width="8.140625" style="2" bestFit="1" customWidth="1"/>
    <col min="13320" max="13320" width="8.140625" style="2" customWidth="1"/>
    <col min="13321" max="13324" width="8.140625" style="2" bestFit="1" customWidth="1"/>
    <col min="13325" max="13326" width="9.140625" style="2" customWidth="1"/>
    <col min="13327" max="13568" width="9.140625" style="2"/>
    <col min="13569" max="13569" width="2" style="2" customWidth="1"/>
    <col min="13570" max="13570" width="51.85546875" style="2" customWidth="1"/>
    <col min="13571" max="13573" width="8.140625" style="2" bestFit="1" customWidth="1"/>
    <col min="13574" max="13574" width="8.140625" style="2" customWidth="1"/>
    <col min="13575" max="13575" width="8.140625" style="2" bestFit="1" customWidth="1"/>
    <col min="13576" max="13576" width="8.140625" style="2" customWidth="1"/>
    <col min="13577" max="13580" width="8.140625" style="2" bestFit="1" customWidth="1"/>
    <col min="13581" max="13582" width="9.140625" style="2" customWidth="1"/>
    <col min="13583" max="13824" width="9.140625" style="2"/>
    <col min="13825" max="13825" width="2" style="2" customWidth="1"/>
    <col min="13826" max="13826" width="51.85546875" style="2" customWidth="1"/>
    <col min="13827" max="13829" width="8.140625" style="2" bestFit="1" customWidth="1"/>
    <col min="13830" max="13830" width="8.140625" style="2" customWidth="1"/>
    <col min="13831" max="13831" width="8.140625" style="2" bestFit="1" customWidth="1"/>
    <col min="13832" max="13832" width="8.140625" style="2" customWidth="1"/>
    <col min="13833" max="13836" width="8.140625" style="2" bestFit="1" customWidth="1"/>
    <col min="13837" max="13838" width="9.140625" style="2" customWidth="1"/>
    <col min="13839" max="14080" width="9.140625" style="2"/>
    <col min="14081" max="14081" width="2" style="2" customWidth="1"/>
    <col min="14082" max="14082" width="51.85546875" style="2" customWidth="1"/>
    <col min="14083" max="14085" width="8.140625" style="2" bestFit="1" customWidth="1"/>
    <col min="14086" max="14086" width="8.140625" style="2" customWidth="1"/>
    <col min="14087" max="14087" width="8.140625" style="2" bestFit="1" customWidth="1"/>
    <col min="14088" max="14088" width="8.140625" style="2" customWidth="1"/>
    <col min="14089" max="14092" width="8.140625" style="2" bestFit="1" customWidth="1"/>
    <col min="14093" max="14094" width="9.140625" style="2" customWidth="1"/>
    <col min="14095" max="14336" width="9.140625" style="2"/>
    <col min="14337" max="14337" width="2" style="2" customWidth="1"/>
    <col min="14338" max="14338" width="51.85546875" style="2" customWidth="1"/>
    <col min="14339" max="14341" width="8.140625" style="2" bestFit="1" customWidth="1"/>
    <col min="14342" max="14342" width="8.140625" style="2" customWidth="1"/>
    <col min="14343" max="14343" width="8.140625" style="2" bestFit="1" customWidth="1"/>
    <col min="14344" max="14344" width="8.140625" style="2" customWidth="1"/>
    <col min="14345" max="14348" width="8.140625" style="2" bestFit="1" customWidth="1"/>
    <col min="14349" max="14350" width="9.140625" style="2" customWidth="1"/>
    <col min="14351" max="14592" width="9.140625" style="2"/>
    <col min="14593" max="14593" width="2" style="2" customWidth="1"/>
    <col min="14594" max="14594" width="51.85546875" style="2" customWidth="1"/>
    <col min="14595" max="14597" width="8.140625" style="2" bestFit="1" customWidth="1"/>
    <col min="14598" max="14598" width="8.140625" style="2" customWidth="1"/>
    <col min="14599" max="14599" width="8.140625" style="2" bestFit="1" customWidth="1"/>
    <col min="14600" max="14600" width="8.140625" style="2" customWidth="1"/>
    <col min="14601" max="14604" width="8.140625" style="2" bestFit="1" customWidth="1"/>
    <col min="14605" max="14606" width="9.140625" style="2" customWidth="1"/>
    <col min="14607" max="14848" width="9.140625" style="2"/>
    <col min="14849" max="14849" width="2" style="2" customWidth="1"/>
    <col min="14850" max="14850" width="51.85546875" style="2" customWidth="1"/>
    <col min="14851" max="14853" width="8.140625" style="2" bestFit="1" customWidth="1"/>
    <col min="14854" max="14854" width="8.140625" style="2" customWidth="1"/>
    <col min="14855" max="14855" width="8.140625" style="2" bestFit="1" customWidth="1"/>
    <col min="14856" max="14856" width="8.140625" style="2" customWidth="1"/>
    <col min="14857" max="14860" width="8.140625" style="2" bestFit="1" customWidth="1"/>
    <col min="14861" max="14862" width="9.140625" style="2" customWidth="1"/>
    <col min="14863" max="15104" width="9.140625" style="2"/>
    <col min="15105" max="15105" width="2" style="2" customWidth="1"/>
    <col min="15106" max="15106" width="51.85546875" style="2" customWidth="1"/>
    <col min="15107" max="15109" width="8.140625" style="2" bestFit="1" customWidth="1"/>
    <col min="15110" max="15110" width="8.140625" style="2" customWidth="1"/>
    <col min="15111" max="15111" width="8.140625" style="2" bestFit="1" customWidth="1"/>
    <col min="15112" max="15112" width="8.140625" style="2" customWidth="1"/>
    <col min="15113" max="15116" width="8.140625" style="2" bestFit="1" customWidth="1"/>
    <col min="15117" max="15118" width="9.140625" style="2" customWidth="1"/>
    <col min="15119" max="15360" width="9.140625" style="2"/>
    <col min="15361" max="15361" width="2" style="2" customWidth="1"/>
    <col min="15362" max="15362" width="51.85546875" style="2" customWidth="1"/>
    <col min="15363" max="15365" width="8.140625" style="2" bestFit="1" customWidth="1"/>
    <col min="15366" max="15366" width="8.140625" style="2" customWidth="1"/>
    <col min="15367" max="15367" width="8.140625" style="2" bestFit="1" customWidth="1"/>
    <col min="15368" max="15368" width="8.140625" style="2" customWidth="1"/>
    <col min="15369" max="15372" width="8.140625" style="2" bestFit="1" customWidth="1"/>
    <col min="15373" max="15374" width="9.140625" style="2" customWidth="1"/>
    <col min="15375" max="15616" width="9.140625" style="2"/>
    <col min="15617" max="15617" width="2" style="2" customWidth="1"/>
    <col min="15618" max="15618" width="51.85546875" style="2" customWidth="1"/>
    <col min="15619" max="15621" width="8.140625" style="2" bestFit="1" customWidth="1"/>
    <col min="15622" max="15622" width="8.140625" style="2" customWidth="1"/>
    <col min="15623" max="15623" width="8.140625" style="2" bestFit="1" customWidth="1"/>
    <col min="15624" max="15624" width="8.140625" style="2" customWidth="1"/>
    <col min="15625" max="15628" width="8.140625" style="2" bestFit="1" customWidth="1"/>
    <col min="15629" max="15630" width="9.140625" style="2" customWidth="1"/>
    <col min="15631" max="15872" width="9.140625" style="2"/>
    <col min="15873" max="15873" width="2" style="2" customWidth="1"/>
    <col min="15874" max="15874" width="51.85546875" style="2" customWidth="1"/>
    <col min="15875" max="15877" width="8.140625" style="2" bestFit="1" customWidth="1"/>
    <col min="15878" max="15878" width="8.140625" style="2" customWidth="1"/>
    <col min="15879" max="15879" width="8.140625" style="2" bestFit="1" customWidth="1"/>
    <col min="15880" max="15880" width="8.140625" style="2" customWidth="1"/>
    <col min="15881" max="15884" width="8.140625" style="2" bestFit="1" customWidth="1"/>
    <col min="15885" max="15886" width="9.140625" style="2" customWidth="1"/>
    <col min="15887" max="16128" width="9.140625" style="2"/>
    <col min="16129" max="16129" width="2" style="2" customWidth="1"/>
    <col min="16130" max="16130" width="51.85546875" style="2" customWidth="1"/>
    <col min="16131" max="16133" width="8.140625" style="2" bestFit="1" customWidth="1"/>
    <col min="16134" max="16134" width="8.140625" style="2" customWidth="1"/>
    <col min="16135" max="16135" width="8.140625" style="2" bestFit="1" customWidth="1"/>
    <col min="16136" max="16136" width="8.140625" style="2" customWidth="1"/>
    <col min="16137" max="16140" width="8.140625" style="2" bestFit="1" customWidth="1"/>
    <col min="16141" max="16142" width="9.140625" style="2" customWidth="1"/>
    <col min="16143" max="16384" width="9.140625" style="2"/>
  </cols>
  <sheetData>
    <row r="1" spans="1:15" ht="15" x14ac:dyDescent="0.25">
      <c r="A1" s="1" t="s">
        <v>0</v>
      </c>
      <c r="B1" s="1"/>
      <c r="C1" s="1"/>
    </row>
    <row r="2" spans="1:15" ht="15" x14ac:dyDescent="0.25">
      <c r="A2" s="1" t="s">
        <v>1</v>
      </c>
      <c r="B2" s="1"/>
      <c r="C2" s="1"/>
    </row>
    <row r="3" spans="1:15" ht="15" x14ac:dyDescent="0.25">
      <c r="A3" s="315" t="s">
        <v>443</v>
      </c>
      <c r="B3" s="315"/>
      <c r="C3" s="315"/>
    </row>
    <row r="4" spans="1:15" x14ac:dyDescent="0.2">
      <c r="A4" s="2" t="s">
        <v>3</v>
      </c>
    </row>
    <row r="6" spans="1:15" ht="26.25" customHeight="1" thickBot="1" x14ac:dyDescent="0.25">
      <c r="A6" s="325" t="s">
        <v>5</v>
      </c>
      <c r="B6" s="326"/>
      <c r="C6" s="135" t="s">
        <v>7</v>
      </c>
      <c r="D6" s="135" t="s">
        <v>8</v>
      </c>
      <c r="E6" s="135" t="s">
        <v>412</v>
      </c>
      <c r="F6" s="135" t="s">
        <v>10</v>
      </c>
      <c r="G6" s="135" t="s">
        <v>11</v>
      </c>
      <c r="H6" s="135" t="s">
        <v>12</v>
      </c>
      <c r="I6" s="135" t="s">
        <v>13</v>
      </c>
      <c r="J6" s="135" t="s">
        <v>14</v>
      </c>
      <c r="K6" s="135" t="s">
        <v>15</v>
      </c>
      <c r="L6" s="135" t="s">
        <v>16</v>
      </c>
      <c r="M6" s="135" t="s">
        <v>17</v>
      </c>
      <c r="N6" s="135" t="s">
        <v>18</v>
      </c>
      <c r="O6" s="136" t="s">
        <v>19</v>
      </c>
    </row>
    <row r="7" spans="1:15" ht="15.75" thickTop="1" x14ac:dyDescent="0.25">
      <c r="A7" s="24"/>
      <c r="B7" s="24"/>
      <c r="C7" s="24"/>
    </row>
    <row r="8" spans="1:15" s="4" customFormat="1" ht="15" x14ac:dyDescent="0.25">
      <c r="A8" s="3" t="s">
        <v>20</v>
      </c>
      <c r="C8" s="5">
        <v>310.40999999999997</v>
      </c>
      <c r="D8" s="5">
        <v>819.93000000000018</v>
      </c>
      <c r="E8" s="5">
        <v>319.13000000000011</v>
      </c>
      <c r="F8" s="5">
        <v>335.84</v>
      </c>
      <c r="G8" s="5">
        <v>319.42</v>
      </c>
      <c r="H8" s="5">
        <v>280.78999999999996</v>
      </c>
      <c r="I8" s="5">
        <v>354.18</v>
      </c>
      <c r="J8" s="5">
        <v>825.54000000000008</v>
      </c>
      <c r="K8" s="5">
        <v>351.71000000000009</v>
      </c>
      <c r="L8" s="21">
        <v>2128.2100000000005</v>
      </c>
      <c r="M8" s="21">
        <v>366.3</v>
      </c>
      <c r="N8" s="21">
        <v>285.51</v>
      </c>
      <c r="O8" s="21">
        <v>6696.97</v>
      </c>
    </row>
    <row r="9" spans="1:15" x14ac:dyDescent="0.2">
      <c r="B9" s="2" t="s">
        <v>239</v>
      </c>
      <c r="C9" s="7">
        <v>0.83</v>
      </c>
      <c r="D9" s="7">
        <v>1.1200000000000001</v>
      </c>
      <c r="E9" s="7">
        <v>0.9</v>
      </c>
      <c r="F9" s="7">
        <v>0.76</v>
      </c>
      <c r="G9" s="7">
        <v>0.88</v>
      </c>
      <c r="H9" s="7">
        <v>0.27</v>
      </c>
      <c r="I9" s="7">
        <v>1.73</v>
      </c>
      <c r="J9" s="7">
        <v>1.27</v>
      </c>
      <c r="K9" s="7">
        <v>1.2</v>
      </c>
      <c r="L9" s="7">
        <v>0.85</v>
      </c>
      <c r="M9" s="7">
        <v>0.77</v>
      </c>
      <c r="N9" s="7">
        <v>1.8</v>
      </c>
      <c r="O9" s="22">
        <v>12.379999999999999</v>
      </c>
    </row>
    <row r="10" spans="1:15" x14ac:dyDescent="0.2">
      <c r="B10" s="2" t="s">
        <v>240</v>
      </c>
      <c r="C10" s="7">
        <v>2.04</v>
      </c>
      <c r="D10" s="7">
        <v>2.3199999999999998</v>
      </c>
      <c r="E10" s="7">
        <v>3.17</v>
      </c>
      <c r="F10" s="7">
        <v>2.68</v>
      </c>
      <c r="G10" s="7">
        <v>2.34</v>
      </c>
      <c r="H10" s="7">
        <v>0.77</v>
      </c>
      <c r="I10" s="7">
        <v>2.19</v>
      </c>
      <c r="J10" s="7">
        <v>0.55000000000000004</v>
      </c>
      <c r="K10" s="7">
        <v>0.63</v>
      </c>
      <c r="L10" s="7">
        <v>1.91</v>
      </c>
      <c r="M10" s="7">
        <v>2.2000000000000002</v>
      </c>
      <c r="N10" s="7">
        <v>1.23</v>
      </c>
      <c r="O10" s="22">
        <v>22.029999999999998</v>
      </c>
    </row>
    <row r="11" spans="1:15" x14ac:dyDescent="0.2">
      <c r="B11" s="2" t="s">
        <v>241</v>
      </c>
      <c r="C11" s="7">
        <v>3.11</v>
      </c>
      <c r="D11" s="7">
        <v>1.36</v>
      </c>
      <c r="E11" s="7">
        <v>2.35</v>
      </c>
      <c r="F11" s="7">
        <v>2.37</v>
      </c>
      <c r="G11" s="7">
        <v>2.39</v>
      </c>
      <c r="H11" s="7">
        <v>4.4000000000000004</v>
      </c>
      <c r="I11" s="7">
        <v>2.85</v>
      </c>
      <c r="J11" s="7">
        <v>2.59</v>
      </c>
      <c r="K11" s="7">
        <v>2.41</v>
      </c>
      <c r="L11" s="7">
        <v>2.4900000000000002</v>
      </c>
      <c r="M11" s="7">
        <v>2.44</v>
      </c>
      <c r="N11" s="7">
        <v>2.0499999999999998</v>
      </c>
      <c r="O11" s="22">
        <v>30.810000000000002</v>
      </c>
    </row>
    <row r="12" spans="1:15" x14ac:dyDescent="0.2">
      <c r="B12" s="2" t="s">
        <v>242</v>
      </c>
      <c r="C12" s="7">
        <v>2.59</v>
      </c>
      <c r="D12" s="7">
        <v>2.06</v>
      </c>
      <c r="E12" s="7">
        <v>2.33</v>
      </c>
      <c r="F12" s="7">
        <v>1.64</v>
      </c>
      <c r="G12" s="7">
        <v>1.8</v>
      </c>
      <c r="H12" s="7">
        <v>2.0099999999999998</v>
      </c>
      <c r="I12" s="7">
        <v>1.88</v>
      </c>
      <c r="J12" s="7">
        <v>1.82</v>
      </c>
      <c r="K12" s="7">
        <v>1.92</v>
      </c>
      <c r="L12" s="7">
        <v>1.74</v>
      </c>
      <c r="M12" s="7">
        <v>1.72</v>
      </c>
      <c r="N12" s="7">
        <v>1.71</v>
      </c>
      <c r="O12" s="22">
        <v>23.220000000000002</v>
      </c>
    </row>
    <row r="13" spans="1:15" x14ac:dyDescent="0.2">
      <c r="B13" s="2" t="s">
        <v>243</v>
      </c>
      <c r="C13" s="7">
        <v>13</v>
      </c>
      <c r="D13" s="7">
        <v>7.44</v>
      </c>
      <c r="E13" s="7">
        <v>8.0500000000000007</v>
      </c>
      <c r="F13" s="7">
        <v>7.33</v>
      </c>
      <c r="G13" s="7">
        <v>8.9600000000000009</v>
      </c>
      <c r="H13" s="7">
        <v>7.18</v>
      </c>
      <c r="I13" s="7">
        <v>13.26</v>
      </c>
      <c r="J13" s="7">
        <v>182.28</v>
      </c>
      <c r="K13" s="7">
        <v>24.34</v>
      </c>
      <c r="L13" s="7">
        <v>695.99</v>
      </c>
      <c r="M13" s="7">
        <v>10.41</v>
      </c>
      <c r="N13" s="7">
        <v>7.02</v>
      </c>
      <c r="O13" s="22">
        <v>985.25999999999988</v>
      </c>
    </row>
    <row r="14" spans="1:15" x14ac:dyDescent="0.2">
      <c r="B14" s="2" t="s">
        <v>444</v>
      </c>
      <c r="C14" s="7">
        <v>0.02</v>
      </c>
      <c r="D14" s="7">
        <v>0</v>
      </c>
      <c r="E14" s="7">
        <v>0</v>
      </c>
      <c r="F14" s="7">
        <v>0</v>
      </c>
      <c r="G14" s="7">
        <v>0</v>
      </c>
      <c r="H14" s="7">
        <v>0</v>
      </c>
      <c r="I14" s="7">
        <v>0</v>
      </c>
      <c r="J14" s="7">
        <v>0</v>
      </c>
      <c r="K14" s="7">
        <v>0</v>
      </c>
      <c r="L14" s="7">
        <v>0</v>
      </c>
      <c r="M14" s="7">
        <v>0</v>
      </c>
      <c r="N14" s="7">
        <v>0.01</v>
      </c>
      <c r="O14" s="22">
        <v>0.03</v>
      </c>
    </row>
    <row r="15" spans="1:15" x14ac:dyDescent="0.2">
      <c r="B15" s="2" t="s">
        <v>244</v>
      </c>
      <c r="C15" s="7">
        <v>0.18</v>
      </c>
      <c r="D15" s="7">
        <v>0.82</v>
      </c>
      <c r="E15" s="7">
        <v>1.37</v>
      </c>
      <c r="F15" s="7">
        <v>0.83</v>
      </c>
      <c r="G15" s="7">
        <v>0.24</v>
      </c>
      <c r="H15" s="7">
        <v>0.28999999999999998</v>
      </c>
      <c r="I15" s="7">
        <v>0.26</v>
      </c>
      <c r="J15" s="7">
        <v>0.31</v>
      </c>
      <c r="K15" s="7">
        <v>0.28000000000000003</v>
      </c>
      <c r="L15" s="7">
        <v>0.38</v>
      </c>
      <c r="M15" s="7">
        <v>0.36</v>
      </c>
      <c r="N15" s="7">
        <v>0.23</v>
      </c>
      <c r="O15" s="22">
        <v>5.5500000000000007</v>
      </c>
    </row>
    <row r="16" spans="1:15" x14ac:dyDescent="0.2">
      <c r="B16" s="2" t="s">
        <v>245</v>
      </c>
      <c r="C16" s="7">
        <v>0</v>
      </c>
      <c r="D16" s="7">
        <v>0</v>
      </c>
      <c r="E16" s="7">
        <v>0</v>
      </c>
      <c r="F16" s="7">
        <v>0.01</v>
      </c>
      <c r="G16" s="7">
        <v>0</v>
      </c>
      <c r="H16" s="7">
        <v>0.02</v>
      </c>
      <c r="I16" s="7">
        <v>0</v>
      </c>
      <c r="J16" s="7">
        <v>0</v>
      </c>
      <c r="K16" s="7">
        <v>0</v>
      </c>
      <c r="L16" s="7">
        <v>0.02</v>
      </c>
      <c r="M16" s="7">
        <v>0</v>
      </c>
      <c r="N16" s="7">
        <v>0</v>
      </c>
      <c r="O16" s="22">
        <v>0.05</v>
      </c>
    </row>
    <row r="17" spans="1:15" x14ac:dyDescent="0.2">
      <c r="B17" s="2" t="s">
        <v>246</v>
      </c>
      <c r="C17" s="7">
        <v>8.92</v>
      </c>
      <c r="D17" s="7">
        <v>4.41</v>
      </c>
      <c r="E17" s="7">
        <v>5.03</v>
      </c>
      <c r="F17" s="7">
        <v>6.34</v>
      </c>
      <c r="G17" s="7">
        <v>4.3</v>
      </c>
      <c r="H17" s="7">
        <v>5.94</v>
      </c>
      <c r="I17" s="7">
        <v>5.81</v>
      </c>
      <c r="J17" s="7">
        <v>6.09</v>
      </c>
      <c r="K17" s="7">
        <v>3.92</v>
      </c>
      <c r="L17" s="7">
        <v>6.69</v>
      </c>
      <c r="M17" s="7">
        <v>5.05</v>
      </c>
      <c r="N17" s="7">
        <v>11.91</v>
      </c>
      <c r="O17" s="22">
        <v>74.41</v>
      </c>
    </row>
    <row r="18" spans="1:15" x14ac:dyDescent="0.2">
      <c r="B18" s="2" t="s">
        <v>247</v>
      </c>
      <c r="C18" s="7">
        <v>0.01</v>
      </c>
      <c r="D18" s="7">
        <v>0.01</v>
      </c>
      <c r="E18" s="7">
        <v>0.03</v>
      </c>
      <c r="F18" s="7">
        <v>0.12</v>
      </c>
      <c r="G18" s="7">
        <v>0.1</v>
      </c>
      <c r="H18" s="7">
        <v>0.04</v>
      </c>
      <c r="I18" s="7">
        <v>0.04</v>
      </c>
      <c r="J18" s="7">
        <v>0.03</v>
      </c>
      <c r="K18" s="7">
        <v>0.02</v>
      </c>
      <c r="L18" s="7">
        <v>0.02</v>
      </c>
      <c r="M18" s="7">
        <v>0.09</v>
      </c>
      <c r="N18" s="7">
        <v>0.01</v>
      </c>
      <c r="O18" s="22">
        <v>0.52</v>
      </c>
    </row>
    <row r="19" spans="1:15" x14ac:dyDescent="0.2">
      <c r="B19" s="2" t="s">
        <v>248</v>
      </c>
      <c r="C19" s="7">
        <v>0.14000000000000001</v>
      </c>
      <c r="D19" s="7">
        <v>0.87</v>
      </c>
      <c r="E19" s="7">
        <v>0.01</v>
      </c>
      <c r="F19" s="7">
        <v>0.01</v>
      </c>
      <c r="G19" s="7">
        <v>0.67</v>
      </c>
      <c r="H19" s="7">
        <v>0.28999999999999998</v>
      </c>
      <c r="I19" s="7">
        <v>0.02</v>
      </c>
      <c r="J19" s="7">
        <v>0.02</v>
      </c>
      <c r="K19" s="7">
        <v>0.05</v>
      </c>
      <c r="L19" s="7">
        <v>0</v>
      </c>
      <c r="M19" s="7">
        <v>0</v>
      </c>
      <c r="N19" s="7">
        <v>0.32</v>
      </c>
      <c r="O19" s="22">
        <v>2.4</v>
      </c>
    </row>
    <row r="20" spans="1:15" x14ac:dyDescent="0.2">
      <c r="B20" s="2" t="s">
        <v>249</v>
      </c>
      <c r="C20" s="7">
        <v>0.65</v>
      </c>
      <c r="D20" s="7">
        <v>0.48</v>
      </c>
      <c r="E20" s="7">
        <v>0.51</v>
      </c>
      <c r="F20" s="7">
        <v>0.24</v>
      </c>
      <c r="G20" s="7">
        <v>0.24</v>
      </c>
      <c r="H20" s="7">
        <v>0.31</v>
      </c>
      <c r="I20" s="7">
        <v>0.55000000000000004</v>
      </c>
      <c r="J20" s="7">
        <v>0.5</v>
      </c>
      <c r="K20" s="7">
        <v>0.46</v>
      </c>
      <c r="L20" s="7">
        <v>0.35</v>
      </c>
      <c r="M20" s="7">
        <v>0.38</v>
      </c>
      <c r="N20" s="7">
        <v>0.37</v>
      </c>
      <c r="O20" s="22">
        <v>5.04</v>
      </c>
    </row>
    <row r="21" spans="1:15" x14ac:dyDescent="0.2">
      <c r="B21" s="2" t="s">
        <v>250</v>
      </c>
      <c r="C21" s="7">
        <v>0.3</v>
      </c>
      <c r="D21" s="7">
        <v>0.43</v>
      </c>
      <c r="E21" s="7">
        <v>0.3</v>
      </c>
      <c r="F21" s="7">
        <v>0.16</v>
      </c>
      <c r="G21" s="7">
        <v>0</v>
      </c>
      <c r="H21" s="7">
        <v>0</v>
      </c>
      <c r="I21" s="7">
        <v>0</v>
      </c>
      <c r="J21" s="7">
        <v>0</v>
      </c>
      <c r="K21" s="7">
        <v>0.26</v>
      </c>
      <c r="L21" s="7">
        <v>0.51</v>
      </c>
      <c r="M21" s="7">
        <v>0.43</v>
      </c>
      <c r="N21" s="7">
        <v>0</v>
      </c>
      <c r="O21" s="22">
        <v>2.39</v>
      </c>
    </row>
    <row r="22" spans="1:15" x14ac:dyDescent="0.2">
      <c r="B22" s="2" t="s">
        <v>251</v>
      </c>
      <c r="C22" s="7">
        <v>189.45</v>
      </c>
      <c r="D22" s="7">
        <v>712.53</v>
      </c>
      <c r="E22" s="7">
        <v>181.46</v>
      </c>
      <c r="F22" s="7">
        <v>218.01</v>
      </c>
      <c r="G22" s="7">
        <v>180.33</v>
      </c>
      <c r="H22" s="7">
        <v>166.38</v>
      </c>
      <c r="I22" s="7">
        <v>225.24</v>
      </c>
      <c r="J22" s="7">
        <v>571.87</v>
      </c>
      <c r="K22" s="7">
        <v>195.1</v>
      </c>
      <c r="L22" s="22">
        <v>1338.7</v>
      </c>
      <c r="M22" s="7">
        <v>284.77999999999997</v>
      </c>
      <c r="N22" s="7">
        <v>178.56</v>
      </c>
      <c r="O22" s="22">
        <v>4442.41</v>
      </c>
    </row>
    <row r="23" spans="1:15" x14ac:dyDescent="0.2">
      <c r="B23" s="2" t="s">
        <v>252</v>
      </c>
      <c r="C23" s="7">
        <v>3.26</v>
      </c>
      <c r="D23" s="7">
        <v>0.21</v>
      </c>
      <c r="E23" s="7">
        <v>0.27</v>
      </c>
      <c r="F23" s="7">
        <v>0.25</v>
      </c>
      <c r="G23" s="7">
        <v>0.16</v>
      </c>
      <c r="H23" s="7">
        <v>0.2</v>
      </c>
      <c r="I23" s="7">
        <v>0.18</v>
      </c>
      <c r="J23" s="7">
        <v>0.2</v>
      </c>
      <c r="K23" s="7">
        <v>0.11</v>
      </c>
      <c r="L23" s="7">
        <v>0.77</v>
      </c>
      <c r="M23" s="7">
        <v>0.49</v>
      </c>
      <c r="N23" s="7">
        <v>0.92</v>
      </c>
      <c r="O23" s="22">
        <v>7.02</v>
      </c>
    </row>
    <row r="24" spans="1:15" x14ac:dyDescent="0.2">
      <c r="B24" s="2" t="s">
        <v>253</v>
      </c>
      <c r="C24" s="7">
        <v>4.0199999999999996</v>
      </c>
      <c r="D24" s="7">
        <v>2.4500000000000002</v>
      </c>
      <c r="E24" s="7">
        <v>5.55</v>
      </c>
      <c r="F24" s="7">
        <v>11.66</v>
      </c>
      <c r="G24" s="7">
        <v>5.43</v>
      </c>
      <c r="H24" s="7">
        <v>13.36</v>
      </c>
      <c r="I24" s="7">
        <v>13.05</v>
      </c>
      <c r="J24" s="7">
        <v>6.91</v>
      </c>
      <c r="K24" s="7">
        <v>3.65</v>
      </c>
      <c r="L24" s="7">
        <v>3.57</v>
      </c>
      <c r="M24" s="7">
        <v>8.69</v>
      </c>
      <c r="N24" s="7">
        <v>7.38</v>
      </c>
      <c r="O24" s="22">
        <v>85.719999999999985</v>
      </c>
    </row>
    <row r="25" spans="1:15" x14ac:dyDescent="0.2">
      <c r="B25" s="2" t="s">
        <v>255</v>
      </c>
      <c r="C25" s="7">
        <v>78.36</v>
      </c>
      <c r="D25" s="7">
        <v>77.099999999999994</v>
      </c>
      <c r="E25" s="7">
        <v>104.09</v>
      </c>
      <c r="F25" s="7">
        <v>80.67</v>
      </c>
      <c r="G25" s="7">
        <v>107.77</v>
      </c>
      <c r="H25" s="7">
        <v>76.180000000000007</v>
      </c>
      <c r="I25" s="7">
        <v>84.06</v>
      </c>
      <c r="J25" s="7">
        <v>48.47</v>
      </c>
      <c r="K25" s="7">
        <v>114.29</v>
      </c>
      <c r="L25" s="7">
        <v>70.209999999999994</v>
      </c>
      <c r="M25" s="7">
        <v>46.24</v>
      </c>
      <c r="N25" s="7">
        <v>68.650000000000006</v>
      </c>
      <c r="O25" s="22">
        <v>956.09</v>
      </c>
    </row>
    <row r="26" spans="1:15" x14ac:dyDescent="0.2">
      <c r="B26" s="2" t="s">
        <v>257</v>
      </c>
      <c r="C26" s="7">
        <v>0.08</v>
      </c>
      <c r="D26" s="7">
        <v>7.0000000000000007E-2</v>
      </c>
      <c r="E26" s="7">
        <v>0.1</v>
      </c>
      <c r="F26" s="7">
        <v>0.08</v>
      </c>
      <c r="G26" s="7">
        <v>0.42</v>
      </c>
      <c r="H26" s="7">
        <v>7.0000000000000007E-2</v>
      </c>
      <c r="I26" s="7">
        <v>7.0000000000000007E-2</v>
      </c>
      <c r="J26" s="7">
        <v>0.09</v>
      </c>
      <c r="K26" s="7">
        <v>0.1</v>
      </c>
      <c r="L26" s="7">
        <v>7.0000000000000007E-2</v>
      </c>
      <c r="M26" s="7">
        <v>0.08</v>
      </c>
      <c r="N26" s="7">
        <v>0.05</v>
      </c>
      <c r="O26" s="22">
        <v>1.2800000000000002</v>
      </c>
    </row>
    <row r="27" spans="1:15" x14ac:dyDescent="0.2">
      <c r="B27" s="2" t="s">
        <v>445</v>
      </c>
      <c r="C27" s="7">
        <v>0</v>
      </c>
      <c r="D27" s="7">
        <v>0</v>
      </c>
      <c r="E27" s="7">
        <v>0</v>
      </c>
      <c r="F27" s="7">
        <v>0.01</v>
      </c>
      <c r="G27" s="7">
        <v>0</v>
      </c>
      <c r="H27" s="7">
        <v>0</v>
      </c>
      <c r="I27" s="7">
        <v>0</v>
      </c>
      <c r="J27" s="7">
        <v>0</v>
      </c>
      <c r="K27" s="7">
        <v>0</v>
      </c>
      <c r="L27" s="7">
        <v>0</v>
      </c>
      <c r="M27" s="7">
        <v>0</v>
      </c>
      <c r="N27" s="7">
        <v>0</v>
      </c>
      <c r="O27" s="22">
        <v>0.01</v>
      </c>
    </row>
    <row r="28" spans="1:15" x14ac:dyDescent="0.2">
      <c r="B28" s="2" t="s">
        <v>259</v>
      </c>
      <c r="C28" s="7">
        <v>3.45</v>
      </c>
      <c r="D28" s="7">
        <v>6.25</v>
      </c>
      <c r="E28" s="7">
        <v>3.61</v>
      </c>
      <c r="F28" s="7">
        <v>2.67</v>
      </c>
      <c r="G28" s="7">
        <v>3.39</v>
      </c>
      <c r="H28" s="7">
        <v>3.08</v>
      </c>
      <c r="I28" s="7">
        <v>2.99</v>
      </c>
      <c r="J28" s="7">
        <v>2.54</v>
      </c>
      <c r="K28" s="7">
        <v>2.97</v>
      </c>
      <c r="L28" s="7">
        <v>3.94</v>
      </c>
      <c r="M28" s="7">
        <v>2.17</v>
      </c>
      <c r="N28" s="7">
        <v>3.29</v>
      </c>
      <c r="O28" s="22">
        <v>40.349999999999994</v>
      </c>
    </row>
    <row r="29" spans="1:15" ht="12.75" customHeight="1" x14ac:dyDescent="0.2">
      <c r="B29" s="2" t="s">
        <v>6</v>
      </c>
      <c r="C29" s="7"/>
      <c r="D29" s="7"/>
      <c r="E29" s="7"/>
      <c r="O29" s="22"/>
    </row>
    <row r="30" spans="1:15" s="4" customFormat="1" ht="15" x14ac:dyDescent="0.25">
      <c r="A30" s="3" t="s">
        <v>46</v>
      </c>
      <c r="C30" s="5">
        <v>15.680000000000001</v>
      </c>
      <c r="D30" s="5">
        <v>13.629999999999999</v>
      </c>
      <c r="E30" s="5">
        <v>12.64</v>
      </c>
      <c r="F30" s="5">
        <v>14.66</v>
      </c>
      <c r="G30" s="5">
        <v>20.9</v>
      </c>
      <c r="H30" s="5">
        <v>16.36</v>
      </c>
      <c r="I30" s="5">
        <v>13.739999999999998</v>
      </c>
      <c r="J30" s="5">
        <v>21.990000000000002</v>
      </c>
      <c r="K30" s="5">
        <v>19.329999999999998</v>
      </c>
      <c r="L30" s="5">
        <v>25.439999999999998</v>
      </c>
      <c r="M30" s="5">
        <v>13.63</v>
      </c>
      <c r="N30" s="5">
        <v>16.600000000000001</v>
      </c>
      <c r="O30" s="21">
        <v>204.6</v>
      </c>
    </row>
    <row r="31" spans="1:15" x14ac:dyDescent="0.2">
      <c r="B31" s="2" t="s">
        <v>260</v>
      </c>
      <c r="C31" s="7">
        <v>0</v>
      </c>
      <c r="D31" s="7">
        <v>0</v>
      </c>
      <c r="E31" s="7">
        <v>0</v>
      </c>
      <c r="F31" s="7">
        <v>0</v>
      </c>
      <c r="G31" s="7">
        <v>0</v>
      </c>
      <c r="H31" s="7">
        <v>7.0000000000000007E-2</v>
      </c>
      <c r="I31" s="7">
        <v>0.02</v>
      </c>
      <c r="J31" s="7">
        <v>5.01</v>
      </c>
      <c r="K31" s="7">
        <v>1.5</v>
      </c>
      <c r="L31" s="7">
        <v>6.04</v>
      </c>
      <c r="M31" s="7">
        <v>0.01</v>
      </c>
      <c r="N31" s="7">
        <v>0.01</v>
      </c>
      <c r="O31" s="22">
        <v>12.66</v>
      </c>
    </row>
    <row r="32" spans="1:15" x14ac:dyDescent="0.2">
      <c r="B32" s="2" t="s">
        <v>261</v>
      </c>
      <c r="C32" s="7">
        <v>0.13</v>
      </c>
      <c r="D32" s="7">
        <v>0.27</v>
      </c>
      <c r="E32" s="7">
        <v>0.08</v>
      </c>
      <c r="F32" s="7">
        <v>0.09</v>
      </c>
      <c r="G32" s="22">
        <v>0.91</v>
      </c>
      <c r="H32" s="7">
        <v>0.36</v>
      </c>
      <c r="I32" s="7">
        <v>0.1</v>
      </c>
      <c r="J32" s="7">
        <v>0.17</v>
      </c>
      <c r="K32" s="7">
        <v>0.11</v>
      </c>
      <c r="L32" s="7">
        <v>0.44</v>
      </c>
      <c r="M32" s="7">
        <v>0.1</v>
      </c>
      <c r="N32" s="7">
        <v>0.13</v>
      </c>
      <c r="O32" s="22">
        <v>2.8899999999999997</v>
      </c>
    </row>
    <row r="33" spans="1:15" x14ac:dyDescent="0.2">
      <c r="B33" s="2" t="s">
        <v>262</v>
      </c>
      <c r="C33" s="7">
        <v>0</v>
      </c>
      <c r="D33" s="7">
        <v>0</v>
      </c>
      <c r="E33" s="7">
        <v>0</v>
      </c>
      <c r="F33" s="7">
        <v>0</v>
      </c>
      <c r="G33" s="22">
        <v>0</v>
      </c>
      <c r="H33" s="7">
        <v>0.01</v>
      </c>
      <c r="I33" s="7">
        <v>0</v>
      </c>
      <c r="J33" s="7">
        <v>0</v>
      </c>
      <c r="K33" s="7">
        <v>0</v>
      </c>
      <c r="L33" s="7">
        <v>0</v>
      </c>
      <c r="M33" s="7">
        <v>0</v>
      </c>
      <c r="N33" s="7">
        <v>0</v>
      </c>
      <c r="O33" s="22">
        <v>0.01</v>
      </c>
    </row>
    <row r="34" spans="1:15" x14ac:dyDescent="0.2">
      <c r="B34" s="2" t="s">
        <v>263</v>
      </c>
      <c r="C34" s="7">
        <v>15.41</v>
      </c>
      <c r="D34" s="7">
        <v>13.34</v>
      </c>
      <c r="E34" s="7">
        <v>12.55</v>
      </c>
      <c r="F34" s="7">
        <v>14.17</v>
      </c>
      <c r="G34" s="22">
        <v>19.95</v>
      </c>
      <c r="H34" s="7">
        <v>15.74</v>
      </c>
      <c r="I34" s="7">
        <v>13.58</v>
      </c>
      <c r="J34" s="7">
        <v>16.64</v>
      </c>
      <c r="K34" s="7">
        <v>17.7</v>
      </c>
      <c r="L34" s="7">
        <v>18.88</v>
      </c>
      <c r="M34" s="7">
        <v>13.06</v>
      </c>
      <c r="N34" s="7">
        <v>16.440000000000001</v>
      </c>
      <c r="O34" s="22">
        <v>187.45999999999998</v>
      </c>
    </row>
    <row r="35" spans="1:15" x14ac:dyDescent="0.2">
      <c r="B35" s="2" t="s">
        <v>265</v>
      </c>
      <c r="C35" s="7">
        <v>0.14000000000000001</v>
      </c>
      <c r="D35" s="7">
        <v>0.02</v>
      </c>
      <c r="E35" s="7">
        <v>0.01</v>
      </c>
      <c r="F35" s="7">
        <v>0.4</v>
      </c>
      <c r="G35" s="22">
        <v>0.04</v>
      </c>
      <c r="H35" s="7">
        <v>0.18</v>
      </c>
      <c r="I35" s="7">
        <v>0.04</v>
      </c>
      <c r="J35" s="7">
        <v>0.17</v>
      </c>
      <c r="K35" s="7">
        <v>0.02</v>
      </c>
      <c r="L35" s="7">
        <v>0.08</v>
      </c>
      <c r="M35" s="7">
        <v>0.46</v>
      </c>
      <c r="N35" s="7">
        <v>0.02</v>
      </c>
      <c r="O35" s="22">
        <v>1.58</v>
      </c>
    </row>
    <row r="36" spans="1:15" ht="11.25" customHeight="1" x14ac:dyDescent="0.2">
      <c r="C36" s="7"/>
      <c r="D36" s="7"/>
      <c r="E36" s="7"/>
      <c r="N36" s="2">
        <v>20.63</v>
      </c>
      <c r="O36" s="22"/>
    </row>
    <row r="37" spans="1:15" s="4" customFormat="1" ht="15" x14ac:dyDescent="0.25">
      <c r="A37" s="3" t="s">
        <v>54</v>
      </c>
      <c r="C37" s="5">
        <v>39.850000000000009</v>
      </c>
      <c r="D37" s="5">
        <v>21.999999999999996</v>
      </c>
      <c r="E37" s="5">
        <v>80.434000000000012</v>
      </c>
      <c r="F37" s="5">
        <v>20.200000000000003</v>
      </c>
      <c r="G37" s="5">
        <v>20.574566890000003</v>
      </c>
      <c r="H37" s="5">
        <v>19.210000000000004</v>
      </c>
      <c r="I37" s="5">
        <v>20.770000000000003</v>
      </c>
      <c r="J37" s="5">
        <v>18.27</v>
      </c>
      <c r="K37" s="5">
        <v>19.38</v>
      </c>
      <c r="L37" s="5">
        <v>19.690000000000001</v>
      </c>
      <c r="M37" s="5">
        <v>20.229999999999997</v>
      </c>
      <c r="N37" s="5">
        <v>20.63</v>
      </c>
      <c r="O37" s="21">
        <v>321.23856689000007</v>
      </c>
    </row>
    <row r="38" spans="1:15" x14ac:dyDescent="0.2">
      <c r="B38" s="2" t="s">
        <v>267</v>
      </c>
      <c r="C38" s="7">
        <v>14.48</v>
      </c>
      <c r="D38" s="7">
        <v>2.58</v>
      </c>
      <c r="E38" s="7">
        <v>62.5</v>
      </c>
      <c r="F38" s="7">
        <v>2.46</v>
      </c>
      <c r="G38" s="22">
        <v>2.4359228700000002</v>
      </c>
      <c r="H38" s="7">
        <v>3.16</v>
      </c>
      <c r="I38" s="7">
        <v>3.5</v>
      </c>
      <c r="J38" s="7">
        <v>2.41</v>
      </c>
      <c r="K38" s="7">
        <v>3.79</v>
      </c>
      <c r="L38" s="7">
        <v>3.44</v>
      </c>
      <c r="M38" s="7">
        <v>4.41</v>
      </c>
      <c r="N38" s="7">
        <v>3.19</v>
      </c>
      <c r="O38" s="22">
        <v>108.35592286999999</v>
      </c>
    </row>
    <row r="39" spans="1:15" x14ac:dyDescent="0.2">
      <c r="B39" s="2" t="s">
        <v>268</v>
      </c>
      <c r="C39" s="7">
        <v>0.02</v>
      </c>
      <c r="D39" s="7">
        <v>0.01</v>
      </c>
      <c r="E39" s="7">
        <v>0</v>
      </c>
      <c r="F39" s="7">
        <v>0</v>
      </c>
      <c r="G39" s="22">
        <v>1.72E-2</v>
      </c>
      <c r="H39" s="7">
        <v>0.01</v>
      </c>
      <c r="I39" s="7">
        <v>0</v>
      </c>
      <c r="J39" s="7">
        <v>0</v>
      </c>
      <c r="K39" s="7">
        <v>0</v>
      </c>
      <c r="L39" s="7">
        <v>0</v>
      </c>
      <c r="M39" s="7">
        <v>0.04</v>
      </c>
      <c r="N39" s="7">
        <v>0</v>
      </c>
      <c r="O39" s="22">
        <v>9.7200000000000009E-2</v>
      </c>
    </row>
    <row r="40" spans="1:15" x14ac:dyDescent="0.2">
      <c r="B40" s="2" t="s">
        <v>446</v>
      </c>
      <c r="C40" s="7">
        <v>0</v>
      </c>
      <c r="D40" s="7">
        <v>0</v>
      </c>
      <c r="E40" s="7">
        <v>0</v>
      </c>
      <c r="F40" s="7">
        <v>0</v>
      </c>
      <c r="G40" s="22">
        <v>0</v>
      </c>
      <c r="H40" s="7">
        <v>0</v>
      </c>
      <c r="I40" s="7">
        <v>0</v>
      </c>
      <c r="J40" s="7">
        <v>0</v>
      </c>
      <c r="K40" s="7">
        <v>0</v>
      </c>
      <c r="L40" s="7">
        <v>0</v>
      </c>
      <c r="M40" s="7">
        <v>0</v>
      </c>
      <c r="N40" s="7">
        <v>7.0000000000000007E-2</v>
      </c>
      <c r="O40" s="22">
        <v>7.0000000000000007E-2</v>
      </c>
    </row>
    <row r="41" spans="1:15" x14ac:dyDescent="0.2">
      <c r="B41" s="2" t="s">
        <v>269</v>
      </c>
      <c r="C41" s="7">
        <v>14.99</v>
      </c>
      <c r="D41" s="7">
        <v>10.91</v>
      </c>
      <c r="E41" s="7">
        <v>13.65</v>
      </c>
      <c r="F41" s="7">
        <v>14.51</v>
      </c>
      <c r="G41" s="22">
        <v>13.93</v>
      </c>
      <c r="H41" s="7">
        <v>12.04</v>
      </c>
      <c r="I41" s="7">
        <v>13.39</v>
      </c>
      <c r="J41" s="7">
        <v>11.99</v>
      </c>
      <c r="K41" s="7">
        <v>12.8</v>
      </c>
      <c r="L41" s="7">
        <v>12.82</v>
      </c>
      <c r="M41" s="7">
        <v>12.4</v>
      </c>
      <c r="N41" s="7">
        <v>12.19</v>
      </c>
      <c r="O41" s="22">
        <v>155.62</v>
      </c>
    </row>
    <row r="42" spans="1:15" x14ac:dyDescent="0.2">
      <c r="B42" s="2" t="s">
        <v>270</v>
      </c>
      <c r="C42" s="7">
        <v>6.67</v>
      </c>
      <c r="D42" s="7">
        <v>7.2</v>
      </c>
      <c r="E42" s="7">
        <v>2.3199999999999998</v>
      </c>
      <c r="F42" s="7">
        <v>2.2799999999999998</v>
      </c>
      <c r="G42" s="22">
        <v>2.5076013800000001</v>
      </c>
      <c r="H42" s="7">
        <v>2.77</v>
      </c>
      <c r="I42" s="7">
        <v>2.91</v>
      </c>
      <c r="J42" s="7">
        <v>2.21</v>
      </c>
      <c r="K42" s="7">
        <v>2.0099999999999998</v>
      </c>
      <c r="L42" s="7">
        <v>2.4900000000000002</v>
      </c>
      <c r="M42" s="7">
        <v>2.13</v>
      </c>
      <c r="N42" s="7">
        <v>4.2300000000000004</v>
      </c>
      <c r="O42" s="22">
        <v>39.72760138000001</v>
      </c>
    </row>
    <row r="43" spans="1:15" x14ac:dyDescent="0.2">
      <c r="B43" s="2" t="s">
        <v>271</v>
      </c>
      <c r="C43" s="7">
        <v>0.27</v>
      </c>
      <c r="D43" s="7">
        <v>0.33</v>
      </c>
      <c r="E43" s="7">
        <v>0.7</v>
      </c>
      <c r="F43" s="7">
        <v>0.18</v>
      </c>
      <c r="G43" s="22">
        <v>0.69721999999999995</v>
      </c>
      <c r="H43" s="7">
        <v>0.32</v>
      </c>
      <c r="I43" s="7">
        <v>0.39</v>
      </c>
      <c r="J43" s="7">
        <v>0.52</v>
      </c>
      <c r="K43" s="7">
        <v>0.28999999999999998</v>
      </c>
      <c r="L43" s="7">
        <v>0.45</v>
      </c>
      <c r="M43" s="7">
        <v>0.38</v>
      </c>
      <c r="N43" s="7">
        <v>0.49</v>
      </c>
      <c r="O43" s="22">
        <v>5.01722</v>
      </c>
    </row>
    <row r="44" spans="1:15" x14ac:dyDescent="0.2">
      <c r="B44" s="2" t="s">
        <v>272</v>
      </c>
      <c r="C44" s="7">
        <v>0.42</v>
      </c>
      <c r="D44" s="7">
        <v>0.13</v>
      </c>
      <c r="E44" s="7">
        <v>0.12</v>
      </c>
      <c r="F44" s="7">
        <v>0.09</v>
      </c>
      <c r="G44" s="22">
        <v>0.19286600000000001</v>
      </c>
      <c r="H44" s="7">
        <v>7.0000000000000007E-2</v>
      </c>
      <c r="I44" s="7">
        <v>0.12</v>
      </c>
      <c r="J44" s="7">
        <v>0.16</v>
      </c>
      <c r="K44" s="7">
        <v>0.11</v>
      </c>
      <c r="L44" s="7">
        <v>0.1</v>
      </c>
      <c r="M44" s="7">
        <v>0.08</v>
      </c>
      <c r="N44" s="7">
        <v>0.13</v>
      </c>
      <c r="O44" s="22">
        <v>1.7228660000000002</v>
      </c>
    </row>
    <row r="45" spans="1:15" x14ac:dyDescent="0.2">
      <c r="B45" s="2" t="s">
        <v>273</v>
      </c>
      <c r="C45" s="7">
        <v>0.01</v>
      </c>
      <c r="D45" s="7">
        <v>0</v>
      </c>
      <c r="E45" s="7">
        <v>4.0000000000000001E-3</v>
      </c>
      <c r="F45" s="7">
        <v>0.03</v>
      </c>
      <c r="G45" s="22">
        <v>6.1999999999999998E-3</v>
      </c>
      <c r="H45" s="7">
        <v>0.03</v>
      </c>
      <c r="I45" s="7">
        <v>0.01</v>
      </c>
      <c r="J45" s="7">
        <v>0.02</v>
      </c>
      <c r="K45" s="7">
        <v>0.04</v>
      </c>
      <c r="L45" s="7">
        <v>0</v>
      </c>
      <c r="M45" s="7">
        <v>0.01</v>
      </c>
      <c r="N45" s="7">
        <v>0</v>
      </c>
      <c r="O45" s="22">
        <v>0.16020000000000001</v>
      </c>
    </row>
    <row r="46" spans="1:15" x14ac:dyDescent="0.2">
      <c r="B46" s="2" t="s">
        <v>274</v>
      </c>
      <c r="C46" s="7">
        <v>0.03</v>
      </c>
      <c r="D46" s="7">
        <v>0.09</v>
      </c>
      <c r="E46" s="7">
        <v>0.25</v>
      </c>
      <c r="F46" s="7">
        <v>0.09</v>
      </c>
      <c r="G46" s="22">
        <v>0</v>
      </c>
      <c r="H46" s="7">
        <v>0.14000000000000001</v>
      </c>
      <c r="I46" s="7">
        <v>0.02</v>
      </c>
      <c r="J46" s="7">
        <v>0.1</v>
      </c>
      <c r="K46" s="7">
        <v>0.09</v>
      </c>
      <c r="L46" s="7">
        <v>0.06</v>
      </c>
      <c r="M46" s="7">
        <v>0.06</v>
      </c>
      <c r="N46" s="7">
        <v>0.05</v>
      </c>
      <c r="O46" s="22">
        <v>0.98</v>
      </c>
    </row>
    <row r="47" spans="1:15" x14ac:dyDescent="0.2">
      <c r="B47" s="2" t="s">
        <v>275</v>
      </c>
      <c r="C47" s="7">
        <v>1.57</v>
      </c>
      <c r="D47" s="7">
        <v>0.18</v>
      </c>
      <c r="E47" s="7">
        <v>0.2</v>
      </c>
      <c r="F47" s="7">
        <v>0.11</v>
      </c>
      <c r="G47" s="22">
        <v>0.33120556000000001</v>
      </c>
      <c r="H47" s="7">
        <v>0.16</v>
      </c>
      <c r="I47" s="7">
        <v>0.13</v>
      </c>
      <c r="J47" s="7">
        <v>0.14000000000000001</v>
      </c>
      <c r="K47" s="7">
        <v>0.1</v>
      </c>
      <c r="L47" s="7">
        <v>0.14000000000000001</v>
      </c>
      <c r="M47" s="7">
        <v>0.13</v>
      </c>
      <c r="N47" s="7">
        <v>0.09</v>
      </c>
      <c r="O47" s="22">
        <v>3.2812055600000001</v>
      </c>
    </row>
    <row r="48" spans="1:15" x14ac:dyDescent="0.2">
      <c r="B48" s="2" t="s">
        <v>277</v>
      </c>
      <c r="C48" s="7">
        <v>1.28</v>
      </c>
      <c r="D48" s="7">
        <v>0.56999999999999995</v>
      </c>
      <c r="E48" s="7">
        <v>0.69</v>
      </c>
      <c r="F48" s="7">
        <v>0.42</v>
      </c>
      <c r="G48" s="22">
        <v>0.45635108000000002</v>
      </c>
      <c r="H48" s="7">
        <v>0.3</v>
      </c>
      <c r="I48" s="7">
        <v>0.24</v>
      </c>
      <c r="J48" s="7">
        <v>0.39</v>
      </c>
      <c r="K48" s="2">
        <v>0.15</v>
      </c>
      <c r="L48" s="7">
        <v>0.19</v>
      </c>
      <c r="M48" s="7">
        <v>0.59</v>
      </c>
      <c r="N48" s="7">
        <v>0.19</v>
      </c>
      <c r="O48" s="22">
        <v>5.4663510800000008</v>
      </c>
    </row>
    <row r="49" spans="1:15" x14ac:dyDescent="0.2">
      <c r="B49" s="2" t="s">
        <v>278</v>
      </c>
      <c r="C49" s="7">
        <v>0</v>
      </c>
      <c r="D49" s="7">
        <v>0</v>
      </c>
      <c r="E49" s="7">
        <v>0</v>
      </c>
      <c r="F49" s="7">
        <v>0.02</v>
      </c>
      <c r="G49" s="22">
        <v>0</v>
      </c>
      <c r="H49" s="7">
        <v>0.21</v>
      </c>
      <c r="I49" s="7">
        <v>0.01</v>
      </c>
      <c r="J49" s="7">
        <v>0.33</v>
      </c>
      <c r="K49" s="7">
        <v>0</v>
      </c>
      <c r="L49" s="7">
        <v>0</v>
      </c>
      <c r="M49" s="7">
        <v>0</v>
      </c>
      <c r="N49" s="7">
        <v>0</v>
      </c>
      <c r="O49" s="22">
        <v>0.57000000000000006</v>
      </c>
    </row>
    <row r="50" spans="1:15" x14ac:dyDescent="0.2">
      <c r="B50" s="2" t="s">
        <v>416</v>
      </c>
      <c r="C50" s="7">
        <v>0</v>
      </c>
      <c r="D50" s="7">
        <v>0</v>
      </c>
      <c r="E50" s="7">
        <v>0</v>
      </c>
      <c r="F50" s="7">
        <v>0</v>
      </c>
      <c r="G50" s="22">
        <v>0</v>
      </c>
      <c r="H50" s="7">
        <v>0</v>
      </c>
      <c r="I50" s="7">
        <v>0.05</v>
      </c>
      <c r="J50" s="7">
        <v>0</v>
      </c>
      <c r="K50" s="7">
        <v>0</v>
      </c>
      <c r="L50" s="7">
        <v>0</v>
      </c>
      <c r="M50" s="7">
        <v>0</v>
      </c>
      <c r="N50" s="7">
        <v>0</v>
      </c>
      <c r="O50" s="22">
        <v>0.05</v>
      </c>
    </row>
    <row r="51" spans="1:15" x14ac:dyDescent="0.2">
      <c r="B51" s="2" t="s">
        <v>280</v>
      </c>
      <c r="C51" s="7">
        <v>0.11</v>
      </c>
      <c r="D51" s="7">
        <v>0</v>
      </c>
      <c r="E51" s="7">
        <v>0</v>
      </c>
      <c r="F51" s="7">
        <v>0.01</v>
      </c>
      <c r="G51" s="22">
        <v>0</v>
      </c>
      <c r="H51" s="7">
        <v>0</v>
      </c>
      <c r="I51" s="7">
        <v>0</v>
      </c>
      <c r="J51" s="7">
        <v>0</v>
      </c>
      <c r="K51" s="7">
        <v>0</v>
      </c>
      <c r="L51" s="7">
        <v>0</v>
      </c>
      <c r="M51" s="7">
        <v>0</v>
      </c>
      <c r="N51" s="7">
        <v>0</v>
      </c>
      <c r="O51" s="22">
        <v>0.12</v>
      </c>
    </row>
    <row r="52" spans="1:15" x14ac:dyDescent="0.2">
      <c r="C52" s="7"/>
      <c r="D52" s="7"/>
      <c r="E52" s="7"/>
      <c r="F52" s="7"/>
      <c r="G52" s="22"/>
      <c r="H52" s="7"/>
      <c r="I52" s="7"/>
      <c r="O52" s="22"/>
    </row>
    <row r="53" spans="1:15" s="4" customFormat="1" ht="15" x14ac:dyDescent="0.25">
      <c r="A53" s="3" t="s">
        <v>69</v>
      </c>
      <c r="C53" s="5">
        <v>0</v>
      </c>
      <c r="D53" s="5">
        <v>1.03</v>
      </c>
      <c r="E53" s="5">
        <v>0.01</v>
      </c>
      <c r="F53" s="5">
        <v>0</v>
      </c>
      <c r="G53" s="5">
        <v>0</v>
      </c>
      <c r="H53" s="5">
        <v>0.04</v>
      </c>
      <c r="I53" s="5">
        <v>0.08</v>
      </c>
      <c r="J53" s="5">
        <v>0</v>
      </c>
      <c r="K53" s="5">
        <v>0</v>
      </c>
      <c r="L53" s="5">
        <v>0.44</v>
      </c>
      <c r="M53" s="5">
        <v>0.03</v>
      </c>
      <c r="N53" s="5">
        <v>0.02</v>
      </c>
      <c r="O53" s="21">
        <v>1.6500000000000001</v>
      </c>
    </row>
    <row r="54" spans="1:15" x14ac:dyDescent="0.2">
      <c r="B54" s="2" t="s">
        <v>281</v>
      </c>
      <c r="C54" s="7">
        <v>0</v>
      </c>
      <c r="D54" s="7">
        <v>1.03</v>
      </c>
      <c r="E54" s="7">
        <v>0.01</v>
      </c>
      <c r="F54" s="7">
        <v>0</v>
      </c>
      <c r="G54" s="22">
        <v>0</v>
      </c>
      <c r="H54" s="7">
        <v>0.04</v>
      </c>
      <c r="I54" s="7">
        <v>0.08</v>
      </c>
      <c r="J54" s="7">
        <v>0</v>
      </c>
      <c r="K54" s="7">
        <v>0</v>
      </c>
      <c r="L54" s="7">
        <v>0.44</v>
      </c>
      <c r="M54" s="7">
        <v>0.03</v>
      </c>
      <c r="N54" s="7">
        <v>0.02</v>
      </c>
      <c r="O54" s="22">
        <v>1.6500000000000001</v>
      </c>
    </row>
    <row r="55" spans="1:15" x14ac:dyDescent="0.2">
      <c r="C55" s="7" t="s">
        <v>6</v>
      </c>
      <c r="D55" s="7" t="s">
        <v>6</v>
      </c>
      <c r="E55" s="7" t="s">
        <v>6</v>
      </c>
      <c r="O55" s="22"/>
    </row>
    <row r="56" spans="1:15" s="4" customFormat="1" ht="15" x14ac:dyDescent="0.25">
      <c r="A56" s="3" t="s">
        <v>71</v>
      </c>
      <c r="C56" s="5">
        <v>16.740000000000002</v>
      </c>
      <c r="D56" s="5">
        <v>4.74</v>
      </c>
      <c r="E56" s="5">
        <v>19.060000000000002</v>
      </c>
      <c r="F56" s="5">
        <v>3.65</v>
      </c>
      <c r="G56" s="5">
        <v>5.1460594500000001</v>
      </c>
      <c r="H56" s="5">
        <v>5.3</v>
      </c>
      <c r="I56" s="5">
        <v>4.29</v>
      </c>
      <c r="J56" s="5">
        <v>5.32</v>
      </c>
      <c r="K56" s="5">
        <v>3.21</v>
      </c>
      <c r="L56" s="5">
        <v>3.96</v>
      </c>
      <c r="M56" s="5">
        <v>4.16</v>
      </c>
      <c r="N56" s="5">
        <v>6.01</v>
      </c>
      <c r="O56" s="21">
        <v>81.586059449999993</v>
      </c>
    </row>
    <row r="57" spans="1:15" x14ac:dyDescent="0.2">
      <c r="B57" s="2" t="s">
        <v>282</v>
      </c>
      <c r="C57" s="7">
        <v>16.73</v>
      </c>
      <c r="D57" s="7">
        <v>4.7300000000000004</v>
      </c>
      <c r="E57" s="7">
        <v>19.05</v>
      </c>
      <c r="F57" s="7">
        <v>3.62</v>
      </c>
      <c r="G57" s="22">
        <v>5.0963095000000003</v>
      </c>
      <c r="H57" s="7">
        <v>5.27</v>
      </c>
      <c r="I57" s="7">
        <v>4.28</v>
      </c>
      <c r="J57" s="7">
        <v>4.92</v>
      </c>
      <c r="K57" s="7">
        <v>3.19</v>
      </c>
      <c r="L57" s="7">
        <v>3.95</v>
      </c>
      <c r="M57" s="7">
        <v>4.1500000000000004</v>
      </c>
      <c r="N57" s="7">
        <v>5.99</v>
      </c>
      <c r="O57" s="22">
        <v>80.976309499999999</v>
      </c>
    </row>
    <row r="58" spans="1:15" x14ac:dyDescent="0.2">
      <c r="B58" s="2" t="s">
        <v>285</v>
      </c>
      <c r="C58" s="7">
        <v>0.01</v>
      </c>
      <c r="D58" s="7">
        <v>0.01</v>
      </c>
      <c r="E58" s="7">
        <v>0.01</v>
      </c>
      <c r="F58" s="7">
        <v>0.03</v>
      </c>
      <c r="G58" s="22">
        <v>4.9749950000000001E-2</v>
      </c>
      <c r="H58" s="7">
        <v>0.03</v>
      </c>
      <c r="I58" s="7">
        <v>0.01</v>
      </c>
      <c r="J58" s="7">
        <v>0.4</v>
      </c>
      <c r="K58" s="7">
        <v>0.02</v>
      </c>
      <c r="L58" s="2">
        <v>0.01</v>
      </c>
      <c r="M58" s="7">
        <v>0.01</v>
      </c>
      <c r="N58" s="7">
        <v>0.02</v>
      </c>
      <c r="O58" s="22">
        <v>0.6097499500000001</v>
      </c>
    </row>
    <row r="59" spans="1:15" x14ac:dyDescent="0.2">
      <c r="C59" s="7" t="s">
        <v>6</v>
      </c>
      <c r="D59" s="7" t="s">
        <v>6</v>
      </c>
      <c r="E59" s="7" t="s">
        <v>6</v>
      </c>
      <c r="O59" s="22"/>
    </row>
    <row r="60" spans="1:15" s="4" customFormat="1" ht="15" x14ac:dyDescent="0.25">
      <c r="A60" s="3" t="s">
        <v>75</v>
      </c>
      <c r="C60" s="5">
        <v>0</v>
      </c>
      <c r="D60" s="5">
        <v>0.03</v>
      </c>
      <c r="E60" s="5">
        <v>500.04</v>
      </c>
      <c r="F60" s="5">
        <v>5.81</v>
      </c>
      <c r="G60" s="5">
        <v>0.05</v>
      </c>
      <c r="H60" s="5">
        <v>0.02</v>
      </c>
      <c r="I60" s="5">
        <v>0</v>
      </c>
      <c r="J60" s="5">
        <v>0</v>
      </c>
      <c r="K60" s="5">
        <v>111.28</v>
      </c>
      <c r="L60" s="5">
        <v>0.01</v>
      </c>
      <c r="M60" s="5">
        <v>0</v>
      </c>
      <c r="N60" s="5">
        <v>0.01</v>
      </c>
      <c r="O60" s="21">
        <v>617.25</v>
      </c>
    </row>
    <row r="61" spans="1:15" x14ac:dyDescent="0.2">
      <c r="B61" s="2" t="s">
        <v>286</v>
      </c>
      <c r="C61" s="7">
        <v>0</v>
      </c>
      <c r="D61" s="7">
        <v>0.03</v>
      </c>
      <c r="E61" s="7">
        <v>0</v>
      </c>
      <c r="F61" s="7">
        <v>0</v>
      </c>
      <c r="G61" s="7">
        <v>0</v>
      </c>
      <c r="H61" s="7">
        <v>0</v>
      </c>
      <c r="I61" s="7">
        <v>0</v>
      </c>
      <c r="J61" s="7">
        <v>0</v>
      </c>
      <c r="K61" s="7">
        <v>0</v>
      </c>
      <c r="L61" s="7">
        <v>0</v>
      </c>
      <c r="M61" s="7">
        <v>0</v>
      </c>
      <c r="N61" s="7">
        <v>0</v>
      </c>
      <c r="O61" s="22">
        <v>0.03</v>
      </c>
    </row>
    <row r="62" spans="1:15" x14ac:dyDescent="0.2">
      <c r="B62" s="2" t="s">
        <v>429</v>
      </c>
      <c r="C62" s="7">
        <v>0</v>
      </c>
      <c r="D62" s="7">
        <v>0</v>
      </c>
      <c r="E62" s="7">
        <v>500.04</v>
      </c>
      <c r="F62" s="7">
        <v>5.81</v>
      </c>
      <c r="G62" s="7">
        <v>0.05</v>
      </c>
      <c r="H62" s="7">
        <v>0.02</v>
      </c>
      <c r="I62" s="7">
        <v>0</v>
      </c>
      <c r="J62" s="7">
        <v>0</v>
      </c>
      <c r="K62" s="7">
        <v>111.28</v>
      </c>
      <c r="L62" s="7">
        <v>0.01</v>
      </c>
      <c r="M62" s="7">
        <v>0</v>
      </c>
      <c r="N62" s="7">
        <v>0.01</v>
      </c>
      <c r="O62" s="22">
        <v>617.22</v>
      </c>
    </row>
    <row r="63" spans="1:15" x14ac:dyDescent="0.2">
      <c r="C63" s="7"/>
      <c r="D63" s="7"/>
      <c r="E63" s="7"/>
      <c r="F63" s="7"/>
      <c r="G63" s="7"/>
      <c r="O63" s="22"/>
    </row>
    <row r="64" spans="1:15" s="4" customFormat="1" ht="15" x14ac:dyDescent="0.25">
      <c r="A64" s="3" t="s">
        <v>78</v>
      </c>
      <c r="C64" s="5">
        <v>71.819999999999993</v>
      </c>
      <c r="D64" s="5">
        <v>94.53</v>
      </c>
      <c r="E64" s="5">
        <v>123.2</v>
      </c>
      <c r="F64" s="5">
        <v>43.14</v>
      </c>
      <c r="G64" s="5">
        <v>68.339999999999989</v>
      </c>
      <c r="H64" s="5">
        <v>72.13</v>
      </c>
      <c r="I64" s="5">
        <v>88.28</v>
      </c>
      <c r="J64" s="5">
        <v>138.87</v>
      </c>
      <c r="K64" s="5">
        <v>79.289999999999992</v>
      </c>
      <c r="L64" s="5">
        <v>225.21</v>
      </c>
      <c r="M64" s="5">
        <v>110.14</v>
      </c>
      <c r="N64" s="5">
        <v>122.64000000000001</v>
      </c>
      <c r="O64" s="21">
        <v>1237.5900000000001</v>
      </c>
    </row>
    <row r="65" spans="1:15" x14ac:dyDescent="0.2">
      <c r="B65" s="2" t="s">
        <v>288</v>
      </c>
      <c r="C65" s="7">
        <v>35.979999999999997</v>
      </c>
      <c r="D65" s="7">
        <v>25.1</v>
      </c>
      <c r="E65" s="7">
        <v>18.72</v>
      </c>
      <c r="F65" s="2">
        <v>12.21</v>
      </c>
      <c r="G65" s="22">
        <v>27.53</v>
      </c>
      <c r="H65" s="7">
        <v>15.63</v>
      </c>
      <c r="I65" s="2">
        <v>15.770000000000001</v>
      </c>
      <c r="J65" s="2">
        <v>15.02</v>
      </c>
      <c r="K65" s="2">
        <v>20.67</v>
      </c>
      <c r="L65" s="22">
        <v>22.19</v>
      </c>
      <c r="M65" s="2">
        <v>44.080000000000005</v>
      </c>
      <c r="N65" s="2">
        <v>16.740000000000002</v>
      </c>
      <c r="O65" s="22">
        <v>269.64</v>
      </c>
    </row>
    <row r="66" spans="1:15" x14ac:dyDescent="0.2">
      <c r="B66" s="2" t="s">
        <v>289</v>
      </c>
      <c r="C66" s="7">
        <v>0.12</v>
      </c>
      <c r="D66" s="7">
        <v>0.12</v>
      </c>
      <c r="E66" s="7">
        <v>0.02</v>
      </c>
      <c r="F66" s="7">
        <v>0.02</v>
      </c>
      <c r="G66" s="22">
        <v>0.04</v>
      </c>
      <c r="H66" s="7">
        <v>7.0000000000000007E-2</v>
      </c>
      <c r="I66" s="7">
        <v>2.4900000000000002</v>
      </c>
      <c r="J66" s="7">
        <v>0.21</v>
      </c>
      <c r="K66" s="7">
        <v>0.05</v>
      </c>
      <c r="L66" s="7">
        <v>0.12</v>
      </c>
      <c r="M66" s="7">
        <v>0.04</v>
      </c>
      <c r="N66" s="7">
        <v>0.02</v>
      </c>
      <c r="O66" s="22">
        <v>3.3200000000000003</v>
      </c>
    </row>
    <row r="67" spans="1:15" x14ac:dyDescent="0.2">
      <c r="B67" s="2" t="s">
        <v>290</v>
      </c>
      <c r="C67" s="7">
        <v>0.42</v>
      </c>
      <c r="D67" s="7">
        <v>0.04</v>
      </c>
      <c r="E67" s="7">
        <v>4.7</v>
      </c>
      <c r="F67" s="7">
        <v>0.49</v>
      </c>
      <c r="G67" s="22">
        <v>0.06</v>
      </c>
      <c r="H67" s="7">
        <v>2.35</v>
      </c>
      <c r="I67" s="7">
        <v>0.21</v>
      </c>
      <c r="J67" s="7">
        <v>3.33</v>
      </c>
      <c r="K67" s="7">
        <v>0.05</v>
      </c>
      <c r="L67" s="7">
        <v>0.1</v>
      </c>
      <c r="M67" s="7">
        <v>0.71</v>
      </c>
      <c r="N67" s="7">
        <v>0.05</v>
      </c>
      <c r="O67" s="22">
        <v>12.510000000000002</v>
      </c>
    </row>
    <row r="68" spans="1:15" x14ac:dyDescent="0.2">
      <c r="B68" s="2" t="s">
        <v>291</v>
      </c>
      <c r="C68" s="7">
        <v>6.9</v>
      </c>
      <c r="D68" s="7">
        <v>5.65</v>
      </c>
      <c r="E68" s="7">
        <v>7.67</v>
      </c>
      <c r="F68" s="7">
        <v>4.03</v>
      </c>
      <c r="G68" s="22">
        <v>8.3800000000000008</v>
      </c>
      <c r="H68" s="7">
        <v>4.63</v>
      </c>
      <c r="I68" s="7">
        <v>5.7</v>
      </c>
      <c r="J68" s="7">
        <v>7.12</v>
      </c>
      <c r="K68" s="7">
        <v>5.38</v>
      </c>
      <c r="L68" s="7">
        <v>4.76</v>
      </c>
      <c r="M68" s="7">
        <v>7.23</v>
      </c>
      <c r="N68" s="7">
        <v>5.03</v>
      </c>
      <c r="O68" s="22">
        <v>72.48</v>
      </c>
    </row>
    <row r="69" spans="1:15" x14ac:dyDescent="0.2">
      <c r="B69" s="2" t="s">
        <v>292</v>
      </c>
      <c r="C69" s="7">
        <v>0.19</v>
      </c>
      <c r="D69" s="7">
        <v>1.1299999999999999</v>
      </c>
      <c r="E69" s="7">
        <v>0.31</v>
      </c>
      <c r="F69" s="7">
        <v>0.17</v>
      </c>
      <c r="G69" s="22">
        <v>0.28999999999999998</v>
      </c>
      <c r="H69" s="7">
        <v>0.3</v>
      </c>
      <c r="I69" s="7">
        <v>0.69</v>
      </c>
      <c r="J69" s="7">
        <v>0.11</v>
      </c>
      <c r="K69" s="7">
        <v>0.23</v>
      </c>
      <c r="L69" s="7">
        <v>0.15</v>
      </c>
      <c r="M69" s="7">
        <v>0.9</v>
      </c>
      <c r="N69" s="7">
        <v>0.34</v>
      </c>
      <c r="O69" s="22">
        <v>4.8099999999999996</v>
      </c>
    </row>
    <row r="70" spans="1:15" x14ac:dyDescent="0.2">
      <c r="B70" s="2" t="s">
        <v>293</v>
      </c>
      <c r="C70" s="7">
        <v>26.55</v>
      </c>
      <c r="D70" s="7">
        <v>61.72</v>
      </c>
      <c r="E70" s="7">
        <v>91.07</v>
      </c>
      <c r="F70" s="7">
        <v>25.65</v>
      </c>
      <c r="G70" s="22">
        <v>31.11</v>
      </c>
      <c r="H70" s="7">
        <v>48.4</v>
      </c>
      <c r="I70" s="7">
        <v>62.59</v>
      </c>
      <c r="J70" s="7">
        <v>112.33</v>
      </c>
      <c r="K70" s="7">
        <v>52.22</v>
      </c>
      <c r="L70" s="7">
        <v>197.11</v>
      </c>
      <c r="M70" s="7">
        <v>56.22</v>
      </c>
      <c r="N70" s="7">
        <v>99.5</v>
      </c>
      <c r="O70" s="22">
        <v>864.46999999999991</v>
      </c>
    </row>
    <row r="71" spans="1:15" x14ac:dyDescent="0.2">
      <c r="B71" s="2" t="s">
        <v>294</v>
      </c>
      <c r="C71" s="7">
        <v>1.64</v>
      </c>
      <c r="D71" s="7">
        <v>0.77</v>
      </c>
      <c r="E71" s="7">
        <v>0.7</v>
      </c>
      <c r="F71" s="7">
        <v>0.56000000000000005</v>
      </c>
      <c r="G71" s="22">
        <v>0.83</v>
      </c>
      <c r="H71" s="7">
        <v>0.68</v>
      </c>
      <c r="I71" s="2">
        <v>0.83000000000000007</v>
      </c>
      <c r="J71" s="2">
        <v>0.75</v>
      </c>
      <c r="K71" s="7">
        <v>0.69</v>
      </c>
      <c r="L71" s="7">
        <v>0.78</v>
      </c>
      <c r="M71" s="7">
        <v>0.96</v>
      </c>
      <c r="N71" s="7">
        <v>0.93</v>
      </c>
      <c r="O71" s="22">
        <v>10.119999999999997</v>
      </c>
    </row>
    <row r="72" spans="1:15" x14ac:dyDescent="0.2">
      <c r="B72" s="2" t="s">
        <v>296</v>
      </c>
      <c r="C72" s="7">
        <v>0.02</v>
      </c>
      <c r="D72" s="7">
        <v>0</v>
      </c>
      <c r="E72" s="7">
        <v>0.01</v>
      </c>
      <c r="F72" s="7">
        <v>0.01</v>
      </c>
      <c r="G72" s="22">
        <v>0.1</v>
      </c>
      <c r="H72" s="7">
        <v>7.0000000000000007E-2</v>
      </c>
      <c r="I72" s="7">
        <v>0</v>
      </c>
      <c r="J72" s="7">
        <v>0</v>
      </c>
      <c r="K72" s="7">
        <v>0</v>
      </c>
      <c r="L72" s="7">
        <v>0</v>
      </c>
      <c r="M72" s="7">
        <v>0</v>
      </c>
      <c r="N72" s="7">
        <v>0.03</v>
      </c>
      <c r="O72" s="22">
        <v>0.24000000000000002</v>
      </c>
    </row>
    <row r="73" spans="1:15" ht="12.75" customHeight="1" x14ac:dyDescent="0.2">
      <c r="C73" s="7"/>
      <c r="D73" s="7"/>
      <c r="E73" s="7"/>
      <c r="O73" s="22"/>
    </row>
    <row r="74" spans="1:15" s="4" customFormat="1" ht="15" x14ac:dyDescent="0.25">
      <c r="A74" s="3" t="s">
        <v>88</v>
      </c>
      <c r="C74" s="5">
        <v>206.92000000000002</v>
      </c>
      <c r="D74" s="5">
        <v>88.440000000000012</v>
      </c>
      <c r="E74" s="5">
        <v>153.01000000000002</v>
      </c>
      <c r="F74" s="5">
        <v>83.61</v>
      </c>
      <c r="G74" s="5">
        <v>117.06</v>
      </c>
      <c r="H74" s="5">
        <v>143.87</v>
      </c>
      <c r="I74" s="5">
        <v>169.66</v>
      </c>
      <c r="J74" s="5">
        <v>315.74</v>
      </c>
      <c r="K74" s="5">
        <v>125.28999999999999</v>
      </c>
      <c r="L74" s="5">
        <v>161.34</v>
      </c>
      <c r="M74" s="5">
        <v>94.549999999999983</v>
      </c>
      <c r="N74" s="5">
        <v>152.68</v>
      </c>
      <c r="O74" s="21">
        <v>1812.1699999999998</v>
      </c>
    </row>
    <row r="75" spans="1:15" x14ac:dyDescent="0.2">
      <c r="B75" s="2" t="s">
        <v>297</v>
      </c>
      <c r="C75" s="7">
        <v>5.73</v>
      </c>
      <c r="D75" s="7">
        <v>4.16</v>
      </c>
      <c r="E75" s="7">
        <v>7.92</v>
      </c>
      <c r="F75" s="7">
        <v>7.76</v>
      </c>
      <c r="G75" s="22">
        <v>2.5299999999999998</v>
      </c>
      <c r="H75" s="7">
        <v>3.27</v>
      </c>
      <c r="I75" s="7">
        <v>6.38</v>
      </c>
      <c r="J75" s="7">
        <v>5.36</v>
      </c>
      <c r="K75" s="7">
        <v>6.65</v>
      </c>
      <c r="L75" s="7">
        <v>5.09</v>
      </c>
      <c r="M75" s="7">
        <v>2.73</v>
      </c>
      <c r="N75" s="7">
        <v>3.84</v>
      </c>
      <c r="O75" s="22">
        <v>61.419999999999987</v>
      </c>
    </row>
    <row r="76" spans="1:15" x14ac:dyDescent="0.2">
      <c r="B76" s="2" t="s">
        <v>299</v>
      </c>
      <c r="C76" s="7">
        <v>2.13</v>
      </c>
      <c r="D76" s="7">
        <v>2.1</v>
      </c>
      <c r="E76" s="7">
        <v>5.7</v>
      </c>
      <c r="F76" s="7">
        <v>3.4</v>
      </c>
      <c r="G76" s="22">
        <v>7.02</v>
      </c>
      <c r="H76" s="7">
        <v>9.89</v>
      </c>
      <c r="I76" s="7">
        <v>12.31</v>
      </c>
      <c r="J76" s="7">
        <v>4.03</v>
      </c>
      <c r="K76" s="7">
        <v>5.48</v>
      </c>
      <c r="L76" s="7">
        <v>3.15</v>
      </c>
      <c r="M76" s="7">
        <v>2.5099999999999998</v>
      </c>
      <c r="N76" s="7">
        <v>2.67</v>
      </c>
      <c r="O76" s="22">
        <v>60.39</v>
      </c>
    </row>
    <row r="77" spans="1:15" x14ac:dyDescent="0.2">
      <c r="B77" s="2" t="s">
        <v>300</v>
      </c>
      <c r="C77" s="7">
        <v>190.05</v>
      </c>
      <c r="D77" s="7">
        <v>80.900000000000006</v>
      </c>
      <c r="E77" s="7">
        <v>138.99</v>
      </c>
      <c r="F77" s="7">
        <v>67.56</v>
      </c>
      <c r="G77" s="22">
        <v>103.06</v>
      </c>
      <c r="H77" s="7">
        <v>129.61000000000001</v>
      </c>
      <c r="I77" s="7">
        <v>150.69</v>
      </c>
      <c r="J77" s="2">
        <v>305.18</v>
      </c>
      <c r="K77" s="7">
        <v>113</v>
      </c>
      <c r="L77" s="7">
        <v>152.44999999999999</v>
      </c>
      <c r="M77" s="7">
        <v>88.71</v>
      </c>
      <c r="N77" s="7">
        <v>145.84</v>
      </c>
      <c r="O77" s="22">
        <v>1666.0400000000002</v>
      </c>
    </row>
    <row r="78" spans="1:15" x14ac:dyDescent="0.2">
      <c r="B78" s="2" t="s">
        <v>298</v>
      </c>
      <c r="C78" s="7">
        <v>9.01</v>
      </c>
      <c r="D78" s="7">
        <v>1.28</v>
      </c>
      <c r="E78" s="7">
        <v>0.4</v>
      </c>
      <c r="F78" s="7">
        <v>4.8899999999999997</v>
      </c>
      <c r="G78" s="22">
        <v>4.45</v>
      </c>
      <c r="H78" s="7">
        <v>1.1000000000000001</v>
      </c>
      <c r="I78" s="7">
        <v>0.28000000000000003</v>
      </c>
      <c r="J78" s="7">
        <v>1.17</v>
      </c>
      <c r="K78" s="7">
        <v>0.16</v>
      </c>
      <c r="L78" s="7">
        <v>0.65</v>
      </c>
      <c r="M78" s="7">
        <v>0.6</v>
      </c>
      <c r="N78" s="7">
        <v>0.33</v>
      </c>
      <c r="O78" s="22">
        <v>24.319999999999997</v>
      </c>
    </row>
    <row r="79" spans="1:15" ht="15" x14ac:dyDescent="0.25">
      <c r="A79" s="24"/>
      <c r="B79" s="24"/>
      <c r="C79" s="24"/>
      <c r="D79" s="24"/>
      <c r="E79" s="24"/>
      <c r="F79" s="24"/>
      <c r="G79" s="24"/>
      <c r="H79" s="24"/>
      <c r="I79" s="24"/>
      <c r="J79" s="24"/>
      <c r="K79" s="24"/>
      <c r="L79" s="24"/>
      <c r="M79" s="24"/>
      <c r="N79" s="24"/>
      <c r="O79" s="24"/>
    </row>
    <row r="80" spans="1:15" s="4" customFormat="1" ht="15" x14ac:dyDescent="0.25">
      <c r="A80" s="3" t="s">
        <v>92</v>
      </c>
      <c r="C80" s="5">
        <v>165.12</v>
      </c>
      <c r="D80" s="5">
        <v>162.84</v>
      </c>
      <c r="E80" s="5">
        <v>219.07999999999998</v>
      </c>
      <c r="F80" s="5">
        <v>144.81</v>
      </c>
      <c r="G80" s="5">
        <v>171.17</v>
      </c>
      <c r="H80" s="5">
        <v>186.26</v>
      </c>
      <c r="I80" s="5">
        <v>190.01000000000002</v>
      </c>
      <c r="J80" s="5">
        <v>181.78</v>
      </c>
      <c r="K80" s="5">
        <v>178.76999999999998</v>
      </c>
      <c r="L80" s="5">
        <v>167.93</v>
      </c>
      <c r="M80" s="5">
        <v>153.55000000000001</v>
      </c>
      <c r="N80" s="5">
        <v>136.23999999999998</v>
      </c>
      <c r="O80" s="21">
        <v>2057.5599999999995</v>
      </c>
    </row>
    <row r="81" spans="1:15" x14ac:dyDescent="0.2">
      <c r="B81" s="2" t="s">
        <v>301</v>
      </c>
      <c r="C81" s="7">
        <v>162.13</v>
      </c>
      <c r="D81" s="7">
        <v>160.18</v>
      </c>
      <c r="E81" s="7">
        <v>216.14</v>
      </c>
      <c r="F81" s="7">
        <v>142.08000000000001</v>
      </c>
      <c r="G81" s="22">
        <v>167.85</v>
      </c>
      <c r="H81" s="7">
        <v>183.51</v>
      </c>
      <c r="I81" s="7">
        <v>186.74</v>
      </c>
      <c r="J81" s="7">
        <v>178.77</v>
      </c>
      <c r="K81" s="7">
        <v>175.45</v>
      </c>
      <c r="L81" s="7">
        <v>164.72</v>
      </c>
      <c r="M81" s="7">
        <v>150.61000000000001</v>
      </c>
      <c r="N81" s="7">
        <v>133.94999999999999</v>
      </c>
      <c r="O81" s="22">
        <v>2022.1300000000003</v>
      </c>
    </row>
    <row r="82" spans="1:15" x14ac:dyDescent="0.2">
      <c r="B82" s="2" t="s">
        <v>302</v>
      </c>
      <c r="C82" s="7">
        <v>2.99</v>
      </c>
      <c r="D82" s="7">
        <v>2.5099999999999998</v>
      </c>
      <c r="E82" s="7">
        <v>2.94</v>
      </c>
      <c r="F82" s="7">
        <v>2.73</v>
      </c>
      <c r="G82" s="22">
        <v>3.32</v>
      </c>
      <c r="H82" s="7">
        <v>2.75</v>
      </c>
      <c r="I82" s="7">
        <v>3.27</v>
      </c>
      <c r="J82" s="7">
        <v>3.01</v>
      </c>
      <c r="K82" s="7">
        <v>3.32</v>
      </c>
      <c r="L82" s="7">
        <v>3.19</v>
      </c>
      <c r="M82" s="7">
        <v>2.94</v>
      </c>
      <c r="N82" s="7">
        <v>2.29</v>
      </c>
      <c r="O82" s="22">
        <v>35.260000000000005</v>
      </c>
    </row>
    <row r="83" spans="1:15" x14ac:dyDescent="0.2">
      <c r="A83" s="25"/>
      <c r="B83" s="2" t="s">
        <v>447</v>
      </c>
      <c r="C83" s="7">
        <v>0</v>
      </c>
      <c r="D83" s="7">
        <v>0.15</v>
      </c>
      <c r="E83" s="7">
        <v>0</v>
      </c>
      <c r="F83" s="7">
        <v>0</v>
      </c>
      <c r="G83" s="22">
        <v>0</v>
      </c>
      <c r="H83" s="7">
        <v>0</v>
      </c>
      <c r="I83" s="7">
        <v>0</v>
      </c>
      <c r="J83" s="7">
        <v>0</v>
      </c>
      <c r="L83" s="7">
        <v>0.02</v>
      </c>
      <c r="M83" s="7">
        <v>0</v>
      </c>
      <c r="N83" s="7">
        <v>0</v>
      </c>
      <c r="O83" s="22">
        <v>0.16999999999999998</v>
      </c>
    </row>
    <row r="84" spans="1:15" ht="9" customHeight="1" x14ac:dyDescent="0.2">
      <c r="C84" s="7"/>
      <c r="D84" s="7"/>
      <c r="E84" s="7"/>
      <c r="O84" s="22"/>
    </row>
    <row r="85" spans="1:15" s="4" customFormat="1" ht="15" x14ac:dyDescent="0.25">
      <c r="A85" s="3" t="s">
        <v>96</v>
      </c>
      <c r="C85" s="5">
        <v>15.350000000000001</v>
      </c>
      <c r="D85" s="5">
        <v>9.0399999999999991</v>
      </c>
      <c r="E85" s="5">
        <v>11.840000000000002</v>
      </c>
      <c r="F85" s="5">
        <v>10.979999999999999</v>
      </c>
      <c r="G85" s="5">
        <v>9.69</v>
      </c>
      <c r="H85" s="5">
        <v>9.59</v>
      </c>
      <c r="I85" s="5">
        <v>15.36</v>
      </c>
      <c r="J85" s="5">
        <v>16.73</v>
      </c>
      <c r="K85" s="5">
        <v>13.75</v>
      </c>
      <c r="L85" s="5">
        <v>14.92</v>
      </c>
      <c r="M85" s="5">
        <v>19.21</v>
      </c>
      <c r="N85" s="5">
        <v>19.41</v>
      </c>
      <c r="O85" s="21">
        <v>165.87</v>
      </c>
    </row>
    <row r="86" spans="1:15" x14ac:dyDescent="0.2">
      <c r="B86" s="2" t="s">
        <v>304</v>
      </c>
      <c r="C86" s="7">
        <v>14.46</v>
      </c>
      <c r="D86" s="7">
        <v>8.2799999999999994</v>
      </c>
      <c r="E86" s="7">
        <v>10.71</v>
      </c>
      <c r="F86" s="7">
        <v>10.18</v>
      </c>
      <c r="G86" s="22">
        <v>8.16</v>
      </c>
      <c r="H86" s="7">
        <v>6.67</v>
      </c>
      <c r="I86" s="7">
        <v>8.69</v>
      </c>
      <c r="J86" s="7">
        <v>11.58</v>
      </c>
      <c r="K86" s="7">
        <v>10.3</v>
      </c>
      <c r="L86" s="7">
        <v>10.68</v>
      </c>
      <c r="M86" s="7">
        <v>15.61</v>
      </c>
      <c r="N86" s="7">
        <v>16.45</v>
      </c>
      <c r="O86" s="22">
        <v>131.77000000000001</v>
      </c>
    </row>
    <row r="87" spans="1:15" x14ac:dyDescent="0.2">
      <c r="B87" s="2" t="s">
        <v>305</v>
      </c>
      <c r="C87" s="7">
        <v>0.42</v>
      </c>
      <c r="D87" s="7">
        <v>0.45</v>
      </c>
      <c r="E87" s="7">
        <v>0.8</v>
      </c>
      <c r="F87" s="7">
        <v>0.37</v>
      </c>
      <c r="G87" s="22">
        <v>0.34</v>
      </c>
      <c r="H87" s="7">
        <v>0.41</v>
      </c>
      <c r="I87" s="7">
        <v>0.35</v>
      </c>
      <c r="J87" s="7">
        <v>0.44</v>
      </c>
      <c r="K87" s="7">
        <v>0.4</v>
      </c>
      <c r="L87" s="7">
        <v>0.68</v>
      </c>
      <c r="M87" s="7">
        <v>0.36</v>
      </c>
      <c r="N87" s="7">
        <v>0.3</v>
      </c>
      <c r="O87" s="22">
        <v>5.32</v>
      </c>
    </row>
    <row r="88" spans="1:15" x14ac:dyDescent="0.2">
      <c r="B88" s="2" t="s">
        <v>448</v>
      </c>
      <c r="C88" s="7">
        <v>0</v>
      </c>
      <c r="D88" s="7">
        <v>0</v>
      </c>
      <c r="E88" s="7">
        <v>0</v>
      </c>
      <c r="F88" s="7">
        <v>0.11</v>
      </c>
      <c r="G88" s="22">
        <v>0.02</v>
      </c>
      <c r="H88" s="7">
        <v>0</v>
      </c>
      <c r="I88" s="7">
        <v>0</v>
      </c>
      <c r="J88" s="7">
        <v>0</v>
      </c>
      <c r="K88" s="7">
        <v>0</v>
      </c>
      <c r="L88" s="7">
        <v>0</v>
      </c>
      <c r="M88" s="7">
        <v>0</v>
      </c>
      <c r="N88" s="7">
        <v>0</v>
      </c>
      <c r="O88" s="22">
        <v>0.13</v>
      </c>
    </row>
    <row r="89" spans="1:15" x14ac:dyDescent="0.2">
      <c r="B89" s="2" t="s">
        <v>306</v>
      </c>
      <c r="C89" s="7">
        <v>0.47</v>
      </c>
      <c r="D89" s="7">
        <v>0.31</v>
      </c>
      <c r="E89" s="7">
        <v>0.33</v>
      </c>
      <c r="F89" s="7">
        <v>0.32</v>
      </c>
      <c r="G89" s="22">
        <v>1.17</v>
      </c>
      <c r="H89" s="7">
        <v>2.5099999999999998</v>
      </c>
      <c r="I89" s="7">
        <v>6.32</v>
      </c>
      <c r="J89" s="7">
        <v>4.71</v>
      </c>
      <c r="K89" s="7">
        <v>3.05</v>
      </c>
      <c r="L89" s="7">
        <v>3.56</v>
      </c>
      <c r="M89" s="7">
        <v>3.24</v>
      </c>
      <c r="N89" s="7">
        <v>2.66</v>
      </c>
      <c r="O89" s="22">
        <v>28.650000000000002</v>
      </c>
    </row>
    <row r="90" spans="1:15" x14ac:dyDescent="0.2">
      <c r="C90" s="7"/>
      <c r="D90" s="7"/>
      <c r="E90" s="7"/>
      <c r="O90" s="22"/>
    </row>
    <row r="91" spans="1:15" s="4" customFormat="1" ht="15" x14ac:dyDescent="0.25">
      <c r="A91" s="3" t="s">
        <v>102</v>
      </c>
      <c r="C91" s="5">
        <v>17.38</v>
      </c>
      <c r="D91" s="5">
        <v>16.900000000000002</v>
      </c>
      <c r="E91" s="5">
        <v>11.419999999999998</v>
      </c>
      <c r="F91" s="5">
        <v>5.9399999999999995</v>
      </c>
      <c r="G91" s="5">
        <v>4.26170969</v>
      </c>
      <c r="H91" s="5">
        <v>2.2199999999999998</v>
      </c>
      <c r="I91" s="5">
        <v>1.98</v>
      </c>
      <c r="J91" s="5">
        <v>13.65</v>
      </c>
      <c r="K91" s="5">
        <v>9.9599999999999991</v>
      </c>
      <c r="L91" s="5">
        <v>4.47</v>
      </c>
      <c r="M91" s="5">
        <v>2.3200000000000003</v>
      </c>
      <c r="N91" s="5">
        <v>1.72</v>
      </c>
      <c r="O91" s="21">
        <v>92.221709689999983</v>
      </c>
    </row>
    <row r="92" spans="1:15" x14ac:dyDescent="0.2">
      <c r="B92" s="2" t="s">
        <v>308</v>
      </c>
      <c r="C92" s="7">
        <v>16.579999999999998</v>
      </c>
      <c r="D92" s="7">
        <v>7.93</v>
      </c>
      <c r="E92" s="7">
        <v>4.83</v>
      </c>
      <c r="F92" s="7">
        <v>2.5</v>
      </c>
      <c r="G92" s="22">
        <v>2.8294026900000002</v>
      </c>
      <c r="H92" s="7">
        <v>1.53</v>
      </c>
      <c r="I92" s="7">
        <v>1.29</v>
      </c>
      <c r="J92" s="7">
        <v>5.9</v>
      </c>
      <c r="K92" s="7">
        <v>1.6</v>
      </c>
      <c r="L92" s="7">
        <v>1.32</v>
      </c>
      <c r="M92" s="7">
        <v>1.58</v>
      </c>
      <c r="N92" s="7">
        <v>1.43</v>
      </c>
      <c r="O92" s="22">
        <v>49.319402689999997</v>
      </c>
    </row>
    <row r="93" spans="1:15" x14ac:dyDescent="0.2">
      <c r="B93" s="2" t="s">
        <v>310</v>
      </c>
      <c r="C93" s="7">
        <v>0.6</v>
      </c>
      <c r="D93" s="7">
        <v>8.81</v>
      </c>
      <c r="E93" s="7">
        <v>6.14</v>
      </c>
      <c r="F93" s="7">
        <v>3.38</v>
      </c>
      <c r="G93" s="22">
        <v>0.94230700000000001</v>
      </c>
      <c r="H93" s="7">
        <v>0.6</v>
      </c>
      <c r="I93" s="7">
        <v>0.56000000000000005</v>
      </c>
      <c r="J93" s="7">
        <v>7.33</v>
      </c>
      <c r="K93" s="7">
        <v>8.1999999999999993</v>
      </c>
      <c r="L93" s="7">
        <v>3.02</v>
      </c>
      <c r="M93" s="7">
        <v>0.21</v>
      </c>
      <c r="N93" s="7">
        <v>0.2</v>
      </c>
      <c r="O93" s="22">
        <v>39.992307000000011</v>
      </c>
    </row>
    <row r="94" spans="1:15" x14ac:dyDescent="0.2">
      <c r="B94" s="2" t="s">
        <v>311</v>
      </c>
      <c r="C94" s="7">
        <v>0.2</v>
      </c>
      <c r="D94" s="7">
        <v>0.16</v>
      </c>
      <c r="E94" s="7">
        <v>0.45</v>
      </c>
      <c r="F94" s="7">
        <v>0.06</v>
      </c>
      <c r="G94" s="22">
        <v>0.49</v>
      </c>
      <c r="H94" s="7">
        <v>0.09</v>
      </c>
      <c r="I94" s="7">
        <v>0.13</v>
      </c>
      <c r="J94" s="7">
        <v>0.42</v>
      </c>
      <c r="K94" s="7">
        <v>0.16</v>
      </c>
      <c r="L94" s="7">
        <v>0.13</v>
      </c>
      <c r="M94" s="7">
        <v>0.53</v>
      </c>
      <c r="N94" s="7">
        <v>0.09</v>
      </c>
      <c r="O94" s="22">
        <v>2.91</v>
      </c>
    </row>
    <row r="95" spans="1:15" x14ac:dyDescent="0.2">
      <c r="C95" s="7"/>
      <c r="D95" s="7"/>
      <c r="E95" s="7"/>
      <c r="O95" s="22"/>
    </row>
    <row r="96" spans="1:15" s="4" customFormat="1" ht="15" x14ac:dyDescent="0.25">
      <c r="A96" s="3" t="s">
        <v>107</v>
      </c>
      <c r="C96" s="5">
        <v>525.89</v>
      </c>
      <c r="D96" s="5">
        <v>426.77</v>
      </c>
      <c r="E96" s="5">
        <v>582.89</v>
      </c>
      <c r="F96" s="5">
        <v>472.76</v>
      </c>
      <c r="G96" s="5">
        <v>485.06</v>
      </c>
      <c r="H96" s="5">
        <v>468.57</v>
      </c>
      <c r="I96" s="5">
        <v>477.34000000000003</v>
      </c>
      <c r="J96" s="5">
        <v>414.7</v>
      </c>
      <c r="K96" s="5">
        <v>421.6</v>
      </c>
      <c r="L96" s="5">
        <v>479.39</v>
      </c>
      <c r="M96" s="5">
        <v>478.29999999999995</v>
      </c>
      <c r="N96" s="5">
        <v>420.05999999999995</v>
      </c>
      <c r="O96" s="21">
        <v>5653.33</v>
      </c>
    </row>
    <row r="97" spans="1:15" x14ac:dyDescent="0.2">
      <c r="B97" s="2" t="s">
        <v>312</v>
      </c>
      <c r="C97" s="7">
        <v>3.05</v>
      </c>
      <c r="D97" s="7">
        <v>1.9</v>
      </c>
      <c r="E97" s="7">
        <v>3.16</v>
      </c>
      <c r="F97" s="7">
        <v>2.8</v>
      </c>
      <c r="G97" s="22">
        <v>4.16</v>
      </c>
      <c r="H97" s="7">
        <v>2.2999999999999998</v>
      </c>
      <c r="I97" s="7">
        <v>2.29</v>
      </c>
      <c r="J97" s="7">
        <v>3.05</v>
      </c>
      <c r="K97" s="7">
        <v>2.7</v>
      </c>
      <c r="L97" s="7">
        <v>2.54</v>
      </c>
      <c r="M97" s="7">
        <v>3.25</v>
      </c>
      <c r="N97" s="7">
        <v>2.59</v>
      </c>
      <c r="O97" s="22">
        <v>33.79</v>
      </c>
    </row>
    <row r="98" spans="1:15" x14ac:dyDescent="0.2">
      <c r="B98" s="2" t="s">
        <v>313</v>
      </c>
      <c r="C98" s="7">
        <v>0.06</v>
      </c>
      <c r="D98" s="7">
        <v>0.11</v>
      </c>
      <c r="E98" s="7">
        <v>0</v>
      </c>
      <c r="F98" s="7">
        <v>7.0000000000000007E-2</v>
      </c>
      <c r="G98" s="22">
        <v>0</v>
      </c>
      <c r="H98" s="7">
        <v>0</v>
      </c>
      <c r="I98" s="7">
        <v>0</v>
      </c>
      <c r="J98" s="7">
        <v>0</v>
      </c>
      <c r="K98" s="7">
        <v>0</v>
      </c>
      <c r="L98" s="7">
        <v>0</v>
      </c>
      <c r="M98" s="7">
        <v>0</v>
      </c>
      <c r="N98" s="7">
        <v>0.01</v>
      </c>
      <c r="O98" s="22">
        <v>0.25</v>
      </c>
    </row>
    <row r="99" spans="1:15" x14ac:dyDescent="0.2">
      <c r="B99" s="2" t="s">
        <v>314</v>
      </c>
      <c r="C99" s="7">
        <v>232.14</v>
      </c>
      <c r="D99" s="7">
        <v>157.12</v>
      </c>
      <c r="E99" s="7">
        <v>178.49</v>
      </c>
      <c r="F99" s="7">
        <v>136.77000000000001</v>
      </c>
      <c r="G99" s="22">
        <v>159.38</v>
      </c>
      <c r="H99" s="7">
        <v>135.27000000000001</v>
      </c>
      <c r="I99" s="7">
        <v>191.9</v>
      </c>
      <c r="J99" s="7">
        <v>140.44</v>
      </c>
      <c r="K99" s="7">
        <v>124.77</v>
      </c>
      <c r="L99" s="7">
        <v>157.96</v>
      </c>
      <c r="M99" s="7">
        <v>141.72999999999999</v>
      </c>
      <c r="N99" s="7">
        <v>155.72</v>
      </c>
      <c r="O99" s="22">
        <v>1911.69</v>
      </c>
    </row>
    <row r="100" spans="1:15" x14ac:dyDescent="0.2">
      <c r="B100" s="2" t="s">
        <v>315</v>
      </c>
      <c r="C100" s="7">
        <v>240.65</v>
      </c>
      <c r="D100" s="7">
        <v>220.52</v>
      </c>
      <c r="E100" s="7">
        <v>350.52</v>
      </c>
      <c r="F100" s="7">
        <v>290.52999999999997</v>
      </c>
      <c r="G100" s="22">
        <v>270.98</v>
      </c>
      <c r="H100" s="7">
        <v>291.70999999999998</v>
      </c>
      <c r="I100" s="7">
        <v>247.43</v>
      </c>
      <c r="J100" s="7">
        <v>237.67</v>
      </c>
      <c r="K100" s="7">
        <v>256.66000000000003</v>
      </c>
      <c r="L100" s="7">
        <v>281.82</v>
      </c>
      <c r="M100" s="7">
        <v>302.68</v>
      </c>
      <c r="N100" s="7">
        <v>233.71</v>
      </c>
      <c r="O100" s="22">
        <v>3224.88</v>
      </c>
    </row>
    <row r="101" spans="1:15" x14ac:dyDescent="0.2">
      <c r="B101" s="2" t="s">
        <v>316</v>
      </c>
      <c r="C101" s="7">
        <v>49.99</v>
      </c>
      <c r="D101" s="7">
        <v>47.12</v>
      </c>
      <c r="E101" s="7">
        <v>50.72</v>
      </c>
      <c r="F101" s="7">
        <v>42.59</v>
      </c>
      <c r="G101" s="22">
        <v>50.54</v>
      </c>
      <c r="H101" s="7">
        <v>39.29</v>
      </c>
      <c r="I101" s="7">
        <v>35.72</v>
      </c>
      <c r="J101" s="7">
        <v>33.54</v>
      </c>
      <c r="K101" s="7">
        <v>37.47</v>
      </c>
      <c r="L101" s="7">
        <v>37.07</v>
      </c>
      <c r="M101" s="7">
        <v>30.64</v>
      </c>
      <c r="N101" s="7">
        <v>28.03</v>
      </c>
      <c r="O101" s="22">
        <v>482.72</v>
      </c>
    </row>
    <row r="102" spans="1:15" ht="12.75" customHeight="1" x14ac:dyDescent="0.2">
      <c r="C102" s="7"/>
      <c r="D102" s="7"/>
      <c r="E102" s="7"/>
      <c r="O102" s="22"/>
    </row>
    <row r="103" spans="1:15" s="4" customFormat="1" ht="15" x14ac:dyDescent="0.25">
      <c r="A103" s="3" t="s">
        <v>113</v>
      </c>
      <c r="C103" s="5">
        <v>50.91</v>
      </c>
      <c r="D103" s="5">
        <v>48.94</v>
      </c>
      <c r="E103" s="5">
        <v>50.98</v>
      </c>
      <c r="F103" s="5">
        <v>55.030000000000008</v>
      </c>
      <c r="G103" s="5">
        <v>67.88000000000001</v>
      </c>
      <c r="H103" s="5">
        <v>58.17</v>
      </c>
      <c r="I103" s="5">
        <v>61.540000000000006</v>
      </c>
      <c r="J103" s="5">
        <v>44.790000000000006</v>
      </c>
      <c r="K103" s="5">
        <v>43.899999999999991</v>
      </c>
      <c r="L103" s="5">
        <v>51.620000000000005</v>
      </c>
      <c r="M103" s="5">
        <v>39.820000000000007</v>
      </c>
      <c r="N103" s="5">
        <v>38.590000000000003</v>
      </c>
      <c r="O103" s="21">
        <v>612.17000000000007</v>
      </c>
    </row>
    <row r="104" spans="1:15" x14ac:dyDescent="0.2">
      <c r="B104" s="2" t="s">
        <v>312</v>
      </c>
      <c r="C104" s="7">
        <v>12.42</v>
      </c>
      <c r="D104" s="7">
        <v>10.210000000000001</v>
      </c>
      <c r="E104" s="7">
        <v>11.18</v>
      </c>
      <c r="F104" s="7">
        <v>8.98</v>
      </c>
      <c r="G104" s="22">
        <v>10.68</v>
      </c>
      <c r="H104" s="7">
        <v>9.2100000000000009</v>
      </c>
      <c r="I104" s="7">
        <v>11.72</v>
      </c>
      <c r="J104" s="7">
        <v>9.61</v>
      </c>
      <c r="K104" s="7">
        <v>8.86</v>
      </c>
      <c r="L104" s="7">
        <v>10.8</v>
      </c>
      <c r="M104" s="7">
        <v>8.15</v>
      </c>
      <c r="N104" s="7">
        <v>8.18</v>
      </c>
      <c r="O104" s="22">
        <v>120</v>
      </c>
    </row>
    <row r="105" spans="1:15" x14ac:dyDescent="0.2">
      <c r="B105" s="2" t="s">
        <v>320</v>
      </c>
      <c r="C105" s="7">
        <v>0.01</v>
      </c>
      <c r="D105" s="7">
        <v>0</v>
      </c>
      <c r="E105" s="7">
        <v>0</v>
      </c>
      <c r="F105" s="7">
        <v>0</v>
      </c>
      <c r="G105" s="22">
        <v>0</v>
      </c>
      <c r="H105" s="7">
        <v>0</v>
      </c>
      <c r="I105" s="7">
        <v>0</v>
      </c>
      <c r="J105" s="7">
        <v>0</v>
      </c>
      <c r="K105" s="7">
        <v>0</v>
      </c>
      <c r="L105" s="7">
        <v>0</v>
      </c>
      <c r="M105" s="7">
        <v>0.05</v>
      </c>
      <c r="N105" s="7">
        <v>0</v>
      </c>
      <c r="O105" s="22">
        <v>6.0000000000000005E-2</v>
      </c>
    </row>
    <row r="106" spans="1:15" x14ac:dyDescent="0.2">
      <c r="B106" s="2" t="s">
        <v>317</v>
      </c>
      <c r="C106" s="7">
        <v>0.04</v>
      </c>
      <c r="D106" s="7">
        <v>0</v>
      </c>
      <c r="E106" s="7">
        <v>0</v>
      </c>
      <c r="F106" s="7">
        <v>0.01</v>
      </c>
      <c r="G106" s="22">
        <v>0</v>
      </c>
      <c r="H106" s="7">
        <v>0</v>
      </c>
      <c r="I106" s="7">
        <v>0</v>
      </c>
      <c r="J106" s="7">
        <v>0.01</v>
      </c>
      <c r="K106" s="7">
        <v>0</v>
      </c>
      <c r="L106" s="7">
        <v>0</v>
      </c>
      <c r="M106" s="7">
        <v>0</v>
      </c>
      <c r="N106" s="7">
        <v>0</v>
      </c>
      <c r="O106" s="22">
        <v>6.0000000000000005E-2</v>
      </c>
    </row>
    <row r="107" spans="1:15" x14ac:dyDescent="0.2">
      <c r="B107" s="2" t="s">
        <v>318</v>
      </c>
      <c r="C107" s="7">
        <v>0.19</v>
      </c>
      <c r="D107" s="7">
        <v>0.11</v>
      </c>
      <c r="E107" s="7">
        <v>7.0000000000000007E-2</v>
      </c>
      <c r="F107" s="7">
        <v>0.14000000000000001</v>
      </c>
      <c r="G107" s="22">
        <v>0.11</v>
      </c>
      <c r="H107" s="7">
        <v>0.03</v>
      </c>
      <c r="I107" s="7">
        <v>0.13</v>
      </c>
      <c r="J107" s="7">
        <v>0.09</v>
      </c>
      <c r="K107" s="7">
        <v>0.08</v>
      </c>
      <c r="L107" s="7">
        <v>0.13</v>
      </c>
      <c r="M107" s="7">
        <v>0.13</v>
      </c>
      <c r="N107" s="7">
        <v>0.22</v>
      </c>
      <c r="O107" s="22">
        <v>1.43</v>
      </c>
    </row>
    <row r="108" spans="1:15" x14ac:dyDescent="0.2">
      <c r="B108" s="2" t="s">
        <v>321</v>
      </c>
      <c r="C108" s="7">
        <v>35.89</v>
      </c>
      <c r="D108" s="7">
        <v>35.94</v>
      </c>
      <c r="E108" s="7">
        <v>38.01</v>
      </c>
      <c r="F108" s="7">
        <v>43.88</v>
      </c>
      <c r="G108" s="22">
        <v>56.42</v>
      </c>
      <c r="H108" s="7">
        <v>48.26</v>
      </c>
      <c r="I108" s="7">
        <v>48.85</v>
      </c>
      <c r="J108" s="7">
        <v>32.380000000000003</v>
      </c>
      <c r="K108" s="7">
        <v>34.299999999999997</v>
      </c>
      <c r="L108" s="7">
        <v>39.81</v>
      </c>
      <c r="M108" s="7">
        <v>30.96</v>
      </c>
      <c r="N108" s="7">
        <v>27.48</v>
      </c>
      <c r="O108" s="22">
        <v>472.18</v>
      </c>
    </row>
    <row r="109" spans="1:15" x14ac:dyDescent="0.2">
      <c r="B109" s="2" t="s">
        <v>449</v>
      </c>
      <c r="C109" s="7">
        <v>0</v>
      </c>
      <c r="D109" s="7">
        <v>1.8</v>
      </c>
      <c r="E109" s="7">
        <v>0</v>
      </c>
      <c r="F109" s="7">
        <v>0</v>
      </c>
      <c r="G109" s="22">
        <v>0</v>
      </c>
      <c r="H109" s="7">
        <v>0</v>
      </c>
      <c r="I109" s="7">
        <v>0</v>
      </c>
      <c r="J109" s="7">
        <v>0</v>
      </c>
      <c r="K109" s="7">
        <v>0</v>
      </c>
      <c r="L109" s="7">
        <v>0</v>
      </c>
      <c r="M109" s="7">
        <v>0</v>
      </c>
      <c r="N109" s="7">
        <v>0</v>
      </c>
      <c r="O109" s="22">
        <v>1.8</v>
      </c>
    </row>
    <row r="110" spans="1:15" x14ac:dyDescent="0.2">
      <c r="B110" s="2" t="s">
        <v>322</v>
      </c>
      <c r="C110" s="7">
        <v>2.36</v>
      </c>
      <c r="D110" s="7">
        <v>0.88</v>
      </c>
      <c r="E110" s="7">
        <v>1.72</v>
      </c>
      <c r="F110" s="7">
        <v>2.02</v>
      </c>
      <c r="G110" s="22">
        <v>0.67</v>
      </c>
      <c r="H110" s="7">
        <v>0.67</v>
      </c>
      <c r="I110" s="7">
        <v>0.84</v>
      </c>
      <c r="J110" s="7">
        <v>2.7</v>
      </c>
      <c r="K110" s="7">
        <v>0.66</v>
      </c>
      <c r="L110" s="7">
        <v>0.88</v>
      </c>
      <c r="M110" s="7">
        <v>0.53</v>
      </c>
      <c r="N110" s="7">
        <v>2.71</v>
      </c>
      <c r="O110" s="22">
        <v>16.64</v>
      </c>
    </row>
    <row r="111" spans="1:15" ht="12.75" customHeight="1" x14ac:dyDescent="0.2">
      <c r="C111" s="7"/>
      <c r="D111" s="7"/>
      <c r="E111" s="7"/>
      <c r="O111" s="22"/>
    </row>
    <row r="112" spans="1:15" s="4" customFormat="1" ht="15" x14ac:dyDescent="0.25">
      <c r="A112" s="3" t="s">
        <v>121</v>
      </c>
      <c r="C112" s="5">
        <v>3.4</v>
      </c>
      <c r="D112" s="5">
        <v>1.22</v>
      </c>
      <c r="E112" s="5">
        <v>1.62</v>
      </c>
      <c r="F112" s="5">
        <v>0.91</v>
      </c>
      <c r="G112" s="5">
        <v>1.1599999999999999</v>
      </c>
      <c r="H112" s="5">
        <v>0.88</v>
      </c>
      <c r="I112" s="5">
        <v>1.55</v>
      </c>
      <c r="J112" s="5">
        <v>1.33</v>
      </c>
      <c r="K112" s="5">
        <v>1.73</v>
      </c>
      <c r="L112" s="5">
        <v>0.91</v>
      </c>
      <c r="M112" s="5">
        <v>0.9</v>
      </c>
      <c r="N112" s="5">
        <v>2.86</v>
      </c>
      <c r="O112" s="21">
        <v>18.470000000000002</v>
      </c>
    </row>
    <row r="113" spans="1:16" x14ac:dyDescent="0.2">
      <c r="B113" s="2" t="s">
        <v>312</v>
      </c>
      <c r="C113" s="7">
        <v>3.4</v>
      </c>
      <c r="D113" s="7">
        <v>1.22</v>
      </c>
      <c r="E113" s="7">
        <v>1.62</v>
      </c>
      <c r="F113" s="7">
        <v>0.91</v>
      </c>
      <c r="G113" s="22">
        <v>1.1599999999999999</v>
      </c>
      <c r="H113" s="7">
        <v>0.88</v>
      </c>
      <c r="I113" s="7">
        <v>1.55</v>
      </c>
      <c r="J113" s="7">
        <v>1.33</v>
      </c>
      <c r="K113" s="7">
        <v>1.73</v>
      </c>
      <c r="L113" s="7">
        <v>0.91</v>
      </c>
      <c r="M113" s="7">
        <v>0.9</v>
      </c>
      <c r="N113" s="7">
        <v>2.86</v>
      </c>
      <c r="O113" s="22">
        <v>18.470000000000002</v>
      </c>
    </row>
    <row r="114" spans="1:16" ht="7.5" customHeight="1" x14ac:dyDescent="0.2">
      <c r="C114" s="7"/>
      <c r="D114" s="7"/>
      <c r="E114" s="7"/>
      <c r="O114" s="22"/>
    </row>
    <row r="115" spans="1:16" s="4" customFormat="1" ht="15" x14ac:dyDescent="0.25">
      <c r="A115" s="3" t="s">
        <v>324</v>
      </c>
      <c r="C115" s="5">
        <v>0.26</v>
      </c>
      <c r="D115" s="5">
        <v>0.12</v>
      </c>
      <c r="E115" s="5">
        <v>0.04</v>
      </c>
      <c r="F115" s="5">
        <v>0.09</v>
      </c>
      <c r="G115" s="5">
        <v>0</v>
      </c>
      <c r="H115" s="5">
        <v>0</v>
      </c>
      <c r="I115" s="5">
        <v>0</v>
      </c>
      <c r="J115" s="5">
        <v>0</v>
      </c>
      <c r="K115" s="5">
        <v>0</v>
      </c>
      <c r="L115" s="5">
        <v>0</v>
      </c>
      <c r="M115" s="5">
        <v>0</v>
      </c>
      <c r="N115" s="5">
        <v>0</v>
      </c>
      <c r="O115" s="21">
        <v>0.51</v>
      </c>
    </row>
    <row r="116" spans="1:16" x14ac:dyDescent="0.2">
      <c r="B116" s="2" t="s">
        <v>419</v>
      </c>
      <c r="C116" s="7">
        <v>0.26</v>
      </c>
      <c r="D116" s="7">
        <v>0.12</v>
      </c>
      <c r="E116" s="7">
        <v>0.04</v>
      </c>
      <c r="F116" s="7">
        <v>0.09</v>
      </c>
      <c r="G116" s="22">
        <v>0</v>
      </c>
      <c r="H116" s="7">
        <v>0</v>
      </c>
      <c r="I116" s="7">
        <v>0</v>
      </c>
      <c r="J116" s="7">
        <v>0</v>
      </c>
      <c r="K116" s="7">
        <v>0</v>
      </c>
      <c r="L116" s="7">
        <v>0</v>
      </c>
      <c r="M116" s="7">
        <v>0</v>
      </c>
      <c r="N116" s="7">
        <v>0</v>
      </c>
      <c r="O116" s="22">
        <v>0.51</v>
      </c>
    </row>
    <row r="117" spans="1:16" ht="9.75" customHeight="1" x14ac:dyDescent="0.2">
      <c r="C117" s="7"/>
      <c r="D117" s="7"/>
      <c r="E117" s="7"/>
      <c r="O117" s="22"/>
    </row>
    <row r="118" spans="1:16" s="4" customFormat="1" ht="15" x14ac:dyDescent="0.25">
      <c r="A118" s="3" t="s">
        <v>122</v>
      </c>
      <c r="C118" s="5">
        <v>71.829999999999984</v>
      </c>
      <c r="D118" s="5">
        <v>49.99</v>
      </c>
      <c r="E118" s="5">
        <v>54.239999999999995</v>
      </c>
      <c r="F118" s="5">
        <v>62.21</v>
      </c>
      <c r="G118" s="5">
        <v>49.39</v>
      </c>
      <c r="H118" s="5">
        <v>57.699999999999996</v>
      </c>
      <c r="I118" s="5">
        <v>63.9</v>
      </c>
      <c r="J118" s="5">
        <v>27.85</v>
      </c>
      <c r="K118" s="5">
        <v>41.97</v>
      </c>
      <c r="L118" s="5">
        <v>55.980000000000004</v>
      </c>
      <c r="M118" s="5">
        <v>39.980000000000004</v>
      </c>
      <c r="N118" s="5">
        <v>29.049999999999997</v>
      </c>
      <c r="O118" s="21">
        <v>604.09</v>
      </c>
    </row>
    <row r="119" spans="1:16" x14ac:dyDescent="0.2">
      <c r="B119" s="2" t="s">
        <v>331</v>
      </c>
      <c r="C119" s="7">
        <v>0.1</v>
      </c>
      <c r="D119" s="7">
        <v>0.04</v>
      </c>
      <c r="E119" s="7">
        <v>0.04</v>
      </c>
      <c r="F119" s="7">
        <v>0.14000000000000001</v>
      </c>
      <c r="G119" s="22">
        <v>0.04</v>
      </c>
      <c r="H119" s="7">
        <v>0.05</v>
      </c>
      <c r="I119" s="7">
        <v>0.06</v>
      </c>
      <c r="J119" s="7">
        <v>0.03</v>
      </c>
      <c r="K119" s="7">
        <v>0.13</v>
      </c>
      <c r="L119" s="7">
        <v>0.03</v>
      </c>
      <c r="M119" s="7">
        <v>0.09</v>
      </c>
      <c r="N119" s="7">
        <v>0.02</v>
      </c>
      <c r="O119" s="22">
        <v>0.77</v>
      </c>
    </row>
    <row r="120" spans="1:16" x14ac:dyDescent="0.2">
      <c r="B120" s="2" t="s">
        <v>332</v>
      </c>
      <c r="C120" s="7">
        <v>71.709999999999994</v>
      </c>
      <c r="D120" s="7">
        <v>49.88</v>
      </c>
      <c r="E120" s="7">
        <v>54.19</v>
      </c>
      <c r="F120" s="7">
        <v>62.07</v>
      </c>
      <c r="G120" s="22">
        <v>49.35</v>
      </c>
      <c r="H120" s="7">
        <v>57.64</v>
      </c>
      <c r="I120" s="7">
        <v>63.83</v>
      </c>
      <c r="J120" s="7">
        <v>27.69</v>
      </c>
      <c r="K120" s="7">
        <v>41.83</v>
      </c>
      <c r="L120" s="7">
        <v>55.95</v>
      </c>
      <c r="M120" s="7">
        <v>39.880000000000003</v>
      </c>
      <c r="N120" s="7">
        <v>28.97</v>
      </c>
      <c r="O120" s="22">
        <v>602.99</v>
      </c>
      <c r="P120" s="22"/>
    </row>
    <row r="121" spans="1:16" x14ac:dyDescent="0.2">
      <c r="B121" s="2" t="s">
        <v>450</v>
      </c>
      <c r="C121" s="7">
        <v>0</v>
      </c>
      <c r="D121" s="7">
        <v>0.06</v>
      </c>
      <c r="E121" s="7">
        <v>0</v>
      </c>
      <c r="F121" s="7">
        <v>0</v>
      </c>
      <c r="G121" s="22">
        <v>0</v>
      </c>
      <c r="H121" s="7">
        <v>0</v>
      </c>
      <c r="I121" s="7">
        <v>0</v>
      </c>
      <c r="J121" s="7">
        <v>0</v>
      </c>
      <c r="K121" s="7">
        <v>0</v>
      </c>
      <c r="L121" s="7">
        <v>0</v>
      </c>
      <c r="M121" s="7">
        <v>0</v>
      </c>
      <c r="N121" s="7">
        <v>0</v>
      </c>
      <c r="O121" s="22">
        <v>0.06</v>
      </c>
    </row>
    <row r="122" spans="1:16" x14ac:dyDescent="0.2">
      <c r="B122" s="2" t="s">
        <v>335</v>
      </c>
      <c r="C122" s="7">
        <v>0.02</v>
      </c>
      <c r="D122" s="7">
        <v>0.01</v>
      </c>
      <c r="E122" s="7">
        <v>0.01</v>
      </c>
      <c r="F122" s="7">
        <v>0</v>
      </c>
      <c r="G122" s="22">
        <v>0</v>
      </c>
      <c r="H122" s="7">
        <v>0.01</v>
      </c>
      <c r="I122" s="7">
        <v>0.01</v>
      </c>
      <c r="J122" s="7">
        <v>0.13</v>
      </c>
      <c r="K122" s="7">
        <v>0.01</v>
      </c>
      <c r="L122" s="7">
        <v>0</v>
      </c>
      <c r="M122" s="7">
        <v>0.01</v>
      </c>
      <c r="N122" s="7">
        <v>0.06</v>
      </c>
      <c r="O122" s="22">
        <v>0.27</v>
      </c>
    </row>
    <row r="123" spans="1:16" ht="12.75" customHeight="1" x14ac:dyDescent="0.2">
      <c r="C123" s="7"/>
      <c r="D123" s="7"/>
      <c r="E123" s="7"/>
      <c r="F123" s="7"/>
      <c r="G123" s="22"/>
      <c r="O123" s="22"/>
    </row>
    <row r="124" spans="1:16" s="4" customFormat="1" ht="15" x14ac:dyDescent="0.25">
      <c r="A124" s="3" t="s">
        <v>128</v>
      </c>
      <c r="C124" s="5">
        <v>46.85</v>
      </c>
      <c r="D124" s="5">
        <v>59.170000000000009</v>
      </c>
      <c r="E124" s="5">
        <v>32.269999999999996</v>
      </c>
      <c r="F124" s="5">
        <v>30.270000000000003</v>
      </c>
      <c r="G124" s="5">
        <v>35.010000000000005</v>
      </c>
      <c r="H124" s="5">
        <v>26.54</v>
      </c>
      <c r="I124" s="5">
        <v>34.089999999999996</v>
      </c>
      <c r="J124" s="5">
        <v>28.729999999999997</v>
      </c>
      <c r="K124" s="5">
        <v>56.92</v>
      </c>
      <c r="L124" s="5">
        <v>29.25</v>
      </c>
      <c r="M124" s="5">
        <v>20.059999999999999</v>
      </c>
      <c r="N124" s="5">
        <v>34.22</v>
      </c>
      <c r="O124" s="21">
        <v>433.38000000000011</v>
      </c>
    </row>
    <row r="125" spans="1:16" x14ac:dyDescent="0.2">
      <c r="B125" s="2" t="s">
        <v>336</v>
      </c>
      <c r="C125" s="7">
        <v>43.04</v>
      </c>
      <c r="D125" s="7">
        <v>52.96</v>
      </c>
      <c r="E125" s="7">
        <v>23.02</v>
      </c>
      <c r="F125" s="7">
        <v>25.12</v>
      </c>
      <c r="G125" s="22">
        <v>27.96</v>
      </c>
      <c r="H125" s="7">
        <v>21.72</v>
      </c>
      <c r="I125" s="7">
        <v>28.72</v>
      </c>
      <c r="J125" s="7">
        <v>21.56</v>
      </c>
      <c r="K125" s="7">
        <v>46.58</v>
      </c>
      <c r="L125" s="7">
        <v>15.81</v>
      </c>
      <c r="M125" s="7">
        <v>15.29</v>
      </c>
      <c r="N125" s="7">
        <v>31.16</v>
      </c>
      <c r="O125" s="22">
        <v>352.94000000000005</v>
      </c>
    </row>
    <row r="126" spans="1:16" x14ac:dyDescent="0.2">
      <c r="B126" s="2" t="s">
        <v>338</v>
      </c>
      <c r="C126" s="7">
        <v>3.78</v>
      </c>
      <c r="D126" s="7">
        <v>6.06</v>
      </c>
      <c r="E126" s="7">
        <v>9.25</v>
      </c>
      <c r="F126" s="7">
        <v>5.15</v>
      </c>
      <c r="G126" s="22">
        <v>6.92</v>
      </c>
      <c r="H126" s="7">
        <v>4.8099999999999996</v>
      </c>
      <c r="I126" s="7">
        <v>5.36</v>
      </c>
      <c r="J126" s="7">
        <v>7.17</v>
      </c>
      <c r="K126" s="7">
        <v>10.34</v>
      </c>
      <c r="L126" s="7">
        <v>13.44</v>
      </c>
      <c r="M126" s="7">
        <v>4.7300000000000004</v>
      </c>
      <c r="N126" s="7">
        <v>3.03</v>
      </c>
      <c r="O126" s="22">
        <v>80.040000000000006</v>
      </c>
    </row>
    <row r="127" spans="1:16" x14ac:dyDescent="0.2">
      <c r="B127" s="2" t="s">
        <v>339</v>
      </c>
      <c r="C127" s="7">
        <v>0</v>
      </c>
      <c r="D127" s="7">
        <v>0.02</v>
      </c>
      <c r="E127" s="7">
        <v>0</v>
      </c>
      <c r="F127" s="7">
        <v>0</v>
      </c>
      <c r="G127" s="22">
        <v>0.13</v>
      </c>
      <c r="H127" s="7">
        <v>0</v>
      </c>
      <c r="I127" s="7">
        <v>0.01</v>
      </c>
      <c r="J127" s="7">
        <v>0</v>
      </c>
      <c r="K127" s="7">
        <v>0</v>
      </c>
      <c r="L127" s="7">
        <v>0</v>
      </c>
      <c r="M127" s="7">
        <v>0.04</v>
      </c>
      <c r="N127" s="7">
        <v>0.01</v>
      </c>
      <c r="O127" s="22">
        <v>0.21000000000000002</v>
      </c>
    </row>
    <row r="128" spans="1:16" x14ac:dyDescent="0.2">
      <c r="B128" s="2" t="s">
        <v>134</v>
      </c>
      <c r="C128" s="7">
        <v>0</v>
      </c>
      <c r="D128" s="7">
        <v>0</v>
      </c>
      <c r="E128" s="7">
        <v>0</v>
      </c>
      <c r="F128" s="7">
        <v>0</v>
      </c>
      <c r="G128" s="22">
        <v>0</v>
      </c>
      <c r="H128" s="7">
        <v>0</v>
      </c>
      <c r="I128" s="7">
        <v>0</v>
      </c>
      <c r="J128" s="7">
        <v>0</v>
      </c>
      <c r="K128" s="7">
        <v>0</v>
      </c>
      <c r="L128" s="7">
        <v>0</v>
      </c>
      <c r="M128" s="7">
        <v>0</v>
      </c>
      <c r="N128" s="7">
        <v>0.02</v>
      </c>
      <c r="O128" s="22">
        <v>0.02</v>
      </c>
    </row>
    <row r="129" spans="1:15" x14ac:dyDescent="0.2">
      <c r="B129" s="2" t="s">
        <v>340</v>
      </c>
      <c r="C129" s="7">
        <v>0.03</v>
      </c>
      <c r="D129" s="7">
        <v>0.13</v>
      </c>
      <c r="E129" s="7">
        <v>0</v>
      </c>
      <c r="F129" s="7">
        <v>0</v>
      </c>
      <c r="G129" s="22">
        <v>0</v>
      </c>
      <c r="H129" s="7">
        <v>0.01</v>
      </c>
      <c r="I129" s="7">
        <v>0</v>
      </c>
      <c r="J129" s="7">
        <v>0</v>
      </c>
      <c r="K129" s="7">
        <v>0</v>
      </c>
      <c r="L129" s="7">
        <v>0</v>
      </c>
      <c r="M129" s="7">
        <v>0</v>
      </c>
      <c r="N129" s="7">
        <v>0</v>
      </c>
      <c r="O129" s="22">
        <v>0.17</v>
      </c>
    </row>
    <row r="130" spans="1:15" ht="12.75" customHeight="1" x14ac:dyDescent="0.25">
      <c r="A130" s="24"/>
      <c r="B130" s="24"/>
      <c r="C130" s="24"/>
      <c r="D130" s="24"/>
      <c r="E130" s="24"/>
      <c r="F130" s="24"/>
      <c r="G130" s="24"/>
      <c r="H130" s="24"/>
      <c r="I130" s="24"/>
      <c r="J130" s="24"/>
      <c r="K130" s="24"/>
      <c r="L130" s="24"/>
      <c r="M130" s="24"/>
      <c r="N130" s="24"/>
      <c r="O130" s="24"/>
    </row>
    <row r="131" spans="1:15" s="4" customFormat="1" ht="15" x14ac:dyDescent="0.25">
      <c r="A131" s="3" t="s">
        <v>140</v>
      </c>
      <c r="C131" s="5">
        <v>12.239999999999998</v>
      </c>
      <c r="D131" s="5">
        <v>10.210000000000001</v>
      </c>
      <c r="E131" s="5">
        <v>13.580000000000002</v>
      </c>
      <c r="F131" s="5">
        <v>11.610000000000001</v>
      </c>
      <c r="G131" s="5">
        <v>14.889999999999999</v>
      </c>
      <c r="H131" s="5">
        <v>11.149999999999999</v>
      </c>
      <c r="I131" s="5">
        <v>10.78</v>
      </c>
      <c r="J131" s="5">
        <v>11.020000000000001</v>
      </c>
      <c r="K131" s="5">
        <v>11.95</v>
      </c>
      <c r="L131" s="5">
        <v>12.540000000000001</v>
      </c>
      <c r="M131" s="5">
        <v>14.609999999999998</v>
      </c>
      <c r="N131" s="5">
        <v>9.35</v>
      </c>
      <c r="O131" s="21">
        <v>143.93</v>
      </c>
    </row>
    <row r="132" spans="1:15" x14ac:dyDescent="0.2">
      <c r="B132" s="2" t="s">
        <v>346</v>
      </c>
      <c r="C132" s="7">
        <v>2.95</v>
      </c>
      <c r="D132" s="7">
        <v>3.1</v>
      </c>
      <c r="E132" s="7">
        <v>3.39</v>
      </c>
      <c r="F132" s="7">
        <v>1.7</v>
      </c>
      <c r="G132" s="22">
        <v>3.62</v>
      </c>
      <c r="H132" s="7">
        <v>2.4300000000000002</v>
      </c>
      <c r="I132" s="7">
        <v>3.36</v>
      </c>
      <c r="J132" s="7">
        <v>2.2599999999999998</v>
      </c>
      <c r="K132" s="7">
        <v>2.21</v>
      </c>
      <c r="L132" s="7">
        <v>2.88</v>
      </c>
      <c r="M132" s="7">
        <v>2.3199999999999998</v>
      </c>
      <c r="N132" s="7">
        <v>2.16</v>
      </c>
      <c r="O132" s="22">
        <v>32.380000000000003</v>
      </c>
    </row>
    <row r="133" spans="1:15" x14ac:dyDescent="0.2">
      <c r="B133" s="2" t="s">
        <v>347</v>
      </c>
      <c r="C133" s="7">
        <v>0</v>
      </c>
      <c r="D133" s="7">
        <v>0.63</v>
      </c>
      <c r="E133" s="7">
        <v>0.9</v>
      </c>
      <c r="F133" s="7">
        <v>0.49</v>
      </c>
      <c r="G133" s="22">
        <v>3.18</v>
      </c>
      <c r="H133" s="7">
        <v>1.1200000000000001</v>
      </c>
      <c r="I133" s="7">
        <v>0.12</v>
      </c>
      <c r="J133" s="7">
        <v>1.31</v>
      </c>
      <c r="K133" s="7">
        <v>1.1200000000000001</v>
      </c>
      <c r="L133" s="7">
        <v>0.94</v>
      </c>
      <c r="M133" s="7">
        <v>3.05</v>
      </c>
      <c r="N133" s="7">
        <v>0.82</v>
      </c>
      <c r="O133" s="22">
        <v>13.68</v>
      </c>
    </row>
    <row r="134" spans="1:15" x14ac:dyDescent="0.2">
      <c r="B134" s="2" t="s">
        <v>348</v>
      </c>
      <c r="C134" s="7">
        <v>0.3</v>
      </c>
      <c r="D134" s="7">
        <v>0.18</v>
      </c>
      <c r="E134" s="7">
        <v>0.24</v>
      </c>
      <c r="F134" s="7">
        <v>0.18</v>
      </c>
      <c r="G134" s="22">
        <v>0.26</v>
      </c>
      <c r="H134" s="7">
        <v>0.23</v>
      </c>
      <c r="I134" s="7">
        <v>0.53</v>
      </c>
      <c r="J134" s="7">
        <v>0.18</v>
      </c>
      <c r="K134" s="7">
        <v>0.24</v>
      </c>
      <c r="L134" s="7">
        <v>0.17</v>
      </c>
      <c r="M134" s="7">
        <v>0.11</v>
      </c>
      <c r="N134" s="7">
        <v>0.13</v>
      </c>
      <c r="O134" s="22">
        <v>2.7499999999999996</v>
      </c>
    </row>
    <row r="135" spans="1:15" x14ac:dyDescent="0.2">
      <c r="B135" s="2" t="s">
        <v>349</v>
      </c>
      <c r="C135" s="7">
        <v>0.11</v>
      </c>
      <c r="D135" s="7">
        <v>0.15</v>
      </c>
      <c r="E135" s="7">
        <v>0.19</v>
      </c>
      <c r="F135" s="7">
        <v>0.12</v>
      </c>
      <c r="G135" s="22">
        <v>0.19</v>
      </c>
      <c r="H135" s="7">
        <v>0.15</v>
      </c>
      <c r="I135" s="7">
        <v>0.2</v>
      </c>
      <c r="J135" s="7">
        <v>0.2</v>
      </c>
      <c r="K135" s="7">
        <v>0.41</v>
      </c>
      <c r="L135" s="7">
        <v>0.17</v>
      </c>
      <c r="M135" s="7">
        <v>0.19</v>
      </c>
      <c r="N135" s="7">
        <v>0.09</v>
      </c>
      <c r="O135" s="22">
        <v>2.17</v>
      </c>
    </row>
    <row r="136" spans="1:15" x14ac:dyDescent="0.2">
      <c r="B136" s="2" t="s">
        <v>350</v>
      </c>
      <c r="C136" s="7">
        <v>1.33</v>
      </c>
      <c r="D136" s="7">
        <v>1.1000000000000001</v>
      </c>
      <c r="E136" s="7">
        <v>2.06</v>
      </c>
      <c r="F136" s="7">
        <v>0.87</v>
      </c>
      <c r="G136" s="22">
        <v>1.32</v>
      </c>
      <c r="H136" s="7">
        <v>1.1200000000000001</v>
      </c>
      <c r="I136" s="7">
        <v>1.38</v>
      </c>
      <c r="J136" s="7">
        <v>1.49</v>
      </c>
      <c r="K136" s="7">
        <v>1.55</v>
      </c>
      <c r="L136" s="7">
        <v>1.22</v>
      </c>
      <c r="M136" s="7">
        <v>1.19</v>
      </c>
      <c r="N136" s="7">
        <v>0.98</v>
      </c>
      <c r="O136" s="22">
        <v>15.610000000000001</v>
      </c>
    </row>
    <row r="137" spans="1:15" x14ac:dyDescent="0.2">
      <c r="B137" s="2" t="s">
        <v>351</v>
      </c>
      <c r="C137" s="7">
        <v>2.4</v>
      </c>
      <c r="D137" s="7">
        <v>2.15</v>
      </c>
      <c r="E137" s="7">
        <v>3.33</v>
      </c>
      <c r="F137" s="7">
        <v>3.3</v>
      </c>
      <c r="G137" s="22">
        <v>2.86</v>
      </c>
      <c r="H137" s="7">
        <v>3.51</v>
      </c>
      <c r="I137" s="7">
        <v>2.68</v>
      </c>
      <c r="J137" s="7">
        <v>2.6</v>
      </c>
      <c r="K137" s="7">
        <v>2.73</v>
      </c>
      <c r="L137" s="7">
        <v>2.79</v>
      </c>
      <c r="M137" s="7">
        <v>3.22</v>
      </c>
      <c r="N137" s="7">
        <v>1.9</v>
      </c>
      <c r="O137" s="22">
        <v>33.47</v>
      </c>
    </row>
    <row r="138" spans="1:15" x14ac:dyDescent="0.2">
      <c r="B138" s="2" t="s">
        <v>352</v>
      </c>
      <c r="C138" s="7">
        <v>0</v>
      </c>
      <c r="D138" s="7">
        <v>0.01</v>
      </c>
      <c r="E138" s="7">
        <v>0.05</v>
      </c>
      <c r="F138" s="7">
        <v>0</v>
      </c>
      <c r="G138" s="22">
        <v>0.01</v>
      </c>
      <c r="H138" s="7">
        <v>0</v>
      </c>
      <c r="I138" s="7">
        <v>0</v>
      </c>
      <c r="J138" s="7">
        <v>0.02</v>
      </c>
      <c r="K138" s="7">
        <v>0.01</v>
      </c>
      <c r="L138" s="7">
        <v>0.06</v>
      </c>
      <c r="M138" s="7">
        <v>0.03</v>
      </c>
      <c r="N138" s="7">
        <v>0.01</v>
      </c>
      <c r="O138" s="22">
        <v>0.2</v>
      </c>
    </row>
    <row r="139" spans="1:15" x14ac:dyDescent="0.2">
      <c r="B139" s="2" t="s">
        <v>353</v>
      </c>
      <c r="C139" s="7">
        <v>1.31</v>
      </c>
      <c r="D139" s="7">
        <v>0.39</v>
      </c>
      <c r="E139" s="7">
        <v>0.37</v>
      </c>
      <c r="F139" s="7">
        <v>0.38</v>
      </c>
      <c r="G139" s="22">
        <v>0.75</v>
      </c>
      <c r="H139" s="7">
        <v>0.19</v>
      </c>
      <c r="I139" s="7">
        <v>0.35</v>
      </c>
      <c r="J139" s="7">
        <v>0.67</v>
      </c>
      <c r="K139" s="7">
        <v>0.8</v>
      </c>
      <c r="L139" s="7">
        <v>0.39</v>
      </c>
      <c r="M139" s="7">
        <v>0.41</v>
      </c>
      <c r="N139" s="7">
        <v>0.36</v>
      </c>
      <c r="O139" s="22">
        <v>6.37</v>
      </c>
    </row>
    <row r="140" spans="1:15" x14ac:dyDescent="0.2">
      <c r="B140" s="2" t="s">
        <v>355</v>
      </c>
      <c r="C140" s="7">
        <v>3.71</v>
      </c>
      <c r="D140" s="7">
        <v>2.35</v>
      </c>
      <c r="E140" s="7">
        <v>2.77</v>
      </c>
      <c r="F140" s="7">
        <v>2.44</v>
      </c>
      <c r="G140" s="22">
        <v>2.2999999999999998</v>
      </c>
      <c r="H140" s="7">
        <v>2.04</v>
      </c>
      <c r="I140" s="7">
        <v>1.85</v>
      </c>
      <c r="J140" s="7">
        <v>1.89</v>
      </c>
      <c r="K140" s="7">
        <v>2.09</v>
      </c>
      <c r="L140" s="7">
        <v>2.8</v>
      </c>
      <c r="M140" s="7">
        <v>3.59</v>
      </c>
      <c r="N140" s="7">
        <v>2.58</v>
      </c>
      <c r="O140" s="22">
        <v>30.410000000000004</v>
      </c>
    </row>
    <row r="141" spans="1:15" x14ac:dyDescent="0.2">
      <c r="B141" s="2" t="s">
        <v>356</v>
      </c>
      <c r="C141" s="7">
        <v>0.12</v>
      </c>
      <c r="D141" s="7">
        <v>0.15</v>
      </c>
      <c r="E141" s="7">
        <v>0.23</v>
      </c>
      <c r="F141" s="7">
        <v>0.15</v>
      </c>
      <c r="G141" s="22">
        <v>0.31</v>
      </c>
      <c r="H141" s="7">
        <v>0.28999999999999998</v>
      </c>
      <c r="I141" s="7">
        <v>0.26</v>
      </c>
      <c r="J141" s="7">
        <v>0.4</v>
      </c>
      <c r="K141" s="7">
        <v>0.78</v>
      </c>
      <c r="L141" s="7">
        <v>0.5</v>
      </c>
      <c r="M141" s="7">
        <v>0.35</v>
      </c>
      <c r="N141" s="7">
        <v>0.27</v>
      </c>
      <c r="O141" s="22">
        <v>3.8100000000000005</v>
      </c>
    </row>
    <row r="142" spans="1:15" x14ac:dyDescent="0.2">
      <c r="B142" s="2" t="s">
        <v>357</v>
      </c>
      <c r="C142" s="7">
        <v>0</v>
      </c>
      <c r="D142" s="7">
        <v>0</v>
      </c>
      <c r="E142" s="7">
        <v>0</v>
      </c>
      <c r="F142" s="7">
        <v>0</v>
      </c>
      <c r="G142" s="22">
        <v>0.02</v>
      </c>
      <c r="H142" s="7">
        <v>0</v>
      </c>
      <c r="I142" s="2">
        <v>0.05</v>
      </c>
      <c r="J142" s="7">
        <v>0</v>
      </c>
      <c r="K142" s="7">
        <v>0</v>
      </c>
      <c r="L142" s="7">
        <v>0.24</v>
      </c>
      <c r="M142" s="7">
        <v>0.11</v>
      </c>
      <c r="N142" s="7">
        <v>0.03</v>
      </c>
      <c r="O142" s="22">
        <v>0.44999999999999996</v>
      </c>
    </row>
    <row r="143" spans="1:15" x14ac:dyDescent="0.2">
      <c r="B143" s="2" t="s">
        <v>358</v>
      </c>
      <c r="C143" s="7">
        <v>0</v>
      </c>
      <c r="D143" s="7">
        <v>0</v>
      </c>
      <c r="E143" s="7">
        <v>0</v>
      </c>
      <c r="F143" s="7">
        <v>0</v>
      </c>
      <c r="G143" s="22">
        <v>0</v>
      </c>
      <c r="H143" s="7">
        <v>0</v>
      </c>
      <c r="I143" s="7">
        <v>0</v>
      </c>
      <c r="J143" s="7">
        <v>0</v>
      </c>
      <c r="K143" s="7">
        <v>0</v>
      </c>
      <c r="L143" s="7">
        <v>0.27</v>
      </c>
      <c r="M143" s="7">
        <v>0</v>
      </c>
      <c r="N143" s="7">
        <v>0</v>
      </c>
      <c r="O143" s="22">
        <v>0.27</v>
      </c>
    </row>
    <row r="144" spans="1:15" x14ac:dyDescent="0.2">
      <c r="B144" s="2" t="s">
        <v>359</v>
      </c>
      <c r="C144" s="7">
        <v>0</v>
      </c>
      <c r="D144" s="7">
        <v>0</v>
      </c>
      <c r="E144" s="7">
        <v>0</v>
      </c>
      <c r="F144" s="7">
        <v>0</v>
      </c>
      <c r="G144" s="22">
        <v>0</v>
      </c>
      <c r="H144" s="7">
        <v>0</v>
      </c>
      <c r="I144" s="7">
        <v>0</v>
      </c>
      <c r="J144" s="7">
        <v>0</v>
      </c>
      <c r="K144" s="7">
        <v>0</v>
      </c>
      <c r="L144" s="7">
        <v>0</v>
      </c>
      <c r="M144" s="7">
        <v>0</v>
      </c>
      <c r="N144" s="7">
        <v>0.01</v>
      </c>
      <c r="O144" s="22">
        <v>0.01</v>
      </c>
    </row>
    <row r="145" spans="1:15" x14ac:dyDescent="0.2">
      <c r="B145" s="2" t="s">
        <v>360</v>
      </c>
      <c r="C145" s="7">
        <v>0</v>
      </c>
      <c r="D145" s="7">
        <v>0</v>
      </c>
      <c r="E145" s="7">
        <v>0</v>
      </c>
      <c r="F145" s="7">
        <v>1.98</v>
      </c>
      <c r="G145" s="22">
        <v>7.0000000000000007E-2</v>
      </c>
      <c r="H145" s="7">
        <v>7.0000000000000007E-2</v>
      </c>
      <c r="I145" s="7">
        <v>0</v>
      </c>
      <c r="J145" s="7">
        <v>0</v>
      </c>
      <c r="K145" s="7">
        <v>0</v>
      </c>
      <c r="L145" s="7">
        <v>0.11</v>
      </c>
      <c r="M145" s="7">
        <v>0</v>
      </c>
      <c r="N145" s="7">
        <v>0</v>
      </c>
      <c r="O145" s="22">
        <v>2.2299999999999995</v>
      </c>
    </row>
    <row r="146" spans="1:15" x14ac:dyDescent="0.2">
      <c r="B146" s="2" t="s">
        <v>361</v>
      </c>
      <c r="C146" s="7">
        <v>0</v>
      </c>
      <c r="D146" s="7">
        <v>0</v>
      </c>
      <c r="E146" s="7">
        <v>0</v>
      </c>
      <c r="F146" s="7">
        <v>0</v>
      </c>
      <c r="G146" s="22">
        <v>0</v>
      </c>
      <c r="H146" s="7">
        <v>0</v>
      </c>
      <c r="I146" s="7">
        <v>0</v>
      </c>
      <c r="J146" s="7">
        <v>0</v>
      </c>
      <c r="K146" s="7">
        <v>0</v>
      </c>
      <c r="L146" s="7">
        <v>0</v>
      </c>
      <c r="M146" s="7">
        <v>0.04</v>
      </c>
      <c r="N146" s="7">
        <v>0</v>
      </c>
      <c r="O146" s="22">
        <v>0.04</v>
      </c>
    </row>
    <row r="147" spans="1:15" x14ac:dyDescent="0.2">
      <c r="B147" s="2" t="s">
        <v>362</v>
      </c>
      <c r="C147" s="7">
        <v>0.01</v>
      </c>
      <c r="D147" s="7">
        <v>0</v>
      </c>
      <c r="E147" s="7">
        <v>0.05</v>
      </c>
      <c r="F147" s="7">
        <v>0</v>
      </c>
      <c r="G147" s="22">
        <v>0</v>
      </c>
      <c r="H147" s="7">
        <v>0</v>
      </c>
      <c r="I147" s="7">
        <v>0</v>
      </c>
      <c r="J147" s="7">
        <v>0</v>
      </c>
      <c r="K147" s="7">
        <v>0.01</v>
      </c>
      <c r="L147" s="7">
        <v>0</v>
      </c>
      <c r="M147" s="7">
        <v>0</v>
      </c>
      <c r="N147" s="7">
        <v>0.01</v>
      </c>
      <c r="O147" s="22">
        <v>0.08</v>
      </c>
    </row>
    <row r="148" spans="1:15" ht="12.75" customHeight="1" x14ac:dyDescent="0.2">
      <c r="C148" s="7"/>
      <c r="D148" s="7"/>
      <c r="E148" s="7"/>
      <c r="O148" s="22"/>
    </row>
    <row r="149" spans="1:15" s="4" customFormat="1" ht="15" x14ac:dyDescent="0.25">
      <c r="A149" s="3" t="s">
        <v>159</v>
      </c>
      <c r="C149" s="5">
        <v>0.71</v>
      </c>
      <c r="D149" s="5">
        <v>1.06</v>
      </c>
      <c r="E149" s="5">
        <v>1.71</v>
      </c>
      <c r="F149" s="5">
        <v>1.38</v>
      </c>
      <c r="G149" s="5">
        <v>1.1100000000000001</v>
      </c>
      <c r="H149" s="5">
        <v>0.92</v>
      </c>
      <c r="I149" s="5">
        <v>0.74</v>
      </c>
      <c r="J149" s="5">
        <v>0.74</v>
      </c>
      <c r="K149" s="5">
        <v>1.1399999999999999</v>
      </c>
      <c r="L149" s="5">
        <v>1.45</v>
      </c>
      <c r="M149" s="5">
        <v>1.44</v>
      </c>
      <c r="N149" s="5">
        <v>1.58</v>
      </c>
      <c r="O149" s="21">
        <v>13.979999999999999</v>
      </c>
    </row>
    <row r="150" spans="1:15" x14ac:dyDescent="0.2">
      <c r="B150" s="2" t="s">
        <v>363</v>
      </c>
      <c r="C150" s="7">
        <v>0.71</v>
      </c>
      <c r="D150" s="7">
        <v>1.06</v>
      </c>
      <c r="E150" s="7">
        <v>1.71</v>
      </c>
      <c r="F150" s="7">
        <v>1.38</v>
      </c>
      <c r="G150" s="22">
        <v>1.1100000000000001</v>
      </c>
      <c r="H150" s="7">
        <v>0.92</v>
      </c>
      <c r="I150" s="7">
        <v>0.74</v>
      </c>
      <c r="J150" s="7">
        <v>0.74</v>
      </c>
      <c r="K150" s="7">
        <v>1.1399999999999999</v>
      </c>
      <c r="L150" s="7">
        <v>1.45</v>
      </c>
      <c r="M150" s="7">
        <v>1.44</v>
      </c>
      <c r="N150" s="7">
        <v>1.58</v>
      </c>
      <c r="O150" s="22">
        <v>13.979999999999999</v>
      </c>
    </row>
    <row r="151" spans="1:15" ht="12.75" customHeight="1" x14ac:dyDescent="0.2">
      <c r="C151" s="7"/>
      <c r="D151" s="7"/>
      <c r="E151" s="7"/>
      <c r="O151" s="22"/>
    </row>
    <row r="152" spans="1:15" s="4" customFormat="1" ht="15" x14ac:dyDescent="0.25">
      <c r="A152" s="3" t="s">
        <v>161</v>
      </c>
      <c r="C152" s="5">
        <v>6.21</v>
      </c>
      <c r="D152" s="5">
        <v>7.94</v>
      </c>
      <c r="E152" s="5">
        <v>3.48</v>
      </c>
      <c r="F152" s="5">
        <v>4.78</v>
      </c>
      <c r="G152" s="5">
        <v>4.96</v>
      </c>
      <c r="H152" s="5">
        <v>6.56</v>
      </c>
      <c r="I152" s="5">
        <v>5</v>
      </c>
      <c r="J152" s="5">
        <v>2.8499999999999996</v>
      </c>
      <c r="K152" s="5">
        <v>2.46</v>
      </c>
      <c r="L152" s="5">
        <v>2.75</v>
      </c>
      <c r="M152" s="5">
        <v>7.71</v>
      </c>
      <c r="N152" s="5">
        <v>5.32</v>
      </c>
      <c r="O152" s="21">
        <v>60.02</v>
      </c>
    </row>
    <row r="153" spans="1:15" x14ac:dyDescent="0.2">
      <c r="B153" s="2" t="s">
        <v>364</v>
      </c>
      <c r="C153" s="7">
        <v>0.2</v>
      </c>
      <c r="D153" s="7">
        <v>0.22</v>
      </c>
      <c r="E153" s="7">
        <v>0.18</v>
      </c>
      <c r="F153" s="7">
        <v>0.06</v>
      </c>
      <c r="G153" s="22">
        <v>0.03</v>
      </c>
      <c r="H153" s="7">
        <v>0.02</v>
      </c>
      <c r="I153" s="7">
        <v>0.01</v>
      </c>
      <c r="J153" s="7">
        <v>0.03</v>
      </c>
      <c r="K153" s="7">
        <v>0.02</v>
      </c>
      <c r="L153" s="7">
        <v>0.03</v>
      </c>
      <c r="M153" s="7">
        <v>0.01</v>
      </c>
      <c r="N153" s="7">
        <v>0.11</v>
      </c>
      <c r="O153" s="22">
        <v>0.92000000000000026</v>
      </c>
    </row>
    <row r="154" spans="1:15" x14ac:dyDescent="0.2">
      <c r="B154" s="2" t="s">
        <v>365</v>
      </c>
      <c r="C154" s="7">
        <v>0.01</v>
      </c>
      <c r="D154" s="7">
        <v>0</v>
      </c>
      <c r="E154" s="7">
        <v>0</v>
      </c>
      <c r="F154" s="7">
        <v>0</v>
      </c>
      <c r="G154" s="22">
        <v>0.01</v>
      </c>
      <c r="H154" s="7">
        <v>0.61</v>
      </c>
      <c r="I154" s="7">
        <v>0.03</v>
      </c>
      <c r="J154" s="7">
        <v>0</v>
      </c>
      <c r="K154" s="7">
        <v>0</v>
      </c>
      <c r="L154" s="7">
        <v>0.01</v>
      </c>
      <c r="M154" s="7">
        <v>0</v>
      </c>
      <c r="N154" s="7">
        <v>0</v>
      </c>
      <c r="O154" s="22">
        <v>0.67</v>
      </c>
    </row>
    <row r="155" spans="1:15" x14ac:dyDescent="0.2">
      <c r="B155" s="2" t="s">
        <v>451</v>
      </c>
      <c r="C155" s="7">
        <v>0</v>
      </c>
      <c r="D155" s="7">
        <v>0.01</v>
      </c>
      <c r="E155" s="7">
        <v>0.01</v>
      </c>
      <c r="F155" s="7">
        <v>0.01</v>
      </c>
      <c r="G155" s="22">
        <v>0</v>
      </c>
      <c r="H155" s="7">
        <v>0</v>
      </c>
      <c r="I155" s="7">
        <v>0</v>
      </c>
      <c r="J155" s="7">
        <v>0</v>
      </c>
      <c r="K155" s="7">
        <v>0</v>
      </c>
      <c r="L155" s="7">
        <v>0</v>
      </c>
      <c r="M155" s="7">
        <v>0</v>
      </c>
      <c r="N155" s="7">
        <v>0</v>
      </c>
      <c r="O155" s="22">
        <v>0.03</v>
      </c>
    </row>
    <row r="156" spans="1:15" x14ac:dyDescent="0.2">
      <c r="B156" s="2" t="s">
        <v>366</v>
      </c>
      <c r="C156" s="7">
        <v>6</v>
      </c>
      <c r="D156" s="7">
        <v>7.71</v>
      </c>
      <c r="E156" s="7">
        <v>3.29</v>
      </c>
      <c r="F156" s="7">
        <v>4.71</v>
      </c>
      <c r="G156" s="22">
        <v>4.92</v>
      </c>
      <c r="H156" s="7">
        <v>5.93</v>
      </c>
      <c r="I156" s="7">
        <v>4.96</v>
      </c>
      <c r="J156" s="7">
        <v>2.82</v>
      </c>
      <c r="K156" s="7">
        <v>2.44</v>
      </c>
      <c r="L156" s="7">
        <v>2.71</v>
      </c>
      <c r="M156" s="7">
        <v>7.7</v>
      </c>
      <c r="N156" s="7">
        <v>5.21</v>
      </c>
      <c r="O156" s="22">
        <v>58.400000000000006</v>
      </c>
    </row>
    <row r="157" spans="1:15" ht="11.25" customHeight="1" x14ac:dyDescent="0.2">
      <c r="C157" s="7"/>
      <c r="D157" s="7"/>
      <c r="E157" s="7"/>
      <c r="O157" s="22"/>
    </row>
    <row r="158" spans="1:15" s="4" customFormat="1" ht="15" x14ac:dyDescent="0.25">
      <c r="A158" s="3" t="s">
        <v>166</v>
      </c>
      <c r="C158" s="5">
        <v>30.62</v>
      </c>
      <c r="D158" s="5">
        <v>27.33</v>
      </c>
      <c r="E158" s="5">
        <v>34.25</v>
      </c>
      <c r="F158" s="5">
        <v>23.73</v>
      </c>
      <c r="G158" s="5">
        <v>24.52</v>
      </c>
      <c r="H158" s="5">
        <v>27.68</v>
      </c>
      <c r="I158" s="5">
        <v>25.220000000000002</v>
      </c>
      <c r="J158" s="5">
        <v>22</v>
      </c>
      <c r="K158" s="5">
        <v>23.630000000000003</v>
      </c>
      <c r="L158" s="5">
        <v>30.03</v>
      </c>
      <c r="M158" s="5">
        <v>26.4</v>
      </c>
      <c r="N158" s="5">
        <v>20.92</v>
      </c>
      <c r="O158" s="21">
        <v>316.33</v>
      </c>
    </row>
    <row r="159" spans="1:15" x14ac:dyDescent="0.2">
      <c r="B159" s="2" t="s">
        <v>367</v>
      </c>
      <c r="C159" s="7">
        <v>27.33</v>
      </c>
      <c r="D159" s="7">
        <v>23.21</v>
      </c>
      <c r="E159" s="7">
        <v>29.45</v>
      </c>
      <c r="F159" s="7">
        <v>19.93</v>
      </c>
      <c r="G159" s="22">
        <v>20.77</v>
      </c>
      <c r="H159" s="7">
        <v>23.55</v>
      </c>
      <c r="I159" s="7">
        <v>20.99</v>
      </c>
      <c r="J159" s="7">
        <v>19.47</v>
      </c>
      <c r="K159" s="7">
        <v>19.489999999999998</v>
      </c>
      <c r="L159" s="7">
        <v>27.42</v>
      </c>
      <c r="M159" s="7">
        <v>23.09</v>
      </c>
      <c r="N159" s="7">
        <v>18.670000000000002</v>
      </c>
      <c r="O159" s="22">
        <v>273.37</v>
      </c>
    </row>
    <row r="160" spans="1:15" x14ac:dyDescent="0.2">
      <c r="B160" s="2" t="s">
        <v>368</v>
      </c>
      <c r="C160" s="7">
        <v>2.41</v>
      </c>
      <c r="D160" s="7">
        <v>1.99</v>
      </c>
      <c r="E160" s="7">
        <v>2.38</v>
      </c>
      <c r="F160" s="7">
        <v>2.37</v>
      </c>
      <c r="G160" s="22">
        <v>3.03</v>
      </c>
      <c r="H160" s="7">
        <v>3.82</v>
      </c>
      <c r="I160" s="7">
        <v>3.83</v>
      </c>
      <c r="J160" s="7">
        <v>2.16</v>
      </c>
      <c r="K160" s="7">
        <v>2.8</v>
      </c>
      <c r="L160" s="7">
        <v>2.29</v>
      </c>
      <c r="M160" s="7">
        <v>2.0299999999999998</v>
      </c>
      <c r="N160" s="7">
        <v>1.8</v>
      </c>
      <c r="O160" s="22">
        <v>30.91</v>
      </c>
    </row>
    <row r="161" spans="1:15" x14ac:dyDescent="0.2">
      <c r="B161" s="2" t="s">
        <v>369</v>
      </c>
      <c r="C161" s="7">
        <v>0.26</v>
      </c>
      <c r="D161" s="7">
        <v>0.15</v>
      </c>
      <c r="E161" s="7">
        <v>0.16</v>
      </c>
      <c r="F161" s="7">
        <v>7.0000000000000007E-2</v>
      </c>
      <c r="G161" s="22">
        <v>0.08</v>
      </c>
      <c r="H161" s="7">
        <v>0.08</v>
      </c>
      <c r="I161" s="7">
        <v>0.05</v>
      </c>
      <c r="J161" s="7">
        <v>0.08</v>
      </c>
      <c r="K161" s="7">
        <v>7.0000000000000007E-2</v>
      </c>
      <c r="L161" s="7">
        <v>0.06</v>
      </c>
      <c r="M161" s="7">
        <v>0.04</v>
      </c>
      <c r="N161" s="7">
        <v>0.05</v>
      </c>
      <c r="O161" s="22">
        <v>1.1500000000000001</v>
      </c>
    </row>
    <row r="162" spans="1:15" x14ac:dyDescent="0.2">
      <c r="B162" s="2" t="s">
        <v>370</v>
      </c>
      <c r="C162" s="7">
        <v>0</v>
      </c>
      <c r="D162" s="7">
        <v>0</v>
      </c>
      <c r="E162" s="7">
        <v>0</v>
      </c>
      <c r="G162" s="22">
        <v>0.01</v>
      </c>
      <c r="H162" s="7">
        <v>0</v>
      </c>
      <c r="I162" s="7">
        <v>0</v>
      </c>
      <c r="J162" s="7">
        <v>0.01</v>
      </c>
      <c r="K162" s="7">
        <v>0</v>
      </c>
      <c r="L162" s="7">
        <v>0</v>
      </c>
      <c r="M162" s="7">
        <v>0</v>
      </c>
      <c r="N162" s="7">
        <v>0</v>
      </c>
      <c r="O162" s="22">
        <v>0.02</v>
      </c>
    </row>
    <row r="163" spans="1:15" x14ac:dyDescent="0.2">
      <c r="B163" s="2" t="s">
        <v>371</v>
      </c>
      <c r="C163" s="7">
        <v>0</v>
      </c>
      <c r="D163" s="7">
        <v>0.01</v>
      </c>
      <c r="E163" s="7">
        <v>0.01</v>
      </c>
      <c r="F163" s="7">
        <v>0</v>
      </c>
      <c r="G163" s="22">
        <v>0</v>
      </c>
      <c r="H163" s="7">
        <v>0</v>
      </c>
      <c r="I163" s="7">
        <v>0</v>
      </c>
      <c r="J163" s="7">
        <v>0.01</v>
      </c>
      <c r="K163" s="7">
        <v>0.01</v>
      </c>
      <c r="L163" s="7">
        <v>0</v>
      </c>
      <c r="M163" s="7">
        <v>0</v>
      </c>
      <c r="N163" s="7">
        <v>0</v>
      </c>
      <c r="O163" s="22">
        <v>0.04</v>
      </c>
    </row>
    <row r="164" spans="1:15" x14ac:dyDescent="0.2">
      <c r="B164" s="2" t="s">
        <v>372</v>
      </c>
      <c r="C164" s="7">
        <v>0.62</v>
      </c>
      <c r="D164" s="7">
        <v>1.97</v>
      </c>
      <c r="E164" s="7">
        <v>2.25</v>
      </c>
      <c r="F164" s="7">
        <v>1.36</v>
      </c>
      <c r="G164" s="22">
        <v>0.63</v>
      </c>
      <c r="H164" s="7">
        <v>0.23</v>
      </c>
      <c r="I164" s="7">
        <v>0.35</v>
      </c>
      <c r="J164" s="7">
        <v>0.27</v>
      </c>
      <c r="K164" s="7">
        <v>1.26</v>
      </c>
      <c r="L164" s="7">
        <v>0.26</v>
      </c>
      <c r="M164" s="7">
        <v>1.24</v>
      </c>
      <c r="N164" s="7">
        <v>0.4</v>
      </c>
      <c r="O164" s="22">
        <v>10.84</v>
      </c>
    </row>
    <row r="165" spans="1:15" ht="7.5" customHeight="1" x14ac:dyDescent="0.2">
      <c r="C165" s="7"/>
      <c r="D165" s="7"/>
      <c r="E165" s="7"/>
      <c r="O165" s="22"/>
    </row>
    <row r="166" spans="1:15" s="4" customFormat="1" ht="15" x14ac:dyDescent="0.25">
      <c r="A166" s="3" t="s">
        <v>174</v>
      </c>
      <c r="C166" s="5">
        <v>340.67</v>
      </c>
      <c r="D166" s="5">
        <v>342.61999999999995</v>
      </c>
      <c r="E166" s="5">
        <v>406.2</v>
      </c>
      <c r="F166" s="5">
        <v>335.01</v>
      </c>
      <c r="G166" s="5">
        <v>385.38</v>
      </c>
      <c r="H166" s="5">
        <v>342.48</v>
      </c>
      <c r="I166" s="5">
        <v>369.4</v>
      </c>
      <c r="J166" s="5">
        <v>329.58</v>
      </c>
      <c r="K166" s="5">
        <v>364.7</v>
      </c>
      <c r="L166" s="5">
        <v>367.39000000000004</v>
      </c>
      <c r="M166" s="5">
        <v>308.64</v>
      </c>
      <c r="N166" s="5">
        <v>283.5</v>
      </c>
      <c r="O166" s="21">
        <v>4175.57</v>
      </c>
    </row>
    <row r="167" spans="1:15" x14ac:dyDescent="0.2">
      <c r="B167" s="2" t="s">
        <v>373</v>
      </c>
      <c r="C167" s="7">
        <v>34.53</v>
      </c>
      <c r="D167" s="7">
        <v>33.880000000000003</v>
      </c>
      <c r="E167" s="7">
        <v>48.06</v>
      </c>
      <c r="F167" s="7">
        <v>38.04</v>
      </c>
      <c r="G167" s="7">
        <v>39.520000000000003</v>
      </c>
      <c r="H167" s="7">
        <v>38.76</v>
      </c>
      <c r="I167" s="7">
        <v>44.45</v>
      </c>
      <c r="J167" s="7">
        <v>42.17</v>
      </c>
      <c r="K167" s="7">
        <v>39.36</v>
      </c>
      <c r="L167" s="7">
        <v>45.15</v>
      </c>
      <c r="M167" s="7">
        <v>36.64</v>
      </c>
      <c r="N167" s="7">
        <v>33.17</v>
      </c>
      <c r="O167" s="22">
        <v>473.73</v>
      </c>
    </row>
    <row r="168" spans="1:15" x14ac:dyDescent="0.2">
      <c r="B168" s="2" t="s">
        <v>374</v>
      </c>
      <c r="C168" s="7">
        <v>3.51</v>
      </c>
      <c r="D168" s="7">
        <v>3.54</v>
      </c>
      <c r="E168" s="7">
        <v>4.09</v>
      </c>
      <c r="F168" s="7">
        <v>4.28</v>
      </c>
      <c r="G168" s="7">
        <v>4.6399999999999997</v>
      </c>
      <c r="H168" s="7">
        <v>4.4000000000000004</v>
      </c>
      <c r="I168" s="7">
        <v>4.1399999999999997</v>
      </c>
      <c r="J168" s="7">
        <v>4.18</v>
      </c>
      <c r="K168" s="7">
        <v>3.4</v>
      </c>
      <c r="L168" s="7">
        <v>4.32</v>
      </c>
      <c r="M168" s="7">
        <v>4.72</v>
      </c>
      <c r="N168" s="7">
        <v>2.82</v>
      </c>
      <c r="O168" s="22">
        <v>48.04</v>
      </c>
    </row>
    <row r="169" spans="1:15" x14ac:dyDescent="0.2">
      <c r="B169" s="2" t="s">
        <v>375</v>
      </c>
      <c r="C169" s="7">
        <v>39.700000000000003</v>
      </c>
      <c r="D169" s="7">
        <v>45.33</v>
      </c>
      <c r="E169" s="7">
        <v>45.96</v>
      </c>
      <c r="F169" s="7">
        <v>36.75</v>
      </c>
      <c r="G169" s="7">
        <v>43.98</v>
      </c>
      <c r="H169" s="7">
        <v>35.770000000000003</v>
      </c>
      <c r="I169" s="7">
        <v>40.700000000000003</v>
      </c>
      <c r="J169" s="7">
        <v>219.89</v>
      </c>
      <c r="K169" s="7">
        <v>51.06</v>
      </c>
      <c r="L169" s="7">
        <v>57.73</v>
      </c>
      <c r="M169" s="7">
        <v>26.36</v>
      </c>
      <c r="N169" s="7">
        <v>24.18</v>
      </c>
      <c r="O169" s="22">
        <v>667.41</v>
      </c>
    </row>
    <row r="170" spans="1:15" x14ac:dyDescent="0.2">
      <c r="B170" s="2" t="s">
        <v>376</v>
      </c>
      <c r="C170" s="7">
        <v>233</v>
      </c>
      <c r="D170" s="7">
        <v>226.54</v>
      </c>
      <c r="E170" s="7">
        <v>271.39999999999998</v>
      </c>
      <c r="F170" s="7">
        <v>223.21</v>
      </c>
      <c r="G170" s="7">
        <v>262.19</v>
      </c>
      <c r="H170" s="7">
        <v>235.19</v>
      </c>
      <c r="I170" s="7">
        <v>248.78</v>
      </c>
      <c r="J170" s="7">
        <v>37.46</v>
      </c>
      <c r="K170" s="7">
        <v>234.76</v>
      </c>
      <c r="L170" s="7">
        <v>230.15</v>
      </c>
      <c r="M170" s="7">
        <v>209.47</v>
      </c>
      <c r="N170" s="7">
        <v>195.31</v>
      </c>
      <c r="O170" s="22">
        <v>2607.4599999999996</v>
      </c>
    </row>
    <row r="171" spans="1:15" x14ac:dyDescent="0.2">
      <c r="B171" s="2" t="s">
        <v>378</v>
      </c>
      <c r="C171" s="7">
        <v>29.93</v>
      </c>
      <c r="D171" s="7">
        <v>33.33</v>
      </c>
      <c r="E171" s="7">
        <v>36.69</v>
      </c>
      <c r="F171" s="7">
        <v>32.729999999999997</v>
      </c>
      <c r="G171" s="7">
        <v>35.049999999999997</v>
      </c>
      <c r="H171" s="7">
        <v>28.35</v>
      </c>
      <c r="I171" s="7">
        <v>31.32</v>
      </c>
      <c r="J171" s="7">
        <v>25.87</v>
      </c>
      <c r="K171" s="7">
        <v>36.119999999999997</v>
      </c>
      <c r="L171" s="7">
        <v>30.04</v>
      </c>
      <c r="M171" s="7">
        <v>31.45</v>
      </c>
      <c r="N171" s="7">
        <v>28.02</v>
      </c>
      <c r="O171" s="22">
        <v>378.89999999999992</v>
      </c>
    </row>
    <row r="172" spans="1:15" x14ac:dyDescent="0.2">
      <c r="B172" s="2" t="s">
        <v>379</v>
      </c>
      <c r="C172" s="7">
        <v>0</v>
      </c>
      <c r="D172" s="7">
        <v>0</v>
      </c>
      <c r="E172" s="7">
        <v>0</v>
      </c>
      <c r="F172" s="7">
        <v>0</v>
      </c>
      <c r="G172" s="7">
        <v>0</v>
      </c>
      <c r="H172" s="7">
        <v>0.01</v>
      </c>
      <c r="I172" s="7">
        <v>0.01</v>
      </c>
      <c r="J172" s="7">
        <v>0.01</v>
      </c>
      <c r="K172" s="7">
        <v>0</v>
      </c>
      <c r="L172" s="7">
        <v>0</v>
      </c>
      <c r="M172" s="7">
        <v>0</v>
      </c>
      <c r="N172" s="7">
        <v>0</v>
      </c>
      <c r="O172" s="22">
        <v>0.03</v>
      </c>
    </row>
    <row r="173" spans="1:15" ht="12.75" customHeight="1" x14ac:dyDescent="0.25">
      <c r="A173" s="24"/>
      <c r="B173" s="24"/>
      <c r="C173" s="24"/>
      <c r="D173" s="24"/>
      <c r="E173" s="24"/>
      <c r="F173" s="24"/>
      <c r="G173" s="24"/>
      <c r="H173" s="24"/>
      <c r="I173" s="24"/>
      <c r="J173" s="24"/>
      <c r="K173" s="24"/>
      <c r="L173" s="24"/>
      <c r="M173" s="24"/>
      <c r="N173" s="24"/>
      <c r="O173" s="24"/>
    </row>
    <row r="174" spans="1:15" s="4" customFormat="1" ht="15" x14ac:dyDescent="0.25">
      <c r="A174" s="3" t="s">
        <v>182</v>
      </c>
      <c r="C174" s="5">
        <v>104.04000000000002</v>
      </c>
      <c r="D174" s="5">
        <v>15.019999999999998</v>
      </c>
      <c r="E174" s="5">
        <v>25.43</v>
      </c>
      <c r="F174" s="5">
        <v>8.3699999999999992</v>
      </c>
      <c r="G174" s="5">
        <v>18.828830000000004</v>
      </c>
      <c r="H174" s="5">
        <v>103.92000000000004</v>
      </c>
      <c r="I174" s="5">
        <v>199.75</v>
      </c>
      <c r="J174" s="5">
        <v>9.2299999999999986</v>
      </c>
      <c r="K174" s="5">
        <v>14.630000000000003</v>
      </c>
      <c r="L174" s="5">
        <v>6.8499999999999988</v>
      </c>
      <c r="M174" s="5">
        <v>96.210000000000036</v>
      </c>
      <c r="N174" s="5">
        <v>125.03000000000003</v>
      </c>
      <c r="O174" s="21">
        <v>727.30883000000017</v>
      </c>
    </row>
    <row r="175" spans="1:15" x14ac:dyDescent="0.2">
      <c r="B175" s="2" t="s">
        <v>380</v>
      </c>
      <c r="C175" s="7">
        <v>0.5</v>
      </c>
      <c r="D175" s="7">
        <v>0.49</v>
      </c>
      <c r="E175" s="7">
        <v>0.75</v>
      </c>
      <c r="F175" s="7">
        <v>2.06</v>
      </c>
      <c r="G175" s="7">
        <v>2.92</v>
      </c>
      <c r="H175" s="7">
        <v>1.4</v>
      </c>
      <c r="I175" s="7">
        <v>1.06</v>
      </c>
      <c r="J175" s="7">
        <v>1.38</v>
      </c>
      <c r="K175" s="7">
        <v>0.81</v>
      </c>
      <c r="L175" s="7">
        <v>0.37</v>
      </c>
      <c r="M175" s="7">
        <v>0.87</v>
      </c>
      <c r="N175" s="7">
        <v>1.39</v>
      </c>
      <c r="O175" s="22">
        <v>13.999999999999998</v>
      </c>
    </row>
    <row r="176" spans="1:15" x14ac:dyDescent="0.2">
      <c r="B176" s="2" t="s">
        <v>381</v>
      </c>
      <c r="C176" s="7">
        <v>3.69</v>
      </c>
      <c r="D176" s="7">
        <v>2.35</v>
      </c>
      <c r="E176" s="7">
        <v>4.12</v>
      </c>
      <c r="F176" s="7">
        <v>1.58</v>
      </c>
      <c r="G176" s="7">
        <v>1.76</v>
      </c>
      <c r="H176" s="7">
        <v>1.78</v>
      </c>
      <c r="I176" s="7">
        <v>2.57</v>
      </c>
      <c r="J176" s="7">
        <v>3.38</v>
      </c>
      <c r="K176" s="7">
        <v>2.46</v>
      </c>
      <c r="L176" s="7">
        <v>2.0699999999999998</v>
      </c>
      <c r="M176" s="7">
        <v>2.25</v>
      </c>
      <c r="N176" s="7">
        <v>1.24</v>
      </c>
      <c r="O176" s="22">
        <v>29.249999999999996</v>
      </c>
    </row>
    <row r="177" spans="2:20" x14ac:dyDescent="0.2">
      <c r="B177" s="2" t="s">
        <v>383</v>
      </c>
      <c r="C177" s="7">
        <v>90.73</v>
      </c>
      <c r="D177" s="7">
        <v>6.2</v>
      </c>
      <c r="E177" s="7">
        <v>2.65</v>
      </c>
      <c r="F177" s="7">
        <v>0</v>
      </c>
      <c r="G177" s="7">
        <v>8.16</v>
      </c>
      <c r="H177" s="7">
        <v>87.31</v>
      </c>
      <c r="I177" s="7">
        <v>28.01</v>
      </c>
      <c r="J177" s="7">
        <v>0</v>
      </c>
      <c r="K177" s="7">
        <v>2.02</v>
      </c>
      <c r="L177" s="7">
        <v>0</v>
      </c>
      <c r="M177" s="7">
        <v>87.66</v>
      </c>
      <c r="N177" s="7">
        <v>117.33</v>
      </c>
      <c r="O177" s="22">
        <v>430.07</v>
      </c>
    </row>
    <row r="178" spans="2:20" x14ac:dyDescent="0.2">
      <c r="B178" s="2" t="s">
        <v>385</v>
      </c>
      <c r="C178" s="7">
        <v>0.01</v>
      </c>
      <c r="D178" s="7">
        <v>0</v>
      </c>
      <c r="E178" s="7">
        <v>0.01</v>
      </c>
      <c r="F178" s="7">
        <v>0.02</v>
      </c>
      <c r="G178" s="7">
        <v>0.01</v>
      </c>
      <c r="H178" s="7">
        <v>0</v>
      </c>
      <c r="I178" s="7">
        <v>0.01</v>
      </c>
      <c r="J178" s="7">
        <v>0</v>
      </c>
      <c r="K178" s="7">
        <v>0.01</v>
      </c>
      <c r="L178" s="7">
        <v>0.01</v>
      </c>
      <c r="M178" s="7">
        <v>0</v>
      </c>
      <c r="N178" s="7">
        <v>0</v>
      </c>
      <c r="O178" s="22">
        <v>0.08</v>
      </c>
    </row>
    <row r="179" spans="2:20" x14ac:dyDescent="0.2">
      <c r="B179" s="2" t="s">
        <v>452</v>
      </c>
      <c r="C179" s="7">
        <v>0</v>
      </c>
      <c r="D179" s="7">
        <v>0.01</v>
      </c>
      <c r="E179" s="7">
        <v>0</v>
      </c>
      <c r="F179" s="2">
        <v>0.04</v>
      </c>
      <c r="G179" s="7">
        <v>0</v>
      </c>
      <c r="H179" s="7">
        <v>0</v>
      </c>
      <c r="I179" s="7">
        <v>0</v>
      </c>
      <c r="J179" s="7">
        <v>0</v>
      </c>
      <c r="K179" s="7">
        <v>0</v>
      </c>
      <c r="L179" s="7">
        <v>0</v>
      </c>
      <c r="M179" s="7">
        <v>0</v>
      </c>
      <c r="N179" s="7">
        <v>0</v>
      </c>
      <c r="O179" s="22">
        <v>0.05</v>
      </c>
      <c r="T179" s="26"/>
    </row>
    <row r="180" spans="2:20" x14ac:dyDescent="0.2">
      <c r="B180" s="2" t="s">
        <v>388</v>
      </c>
      <c r="C180" s="7">
        <v>4.68</v>
      </c>
      <c r="D180" s="7">
        <v>4.32</v>
      </c>
      <c r="E180" s="7">
        <v>3.56</v>
      </c>
      <c r="F180" s="7">
        <v>3.39</v>
      </c>
      <c r="G180" s="7">
        <v>3.88</v>
      </c>
      <c r="H180" s="7">
        <v>7.03</v>
      </c>
      <c r="I180" s="7">
        <v>6.65</v>
      </c>
      <c r="J180" s="7">
        <v>2.87</v>
      </c>
      <c r="K180" s="7">
        <v>0</v>
      </c>
      <c r="L180" s="7">
        <v>2.42</v>
      </c>
      <c r="M180" s="7">
        <v>3.75</v>
      </c>
      <c r="N180" s="7">
        <v>3.29</v>
      </c>
      <c r="O180" s="22">
        <v>45.84</v>
      </c>
    </row>
    <row r="181" spans="2:20" x14ac:dyDescent="0.2">
      <c r="B181" s="2" t="s">
        <v>441</v>
      </c>
      <c r="C181" s="7">
        <v>0.04</v>
      </c>
      <c r="D181" s="7">
        <v>0.04</v>
      </c>
      <c r="E181" s="7">
        <v>0</v>
      </c>
      <c r="F181" s="7">
        <v>0.15</v>
      </c>
      <c r="G181" s="7">
        <v>0.8</v>
      </c>
      <c r="H181" s="7">
        <v>0.04</v>
      </c>
      <c r="I181" s="7">
        <v>0.14000000000000001</v>
      </c>
      <c r="J181" s="7">
        <v>7.0000000000000007E-2</v>
      </c>
      <c r="K181" s="7">
        <v>3.02</v>
      </c>
      <c r="L181" s="7">
        <v>0.38</v>
      </c>
      <c r="M181" s="7">
        <v>0.04</v>
      </c>
      <c r="N181" s="7">
        <v>0.04</v>
      </c>
      <c r="O181" s="22">
        <v>4.76</v>
      </c>
    </row>
    <row r="182" spans="2:20" x14ac:dyDescent="0.2">
      <c r="B182" s="2" t="s">
        <v>453</v>
      </c>
      <c r="C182" s="7">
        <v>0</v>
      </c>
      <c r="D182" s="7">
        <v>0</v>
      </c>
      <c r="E182" s="7">
        <v>0</v>
      </c>
      <c r="F182" s="7">
        <v>0</v>
      </c>
      <c r="G182" s="7">
        <v>0</v>
      </c>
      <c r="H182" s="7">
        <v>4.0599999999999996</v>
      </c>
      <c r="I182" s="7">
        <v>0</v>
      </c>
      <c r="J182" s="7">
        <v>0</v>
      </c>
      <c r="K182" s="7">
        <v>0</v>
      </c>
      <c r="L182" s="7">
        <v>0</v>
      </c>
      <c r="M182" s="7">
        <v>0</v>
      </c>
      <c r="N182" s="7">
        <v>0</v>
      </c>
      <c r="O182" s="22">
        <v>4.0599999999999996</v>
      </c>
    </row>
    <row r="183" spans="2:20" x14ac:dyDescent="0.2">
      <c r="B183" s="2" t="s">
        <v>454</v>
      </c>
      <c r="C183" s="7">
        <v>0</v>
      </c>
      <c r="D183" s="7">
        <v>0</v>
      </c>
      <c r="E183" s="7">
        <v>0</v>
      </c>
      <c r="F183" s="7">
        <v>0</v>
      </c>
      <c r="G183" s="7">
        <v>0</v>
      </c>
      <c r="H183" s="7">
        <v>0</v>
      </c>
      <c r="I183" s="7">
        <v>157.96</v>
      </c>
      <c r="J183" s="7">
        <v>0</v>
      </c>
      <c r="K183" s="7">
        <v>0</v>
      </c>
      <c r="L183" s="7">
        <v>0</v>
      </c>
      <c r="M183" s="7">
        <v>0</v>
      </c>
      <c r="N183" s="7">
        <v>0</v>
      </c>
      <c r="O183" s="22">
        <v>157.96</v>
      </c>
    </row>
    <row r="184" spans="2:20" x14ac:dyDescent="0.2">
      <c r="B184" s="2" t="s">
        <v>392</v>
      </c>
      <c r="C184" s="7">
        <v>0</v>
      </c>
      <c r="D184" s="7">
        <v>0</v>
      </c>
      <c r="E184" s="7">
        <v>0.01</v>
      </c>
      <c r="F184" s="7">
        <v>0</v>
      </c>
      <c r="G184" s="7">
        <v>0</v>
      </c>
      <c r="H184" s="7">
        <v>0</v>
      </c>
      <c r="I184" s="7">
        <v>0</v>
      </c>
      <c r="J184" s="7">
        <v>0</v>
      </c>
      <c r="K184" s="7">
        <v>0</v>
      </c>
      <c r="L184" s="7">
        <v>0</v>
      </c>
      <c r="M184" s="7">
        <v>0</v>
      </c>
      <c r="N184" s="7">
        <v>0</v>
      </c>
      <c r="O184" s="22">
        <v>0.01</v>
      </c>
    </row>
    <row r="185" spans="2:20" x14ac:dyDescent="0.2">
      <c r="B185" s="2" t="s">
        <v>389</v>
      </c>
      <c r="C185" s="7">
        <v>0</v>
      </c>
      <c r="D185" s="7">
        <v>0</v>
      </c>
      <c r="E185" s="7">
        <v>0</v>
      </c>
      <c r="F185" s="7">
        <v>0</v>
      </c>
      <c r="G185" s="7">
        <v>0</v>
      </c>
      <c r="H185" s="7">
        <v>0</v>
      </c>
      <c r="I185" s="7">
        <v>0</v>
      </c>
      <c r="J185" s="7">
        <v>0</v>
      </c>
      <c r="K185" s="7">
        <v>0</v>
      </c>
      <c r="L185" s="7">
        <v>0</v>
      </c>
      <c r="M185" s="7">
        <v>0</v>
      </c>
      <c r="N185" s="7">
        <v>0.1</v>
      </c>
      <c r="O185" s="22">
        <v>0.1</v>
      </c>
    </row>
    <row r="186" spans="2:20" x14ac:dyDescent="0.2">
      <c r="B186" s="2" t="s">
        <v>455</v>
      </c>
      <c r="C186" s="7">
        <v>0</v>
      </c>
      <c r="D186" s="7">
        <v>0</v>
      </c>
      <c r="E186" s="7">
        <v>0</v>
      </c>
      <c r="F186" s="7">
        <v>0</v>
      </c>
      <c r="G186" s="7">
        <v>0</v>
      </c>
      <c r="H186" s="7">
        <v>0</v>
      </c>
      <c r="I186" s="7">
        <v>0</v>
      </c>
      <c r="J186" s="7">
        <v>0</v>
      </c>
      <c r="K186" s="7">
        <v>0</v>
      </c>
      <c r="L186" s="7">
        <v>0</v>
      </c>
      <c r="M186" s="7">
        <v>0</v>
      </c>
      <c r="N186" s="7">
        <v>0.23</v>
      </c>
      <c r="O186" s="22">
        <v>0.23</v>
      </c>
    </row>
    <row r="187" spans="2:20" x14ac:dyDescent="0.2">
      <c r="B187" s="2" t="s">
        <v>393</v>
      </c>
      <c r="C187" s="7">
        <v>0.52</v>
      </c>
      <c r="D187" s="7">
        <v>0.05</v>
      </c>
      <c r="E187" s="7">
        <v>0.11</v>
      </c>
      <c r="F187" s="7">
        <v>0.06</v>
      </c>
      <c r="G187" s="7">
        <v>0.06</v>
      </c>
      <c r="H187" s="7">
        <v>0.04</v>
      </c>
      <c r="I187" s="7">
        <v>0.22</v>
      </c>
      <c r="J187" s="7">
        <v>0.16</v>
      </c>
      <c r="K187" s="7">
        <v>0.15</v>
      </c>
      <c r="L187" s="7">
        <v>0.09</v>
      </c>
      <c r="M187" s="7">
        <v>0.11</v>
      </c>
      <c r="N187" s="7">
        <v>0.04</v>
      </c>
      <c r="O187" s="22">
        <v>1.61</v>
      </c>
    </row>
    <row r="188" spans="2:20" x14ac:dyDescent="0.2">
      <c r="B188" s="2" t="s">
        <v>394</v>
      </c>
      <c r="C188" s="7">
        <v>0.11</v>
      </c>
      <c r="D188" s="7">
        <v>0.04</v>
      </c>
      <c r="E188" s="7">
        <v>0.1</v>
      </c>
      <c r="F188" s="7">
        <v>0.06</v>
      </c>
      <c r="G188" s="7">
        <v>7.0000000000000007E-2</v>
      </c>
      <c r="H188" s="7">
        <v>0.17</v>
      </c>
      <c r="I188" s="7">
        <v>0.03</v>
      </c>
      <c r="J188" s="7">
        <v>0.13</v>
      </c>
      <c r="K188" s="7">
        <v>0.38</v>
      </c>
      <c r="L188" s="7">
        <v>0.05</v>
      </c>
      <c r="M188" s="7">
        <v>0.28999999999999998</v>
      </c>
      <c r="N188" s="7">
        <v>0.18</v>
      </c>
      <c r="O188" s="22">
        <v>1.61</v>
      </c>
    </row>
    <row r="189" spans="2:20" x14ac:dyDescent="0.2">
      <c r="B189" s="2" t="s">
        <v>456</v>
      </c>
      <c r="C189" s="7">
        <v>0</v>
      </c>
      <c r="D189" s="7">
        <v>0</v>
      </c>
      <c r="E189" s="7">
        <v>0</v>
      </c>
      <c r="F189" s="7">
        <v>0</v>
      </c>
      <c r="G189" s="7">
        <v>0</v>
      </c>
      <c r="H189" s="7">
        <v>0</v>
      </c>
      <c r="I189" s="7">
        <v>0.05</v>
      </c>
      <c r="J189" s="7">
        <v>0</v>
      </c>
      <c r="K189" s="7">
        <v>0</v>
      </c>
      <c r="L189" s="7">
        <v>0</v>
      </c>
      <c r="M189" s="7">
        <v>0</v>
      </c>
      <c r="N189" s="7">
        <v>0</v>
      </c>
      <c r="O189" s="22">
        <v>0.05</v>
      </c>
    </row>
    <row r="190" spans="2:20" x14ac:dyDescent="0.2">
      <c r="B190" s="2" t="s">
        <v>457</v>
      </c>
      <c r="C190" s="7">
        <v>0</v>
      </c>
      <c r="D190" s="7">
        <v>0</v>
      </c>
      <c r="E190" s="7">
        <v>0</v>
      </c>
      <c r="F190" s="7">
        <v>0</v>
      </c>
      <c r="G190" s="7">
        <v>0</v>
      </c>
      <c r="H190" s="7">
        <v>0</v>
      </c>
      <c r="I190" s="7">
        <v>0</v>
      </c>
      <c r="J190" s="7">
        <v>0</v>
      </c>
      <c r="K190" s="7">
        <v>0</v>
      </c>
      <c r="L190" s="7">
        <v>0</v>
      </c>
      <c r="M190" s="7">
        <v>0.04</v>
      </c>
      <c r="N190" s="7">
        <v>0</v>
      </c>
      <c r="O190" s="22">
        <v>0.04</v>
      </c>
    </row>
    <row r="191" spans="2:20" x14ac:dyDescent="0.2">
      <c r="B191" s="2" t="s">
        <v>458</v>
      </c>
      <c r="C191" s="7">
        <v>0.01</v>
      </c>
      <c r="D191" s="7">
        <v>0</v>
      </c>
      <c r="E191" s="7">
        <v>0.01</v>
      </c>
      <c r="F191" s="7">
        <v>0.02</v>
      </c>
      <c r="G191" s="7">
        <v>0.06</v>
      </c>
      <c r="H191" s="7">
        <v>0.01</v>
      </c>
      <c r="I191" s="7">
        <v>0.01</v>
      </c>
      <c r="J191" s="7">
        <v>0</v>
      </c>
      <c r="K191" s="7">
        <v>0</v>
      </c>
      <c r="L191" s="7">
        <v>0</v>
      </c>
      <c r="M191" s="7">
        <v>0.01</v>
      </c>
      <c r="N191" s="7">
        <v>0</v>
      </c>
      <c r="O191" s="22">
        <v>0.13</v>
      </c>
    </row>
    <row r="192" spans="2:20" x14ac:dyDescent="0.2">
      <c r="B192" s="2" t="s">
        <v>395</v>
      </c>
      <c r="C192" s="7">
        <v>0.01</v>
      </c>
      <c r="D192" s="7">
        <v>0.01</v>
      </c>
      <c r="E192" s="7">
        <v>0.01</v>
      </c>
      <c r="F192" s="7">
        <v>0.12</v>
      </c>
      <c r="G192" s="7">
        <v>0.01</v>
      </c>
      <c r="H192" s="7">
        <v>0.01</v>
      </c>
      <c r="I192" s="7">
        <v>0</v>
      </c>
      <c r="J192" s="7">
        <v>0</v>
      </c>
      <c r="K192" s="7">
        <v>0.17</v>
      </c>
      <c r="L192" s="7">
        <v>0.02</v>
      </c>
      <c r="M192" s="7">
        <v>0.09</v>
      </c>
      <c r="N192" s="7">
        <v>0.2</v>
      </c>
      <c r="O192" s="22">
        <v>0.65000000000000013</v>
      </c>
    </row>
    <row r="193" spans="2:15" x14ac:dyDescent="0.2">
      <c r="B193" s="2" t="s">
        <v>399</v>
      </c>
      <c r="C193" s="7">
        <v>0.1</v>
      </c>
      <c r="D193" s="7">
        <v>0.1</v>
      </c>
      <c r="E193" s="7">
        <v>0.1</v>
      </c>
      <c r="F193" s="7">
        <v>0</v>
      </c>
      <c r="G193" s="7">
        <v>0</v>
      </c>
      <c r="H193" s="7">
        <v>0.05</v>
      </c>
      <c r="I193" s="7">
        <v>0.01</v>
      </c>
      <c r="J193" s="7">
        <v>0</v>
      </c>
      <c r="K193" s="7">
        <v>0</v>
      </c>
      <c r="L193" s="7">
        <v>0</v>
      </c>
      <c r="M193" s="7">
        <v>0</v>
      </c>
      <c r="N193" s="7">
        <v>0</v>
      </c>
      <c r="O193" s="22">
        <v>0.36000000000000004</v>
      </c>
    </row>
    <row r="194" spans="2:15" x14ac:dyDescent="0.2">
      <c r="B194" s="2" t="s">
        <v>401</v>
      </c>
      <c r="C194" s="7">
        <v>0</v>
      </c>
      <c r="D194" s="7">
        <v>0</v>
      </c>
      <c r="E194" s="7">
        <v>9.89</v>
      </c>
      <c r="F194" s="7">
        <v>0</v>
      </c>
      <c r="G194" s="7">
        <v>0</v>
      </c>
      <c r="H194" s="7">
        <v>0</v>
      </c>
      <c r="I194" s="7">
        <v>0.08</v>
      </c>
      <c r="J194" s="7">
        <v>0.12</v>
      </c>
      <c r="K194" s="7">
        <v>0</v>
      </c>
      <c r="L194" s="7">
        <v>0</v>
      </c>
      <c r="M194" s="7">
        <v>0</v>
      </c>
      <c r="N194" s="7">
        <v>0</v>
      </c>
      <c r="O194" s="22">
        <v>10.09</v>
      </c>
    </row>
    <row r="195" spans="2:15" x14ac:dyDescent="0.2">
      <c r="B195" s="2" t="s">
        <v>403</v>
      </c>
      <c r="C195" s="7">
        <v>0</v>
      </c>
      <c r="D195" s="7">
        <v>0.01</v>
      </c>
      <c r="E195" s="7">
        <v>0</v>
      </c>
      <c r="F195" s="7">
        <v>0</v>
      </c>
      <c r="G195" s="7">
        <v>0</v>
      </c>
      <c r="H195" s="7">
        <v>0.43</v>
      </c>
      <c r="I195" s="7">
        <v>0.01</v>
      </c>
      <c r="J195" s="7">
        <v>0</v>
      </c>
      <c r="K195" s="7">
        <v>0</v>
      </c>
      <c r="L195" s="7">
        <v>0</v>
      </c>
      <c r="M195" s="7">
        <v>0</v>
      </c>
      <c r="N195" s="7">
        <v>0</v>
      </c>
      <c r="O195" s="22">
        <v>0.45</v>
      </c>
    </row>
    <row r="196" spans="2:15" x14ac:dyDescent="0.2">
      <c r="B196" s="2" t="s">
        <v>459</v>
      </c>
      <c r="C196" s="7">
        <v>0</v>
      </c>
      <c r="D196" s="7">
        <v>0</v>
      </c>
      <c r="E196" s="7">
        <v>0</v>
      </c>
      <c r="F196" s="7">
        <v>0</v>
      </c>
      <c r="G196" s="7">
        <v>0</v>
      </c>
      <c r="H196" s="7">
        <v>0</v>
      </c>
      <c r="I196" s="7">
        <v>0</v>
      </c>
      <c r="J196" s="7">
        <v>0</v>
      </c>
      <c r="K196" s="7">
        <v>0</v>
      </c>
      <c r="L196" s="7">
        <v>0</v>
      </c>
      <c r="M196" s="7">
        <v>0.04</v>
      </c>
      <c r="N196" s="7">
        <v>0</v>
      </c>
      <c r="O196" s="22">
        <v>0.04</v>
      </c>
    </row>
    <row r="197" spans="2:15" x14ac:dyDescent="0.2">
      <c r="B197" s="2" t="s">
        <v>404</v>
      </c>
      <c r="C197" s="7">
        <v>0</v>
      </c>
      <c r="D197" s="7">
        <v>0</v>
      </c>
      <c r="E197" s="7">
        <v>0</v>
      </c>
      <c r="F197" s="7">
        <v>0</v>
      </c>
      <c r="G197" s="7">
        <v>0</v>
      </c>
      <c r="H197" s="7">
        <v>0</v>
      </c>
      <c r="I197" s="7">
        <v>0</v>
      </c>
      <c r="J197" s="7">
        <v>0</v>
      </c>
      <c r="K197" s="7">
        <v>0.01</v>
      </c>
      <c r="L197" s="7">
        <v>0</v>
      </c>
      <c r="M197" s="7">
        <v>0</v>
      </c>
      <c r="N197" s="7">
        <v>0</v>
      </c>
      <c r="O197" s="22">
        <v>0.01</v>
      </c>
    </row>
    <row r="198" spans="2:15" x14ac:dyDescent="0.2">
      <c r="B198" s="2" t="s">
        <v>407</v>
      </c>
      <c r="C198" s="7">
        <v>0.08</v>
      </c>
      <c r="D198" s="7">
        <v>0.01</v>
      </c>
      <c r="E198" s="7">
        <v>0.09</v>
      </c>
      <c r="F198" s="7">
        <v>0.05</v>
      </c>
      <c r="G198" s="7">
        <v>1.883E-2</v>
      </c>
      <c r="H198" s="7">
        <v>0.03</v>
      </c>
      <c r="I198" s="7">
        <v>0.03</v>
      </c>
      <c r="J198" s="7">
        <v>0.02</v>
      </c>
      <c r="K198" s="7">
        <v>0.05</v>
      </c>
      <c r="L198" s="7">
        <v>0.03</v>
      </c>
      <c r="M198" s="7">
        <v>0.17</v>
      </c>
      <c r="N198" s="7">
        <v>0.09</v>
      </c>
      <c r="O198" s="22">
        <v>0.66883000000000004</v>
      </c>
    </row>
    <row r="199" spans="2:15" x14ac:dyDescent="0.2">
      <c r="B199" s="2" t="s">
        <v>409</v>
      </c>
      <c r="C199" s="7">
        <v>0</v>
      </c>
      <c r="D199" s="7">
        <v>0</v>
      </c>
      <c r="E199" s="7">
        <v>0.01</v>
      </c>
      <c r="F199" s="7">
        <v>0</v>
      </c>
      <c r="G199" s="7">
        <v>0</v>
      </c>
      <c r="H199" s="7">
        <v>0.01</v>
      </c>
      <c r="I199" s="7">
        <v>0.01</v>
      </c>
      <c r="J199" s="7">
        <v>0</v>
      </c>
      <c r="K199" s="7">
        <v>0</v>
      </c>
      <c r="L199" s="7">
        <v>0</v>
      </c>
      <c r="M199" s="7">
        <v>0</v>
      </c>
      <c r="N199" s="7">
        <v>0</v>
      </c>
      <c r="O199" s="22">
        <v>0.03</v>
      </c>
    </row>
    <row r="200" spans="2:15" x14ac:dyDescent="0.2">
      <c r="B200" s="2" t="s">
        <v>410</v>
      </c>
      <c r="C200" s="7">
        <v>3.56</v>
      </c>
      <c r="D200" s="7">
        <v>1.39</v>
      </c>
      <c r="E200" s="7">
        <v>4.01</v>
      </c>
      <c r="F200" s="7">
        <v>0.82</v>
      </c>
      <c r="G200" s="7">
        <v>1.08</v>
      </c>
      <c r="H200" s="7">
        <v>1.55</v>
      </c>
      <c r="I200" s="7">
        <v>2.9</v>
      </c>
      <c r="J200" s="2">
        <v>1.1000000000000001</v>
      </c>
      <c r="K200" s="7">
        <v>5.55</v>
      </c>
      <c r="L200" s="7">
        <v>1.41</v>
      </c>
      <c r="M200" s="7">
        <v>0.89</v>
      </c>
      <c r="N200" s="7">
        <v>0.9</v>
      </c>
      <c r="O200" s="22">
        <v>25.160000000000004</v>
      </c>
    </row>
    <row r="201" spans="2:15" x14ac:dyDescent="0.2">
      <c r="C201" s="7"/>
      <c r="D201" s="7"/>
      <c r="E201" s="7"/>
      <c r="F201" s="7"/>
      <c r="G201" s="7"/>
      <c r="H201" s="7"/>
      <c r="I201" s="7"/>
      <c r="K201" s="7"/>
      <c r="L201" s="7"/>
      <c r="M201" s="7"/>
      <c r="N201" s="7"/>
      <c r="O201" s="22"/>
    </row>
    <row r="202" spans="2:15" ht="15" x14ac:dyDescent="0.25">
      <c r="B202" s="1" t="s">
        <v>222</v>
      </c>
      <c r="C202" s="23">
        <v>2052.9</v>
      </c>
      <c r="D202" s="23">
        <v>2223.5</v>
      </c>
      <c r="E202" s="23">
        <v>2656.5539999999992</v>
      </c>
      <c r="F202" s="23">
        <v>1674.79</v>
      </c>
      <c r="G202" s="23">
        <v>1824.8011660300003</v>
      </c>
      <c r="H202" s="23">
        <v>1840.3600000000006</v>
      </c>
      <c r="I202" s="23">
        <v>2107.66</v>
      </c>
      <c r="J202" s="23">
        <v>2430.7099999999996</v>
      </c>
      <c r="K202" s="23">
        <v>1896.6000000000008</v>
      </c>
      <c r="L202" s="23">
        <v>3789.78</v>
      </c>
      <c r="M202" s="23">
        <v>1818.19</v>
      </c>
      <c r="N202" s="23">
        <v>1731.9499999999994</v>
      </c>
      <c r="O202" s="23">
        <v>26047.795166030006</v>
      </c>
    </row>
    <row r="203" spans="2:15" x14ac:dyDescent="0.2">
      <c r="O203" s="22"/>
    </row>
    <row r="204" spans="2:15" x14ac:dyDescent="0.2">
      <c r="C204" s="27"/>
      <c r="D204" s="27"/>
      <c r="E204" s="27"/>
      <c r="F204" s="27"/>
      <c r="G204" s="27"/>
      <c r="H204" s="27"/>
      <c r="I204" s="27"/>
      <c r="J204" s="27"/>
      <c r="K204" s="27"/>
      <c r="L204" s="22"/>
      <c r="M204" s="27"/>
      <c r="N204" s="22"/>
      <c r="O204" s="27"/>
    </row>
    <row r="207" spans="2:15" x14ac:dyDescent="0.2">
      <c r="J207" s="25"/>
    </row>
  </sheetData>
  <mergeCells count="2">
    <mergeCell ref="A3:C3"/>
    <mergeCell ref="A6:B6"/>
  </mergeCells>
  <printOptions horizontalCentered="1"/>
  <pageMargins left="0" right="0" top="0.70866141732283472" bottom="0.59055118110236227" header="0.31496062992125984" footer="0.31496062992125984"/>
  <pageSetup paperSize="9" scale="50" orientation="portrait" r:id="rId1"/>
  <headerFooter>
    <oddHeader>Page &amp;P</oddHeader>
  </headerFooter>
  <rowBreaks count="2" manualBreakCount="2">
    <brk id="94" max="14" man="1"/>
    <brk id="18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47"/>
  <sheetViews>
    <sheetView zoomScaleNormal="100" workbookViewId="0">
      <pane xSplit="3" ySplit="8" topLeftCell="D9" activePane="bottomRight" state="frozen"/>
      <selection pane="topRight" activeCell="E1" sqref="E1"/>
      <selection pane="bottomLeft" activeCell="A9" sqref="A9"/>
      <selection pane="bottomRight" activeCell="Q30" sqref="Q30"/>
    </sheetView>
  </sheetViews>
  <sheetFormatPr defaultColWidth="8.85546875" defaultRowHeight="14.25" x14ac:dyDescent="0.2"/>
  <cols>
    <col min="1" max="1" width="1.7109375" style="2" customWidth="1"/>
    <col min="2" max="2" width="52.28515625" style="2" customWidth="1"/>
    <col min="3" max="3" width="0.140625" style="2" customWidth="1"/>
    <col min="4" max="16" width="11.42578125" style="2" customWidth="1"/>
    <col min="17" max="256" width="9.140625" style="2"/>
    <col min="257" max="257" width="1.7109375" style="2" customWidth="1"/>
    <col min="258" max="258" width="42" style="2" customWidth="1"/>
    <col min="259" max="259" width="0.140625" style="2" customWidth="1"/>
    <col min="260" max="270" width="8.140625" style="2" bestFit="1" customWidth="1"/>
    <col min="271" max="271" width="8.140625" style="2" customWidth="1"/>
    <col min="272" max="272" width="9.140625" style="2" customWidth="1"/>
    <col min="273" max="512" width="9.140625" style="2"/>
    <col min="513" max="513" width="1.7109375" style="2" customWidth="1"/>
    <col min="514" max="514" width="42" style="2" customWidth="1"/>
    <col min="515" max="515" width="0.140625" style="2" customWidth="1"/>
    <col min="516" max="526" width="8.140625" style="2" bestFit="1" customWidth="1"/>
    <col min="527" max="527" width="8.140625" style="2" customWidth="1"/>
    <col min="528" max="528" width="9.140625" style="2" customWidth="1"/>
    <col min="529" max="768" width="9.140625" style="2"/>
    <col min="769" max="769" width="1.7109375" style="2" customWidth="1"/>
    <col min="770" max="770" width="42" style="2" customWidth="1"/>
    <col min="771" max="771" width="0.140625" style="2" customWidth="1"/>
    <col min="772" max="782" width="8.140625" style="2" bestFit="1" customWidth="1"/>
    <col min="783" max="783" width="8.140625" style="2" customWidth="1"/>
    <col min="784" max="784" width="9.140625" style="2" customWidth="1"/>
    <col min="785" max="1024" width="9.140625" style="2"/>
    <col min="1025" max="1025" width="1.7109375" style="2" customWidth="1"/>
    <col min="1026" max="1026" width="42" style="2" customWidth="1"/>
    <col min="1027" max="1027" width="0.140625" style="2" customWidth="1"/>
    <col min="1028" max="1038" width="8.140625" style="2" bestFit="1" customWidth="1"/>
    <col min="1039" max="1039" width="8.140625" style="2" customWidth="1"/>
    <col min="1040" max="1040" width="9.140625" style="2" customWidth="1"/>
    <col min="1041" max="1280" width="9.140625" style="2"/>
    <col min="1281" max="1281" width="1.7109375" style="2" customWidth="1"/>
    <col min="1282" max="1282" width="42" style="2" customWidth="1"/>
    <col min="1283" max="1283" width="0.140625" style="2" customWidth="1"/>
    <col min="1284" max="1294" width="8.140625" style="2" bestFit="1" customWidth="1"/>
    <col min="1295" max="1295" width="8.140625" style="2" customWidth="1"/>
    <col min="1296" max="1296" width="9.140625" style="2" customWidth="1"/>
    <col min="1297" max="1536" width="9.140625" style="2"/>
    <col min="1537" max="1537" width="1.7109375" style="2" customWidth="1"/>
    <col min="1538" max="1538" width="42" style="2" customWidth="1"/>
    <col min="1539" max="1539" width="0.140625" style="2" customWidth="1"/>
    <col min="1540" max="1550" width="8.140625" style="2" bestFit="1" customWidth="1"/>
    <col min="1551" max="1551" width="8.140625" style="2" customWidth="1"/>
    <col min="1552" max="1552" width="9.140625" style="2" customWidth="1"/>
    <col min="1553" max="1792" width="9.140625" style="2"/>
    <col min="1793" max="1793" width="1.7109375" style="2" customWidth="1"/>
    <col min="1794" max="1794" width="42" style="2" customWidth="1"/>
    <col min="1795" max="1795" width="0.140625" style="2" customWidth="1"/>
    <col min="1796" max="1806" width="8.140625" style="2" bestFit="1" customWidth="1"/>
    <col min="1807" max="1807" width="8.140625" style="2" customWidth="1"/>
    <col min="1808" max="1808" width="9.140625" style="2" customWidth="1"/>
    <col min="1809" max="2048" width="9.140625" style="2"/>
    <col min="2049" max="2049" width="1.7109375" style="2" customWidth="1"/>
    <col min="2050" max="2050" width="42" style="2" customWidth="1"/>
    <col min="2051" max="2051" width="0.140625" style="2" customWidth="1"/>
    <col min="2052" max="2062" width="8.140625" style="2" bestFit="1" customWidth="1"/>
    <col min="2063" max="2063" width="8.140625" style="2" customWidth="1"/>
    <col min="2064" max="2064" width="9.140625" style="2" customWidth="1"/>
    <col min="2065" max="2304" width="9.140625" style="2"/>
    <col min="2305" max="2305" width="1.7109375" style="2" customWidth="1"/>
    <col min="2306" max="2306" width="42" style="2" customWidth="1"/>
    <col min="2307" max="2307" width="0.140625" style="2" customWidth="1"/>
    <col min="2308" max="2318" width="8.140625" style="2" bestFit="1" customWidth="1"/>
    <col min="2319" max="2319" width="8.140625" style="2" customWidth="1"/>
    <col min="2320" max="2320" width="9.140625" style="2" customWidth="1"/>
    <col min="2321" max="2560" width="9.140625" style="2"/>
    <col min="2561" max="2561" width="1.7109375" style="2" customWidth="1"/>
    <col min="2562" max="2562" width="42" style="2" customWidth="1"/>
    <col min="2563" max="2563" width="0.140625" style="2" customWidth="1"/>
    <col min="2564" max="2574" width="8.140625" style="2" bestFit="1" customWidth="1"/>
    <col min="2575" max="2575" width="8.140625" style="2" customWidth="1"/>
    <col min="2576" max="2576" width="9.140625" style="2" customWidth="1"/>
    <col min="2577" max="2816" width="9.140625" style="2"/>
    <col min="2817" max="2817" width="1.7109375" style="2" customWidth="1"/>
    <col min="2818" max="2818" width="42" style="2" customWidth="1"/>
    <col min="2819" max="2819" width="0.140625" style="2" customWidth="1"/>
    <col min="2820" max="2830" width="8.140625" style="2" bestFit="1" customWidth="1"/>
    <col min="2831" max="2831" width="8.140625" style="2" customWidth="1"/>
    <col min="2832" max="2832" width="9.140625" style="2" customWidth="1"/>
    <col min="2833" max="3072" width="9.140625" style="2"/>
    <col min="3073" max="3073" width="1.7109375" style="2" customWidth="1"/>
    <col min="3074" max="3074" width="42" style="2" customWidth="1"/>
    <col min="3075" max="3075" width="0.140625" style="2" customWidth="1"/>
    <col min="3076" max="3086" width="8.140625" style="2" bestFit="1" customWidth="1"/>
    <col min="3087" max="3087" width="8.140625" style="2" customWidth="1"/>
    <col min="3088" max="3088" width="9.140625" style="2" customWidth="1"/>
    <col min="3089" max="3328" width="9.140625" style="2"/>
    <col min="3329" max="3329" width="1.7109375" style="2" customWidth="1"/>
    <col min="3330" max="3330" width="42" style="2" customWidth="1"/>
    <col min="3331" max="3331" width="0.140625" style="2" customWidth="1"/>
    <col min="3332" max="3342" width="8.140625" style="2" bestFit="1" customWidth="1"/>
    <col min="3343" max="3343" width="8.140625" style="2" customWidth="1"/>
    <col min="3344" max="3344" width="9.140625" style="2" customWidth="1"/>
    <col min="3345" max="3584" width="9.140625" style="2"/>
    <col min="3585" max="3585" width="1.7109375" style="2" customWidth="1"/>
    <col min="3586" max="3586" width="42" style="2" customWidth="1"/>
    <col min="3587" max="3587" width="0.140625" style="2" customWidth="1"/>
    <col min="3588" max="3598" width="8.140625" style="2" bestFit="1" customWidth="1"/>
    <col min="3599" max="3599" width="8.140625" style="2" customWidth="1"/>
    <col min="3600" max="3600" width="9.140625" style="2" customWidth="1"/>
    <col min="3601" max="3840" width="9.140625" style="2"/>
    <col min="3841" max="3841" width="1.7109375" style="2" customWidth="1"/>
    <col min="3842" max="3842" width="42" style="2" customWidth="1"/>
    <col min="3843" max="3843" width="0.140625" style="2" customWidth="1"/>
    <col min="3844" max="3854" width="8.140625" style="2" bestFit="1" customWidth="1"/>
    <col min="3855" max="3855" width="8.140625" style="2" customWidth="1"/>
    <col min="3856" max="3856" width="9.140625" style="2" customWidth="1"/>
    <col min="3857" max="4096" width="9.140625" style="2"/>
    <col min="4097" max="4097" width="1.7109375" style="2" customWidth="1"/>
    <col min="4098" max="4098" width="42" style="2" customWidth="1"/>
    <col min="4099" max="4099" width="0.140625" style="2" customWidth="1"/>
    <col min="4100" max="4110" width="8.140625" style="2" bestFit="1" customWidth="1"/>
    <col min="4111" max="4111" width="8.140625" style="2" customWidth="1"/>
    <col min="4112" max="4112" width="9.140625" style="2" customWidth="1"/>
    <col min="4113" max="4352" width="9.140625" style="2"/>
    <col min="4353" max="4353" width="1.7109375" style="2" customWidth="1"/>
    <col min="4354" max="4354" width="42" style="2" customWidth="1"/>
    <col min="4355" max="4355" width="0.140625" style="2" customWidth="1"/>
    <col min="4356" max="4366" width="8.140625" style="2" bestFit="1" customWidth="1"/>
    <col min="4367" max="4367" width="8.140625" style="2" customWidth="1"/>
    <col min="4368" max="4368" width="9.140625" style="2" customWidth="1"/>
    <col min="4369" max="4608" width="9.140625" style="2"/>
    <col min="4609" max="4609" width="1.7109375" style="2" customWidth="1"/>
    <col min="4610" max="4610" width="42" style="2" customWidth="1"/>
    <col min="4611" max="4611" width="0.140625" style="2" customWidth="1"/>
    <col min="4612" max="4622" width="8.140625" style="2" bestFit="1" customWidth="1"/>
    <col min="4623" max="4623" width="8.140625" style="2" customWidth="1"/>
    <col min="4624" max="4624" width="9.140625" style="2" customWidth="1"/>
    <col min="4625" max="4864" width="9.140625" style="2"/>
    <col min="4865" max="4865" width="1.7109375" style="2" customWidth="1"/>
    <col min="4866" max="4866" width="42" style="2" customWidth="1"/>
    <col min="4867" max="4867" width="0.140625" style="2" customWidth="1"/>
    <col min="4868" max="4878" width="8.140625" style="2" bestFit="1" customWidth="1"/>
    <col min="4879" max="4879" width="8.140625" style="2" customWidth="1"/>
    <col min="4880" max="4880" width="9.140625" style="2" customWidth="1"/>
    <col min="4881" max="5120" width="9.140625" style="2"/>
    <col min="5121" max="5121" width="1.7109375" style="2" customWidth="1"/>
    <col min="5122" max="5122" width="42" style="2" customWidth="1"/>
    <col min="5123" max="5123" width="0.140625" style="2" customWidth="1"/>
    <col min="5124" max="5134" width="8.140625" style="2" bestFit="1" customWidth="1"/>
    <col min="5135" max="5135" width="8.140625" style="2" customWidth="1"/>
    <col min="5136" max="5136" width="9.140625" style="2" customWidth="1"/>
    <col min="5137" max="5376" width="9.140625" style="2"/>
    <col min="5377" max="5377" width="1.7109375" style="2" customWidth="1"/>
    <col min="5378" max="5378" width="42" style="2" customWidth="1"/>
    <col min="5379" max="5379" width="0.140625" style="2" customWidth="1"/>
    <col min="5380" max="5390" width="8.140625" style="2" bestFit="1" customWidth="1"/>
    <col min="5391" max="5391" width="8.140625" style="2" customWidth="1"/>
    <col min="5392" max="5392" width="9.140625" style="2" customWidth="1"/>
    <col min="5393" max="5632" width="9.140625" style="2"/>
    <col min="5633" max="5633" width="1.7109375" style="2" customWidth="1"/>
    <col min="5634" max="5634" width="42" style="2" customWidth="1"/>
    <col min="5635" max="5635" width="0.140625" style="2" customWidth="1"/>
    <col min="5636" max="5646" width="8.140625" style="2" bestFit="1" customWidth="1"/>
    <col min="5647" max="5647" width="8.140625" style="2" customWidth="1"/>
    <col min="5648" max="5648" width="9.140625" style="2" customWidth="1"/>
    <col min="5649" max="5888" width="9.140625" style="2"/>
    <col min="5889" max="5889" width="1.7109375" style="2" customWidth="1"/>
    <col min="5890" max="5890" width="42" style="2" customWidth="1"/>
    <col min="5891" max="5891" width="0.140625" style="2" customWidth="1"/>
    <col min="5892" max="5902" width="8.140625" style="2" bestFit="1" customWidth="1"/>
    <col min="5903" max="5903" width="8.140625" style="2" customWidth="1"/>
    <col min="5904" max="5904" width="9.140625" style="2" customWidth="1"/>
    <col min="5905" max="6144" width="9.140625" style="2"/>
    <col min="6145" max="6145" width="1.7109375" style="2" customWidth="1"/>
    <col min="6146" max="6146" width="42" style="2" customWidth="1"/>
    <col min="6147" max="6147" width="0.140625" style="2" customWidth="1"/>
    <col min="6148" max="6158" width="8.140625" style="2" bestFit="1" customWidth="1"/>
    <col min="6159" max="6159" width="8.140625" style="2" customWidth="1"/>
    <col min="6160" max="6160" width="9.140625" style="2" customWidth="1"/>
    <col min="6161" max="6400" width="9.140625" style="2"/>
    <col min="6401" max="6401" width="1.7109375" style="2" customWidth="1"/>
    <col min="6402" max="6402" width="42" style="2" customWidth="1"/>
    <col min="6403" max="6403" width="0.140625" style="2" customWidth="1"/>
    <col min="6404" max="6414" width="8.140625" style="2" bestFit="1" customWidth="1"/>
    <col min="6415" max="6415" width="8.140625" style="2" customWidth="1"/>
    <col min="6416" max="6416" width="9.140625" style="2" customWidth="1"/>
    <col min="6417" max="6656" width="9.140625" style="2"/>
    <col min="6657" max="6657" width="1.7109375" style="2" customWidth="1"/>
    <col min="6658" max="6658" width="42" style="2" customWidth="1"/>
    <col min="6659" max="6659" width="0.140625" style="2" customWidth="1"/>
    <col min="6660" max="6670" width="8.140625" style="2" bestFit="1" customWidth="1"/>
    <col min="6671" max="6671" width="8.140625" style="2" customWidth="1"/>
    <col min="6672" max="6672" width="9.140625" style="2" customWidth="1"/>
    <col min="6673" max="6912" width="9.140625" style="2"/>
    <col min="6913" max="6913" width="1.7109375" style="2" customWidth="1"/>
    <col min="6914" max="6914" width="42" style="2" customWidth="1"/>
    <col min="6915" max="6915" width="0.140625" style="2" customWidth="1"/>
    <col min="6916" max="6926" width="8.140625" style="2" bestFit="1" customWidth="1"/>
    <col min="6927" max="6927" width="8.140625" style="2" customWidth="1"/>
    <col min="6928" max="6928" width="9.140625" style="2" customWidth="1"/>
    <col min="6929" max="7168" width="9.140625" style="2"/>
    <col min="7169" max="7169" width="1.7109375" style="2" customWidth="1"/>
    <col min="7170" max="7170" width="42" style="2" customWidth="1"/>
    <col min="7171" max="7171" width="0.140625" style="2" customWidth="1"/>
    <col min="7172" max="7182" width="8.140625" style="2" bestFit="1" customWidth="1"/>
    <col min="7183" max="7183" width="8.140625" style="2" customWidth="1"/>
    <col min="7184" max="7184" width="9.140625" style="2" customWidth="1"/>
    <col min="7185" max="7424" width="9.140625" style="2"/>
    <col min="7425" max="7425" width="1.7109375" style="2" customWidth="1"/>
    <col min="7426" max="7426" width="42" style="2" customWidth="1"/>
    <col min="7427" max="7427" width="0.140625" style="2" customWidth="1"/>
    <col min="7428" max="7438" width="8.140625" style="2" bestFit="1" customWidth="1"/>
    <col min="7439" max="7439" width="8.140625" style="2" customWidth="1"/>
    <col min="7440" max="7440" width="9.140625" style="2" customWidth="1"/>
    <col min="7441" max="7680" width="9.140625" style="2"/>
    <col min="7681" max="7681" width="1.7109375" style="2" customWidth="1"/>
    <col min="7682" max="7682" width="42" style="2" customWidth="1"/>
    <col min="7683" max="7683" width="0.140625" style="2" customWidth="1"/>
    <col min="7684" max="7694" width="8.140625" style="2" bestFit="1" customWidth="1"/>
    <col min="7695" max="7695" width="8.140625" style="2" customWidth="1"/>
    <col min="7696" max="7696" width="9.140625" style="2" customWidth="1"/>
    <col min="7697" max="7936" width="9.140625" style="2"/>
    <col min="7937" max="7937" width="1.7109375" style="2" customWidth="1"/>
    <col min="7938" max="7938" width="42" style="2" customWidth="1"/>
    <col min="7939" max="7939" width="0.140625" style="2" customWidth="1"/>
    <col min="7940" max="7950" width="8.140625" style="2" bestFit="1" customWidth="1"/>
    <col min="7951" max="7951" width="8.140625" style="2" customWidth="1"/>
    <col min="7952" max="7952" width="9.140625" style="2" customWidth="1"/>
    <col min="7953" max="8192" width="9.140625" style="2"/>
    <col min="8193" max="8193" width="1.7109375" style="2" customWidth="1"/>
    <col min="8194" max="8194" width="42" style="2" customWidth="1"/>
    <col min="8195" max="8195" width="0.140625" style="2" customWidth="1"/>
    <col min="8196" max="8206" width="8.140625" style="2" bestFit="1" customWidth="1"/>
    <col min="8207" max="8207" width="8.140625" style="2" customWidth="1"/>
    <col min="8208" max="8208" width="9.140625" style="2" customWidth="1"/>
    <col min="8209" max="8448" width="9.140625" style="2"/>
    <col min="8449" max="8449" width="1.7109375" style="2" customWidth="1"/>
    <col min="8450" max="8450" width="42" style="2" customWidth="1"/>
    <col min="8451" max="8451" width="0.140625" style="2" customWidth="1"/>
    <col min="8452" max="8462" width="8.140625" style="2" bestFit="1" customWidth="1"/>
    <col min="8463" max="8463" width="8.140625" style="2" customWidth="1"/>
    <col min="8464" max="8464" width="9.140625" style="2" customWidth="1"/>
    <col min="8465" max="8704" width="9.140625" style="2"/>
    <col min="8705" max="8705" width="1.7109375" style="2" customWidth="1"/>
    <col min="8706" max="8706" width="42" style="2" customWidth="1"/>
    <col min="8707" max="8707" width="0.140625" style="2" customWidth="1"/>
    <col min="8708" max="8718" width="8.140625" style="2" bestFit="1" customWidth="1"/>
    <col min="8719" max="8719" width="8.140625" style="2" customWidth="1"/>
    <col min="8720" max="8720" width="9.140625" style="2" customWidth="1"/>
    <col min="8721" max="8960" width="9.140625" style="2"/>
    <col min="8961" max="8961" width="1.7109375" style="2" customWidth="1"/>
    <col min="8962" max="8962" width="42" style="2" customWidth="1"/>
    <col min="8963" max="8963" width="0.140625" style="2" customWidth="1"/>
    <col min="8964" max="8974" width="8.140625" style="2" bestFit="1" customWidth="1"/>
    <col min="8975" max="8975" width="8.140625" style="2" customWidth="1"/>
    <col min="8976" max="8976" width="9.140625" style="2" customWidth="1"/>
    <col min="8977" max="9216" width="9.140625" style="2"/>
    <col min="9217" max="9217" width="1.7109375" style="2" customWidth="1"/>
    <col min="9218" max="9218" width="42" style="2" customWidth="1"/>
    <col min="9219" max="9219" width="0.140625" style="2" customWidth="1"/>
    <col min="9220" max="9230" width="8.140625" style="2" bestFit="1" customWidth="1"/>
    <col min="9231" max="9231" width="8.140625" style="2" customWidth="1"/>
    <col min="9232" max="9232" width="9.140625" style="2" customWidth="1"/>
    <col min="9233" max="9472" width="9.140625" style="2"/>
    <col min="9473" max="9473" width="1.7109375" style="2" customWidth="1"/>
    <col min="9474" max="9474" width="42" style="2" customWidth="1"/>
    <col min="9475" max="9475" width="0.140625" style="2" customWidth="1"/>
    <col min="9476" max="9486" width="8.140625" style="2" bestFit="1" customWidth="1"/>
    <col min="9487" max="9487" width="8.140625" style="2" customWidth="1"/>
    <col min="9488" max="9488" width="9.140625" style="2" customWidth="1"/>
    <col min="9489" max="9728" width="9.140625" style="2"/>
    <col min="9729" max="9729" width="1.7109375" style="2" customWidth="1"/>
    <col min="9730" max="9730" width="42" style="2" customWidth="1"/>
    <col min="9731" max="9731" width="0.140625" style="2" customWidth="1"/>
    <col min="9732" max="9742" width="8.140625" style="2" bestFit="1" customWidth="1"/>
    <col min="9743" max="9743" width="8.140625" style="2" customWidth="1"/>
    <col min="9744" max="9744" width="9.140625" style="2" customWidth="1"/>
    <col min="9745" max="9984" width="9.140625" style="2"/>
    <col min="9985" max="9985" width="1.7109375" style="2" customWidth="1"/>
    <col min="9986" max="9986" width="42" style="2" customWidth="1"/>
    <col min="9987" max="9987" width="0.140625" style="2" customWidth="1"/>
    <col min="9988" max="9998" width="8.140625" style="2" bestFit="1" customWidth="1"/>
    <col min="9999" max="9999" width="8.140625" style="2" customWidth="1"/>
    <col min="10000" max="10000" width="9.140625" style="2" customWidth="1"/>
    <col min="10001" max="10240" width="9.140625" style="2"/>
    <col min="10241" max="10241" width="1.7109375" style="2" customWidth="1"/>
    <col min="10242" max="10242" width="42" style="2" customWidth="1"/>
    <col min="10243" max="10243" width="0.140625" style="2" customWidth="1"/>
    <col min="10244" max="10254" width="8.140625" style="2" bestFit="1" customWidth="1"/>
    <col min="10255" max="10255" width="8.140625" style="2" customWidth="1"/>
    <col min="10256" max="10256" width="9.140625" style="2" customWidth="1"/>
    <col min="10257" max="10496" width="9.140625" style="2"/>
    <col min="10497" max="10497" width="1.7109375" style="2" customWidth="1"/>
    <col min="10498" max="10498" width="42" style="2" customWidth="1"/>
    <col min="10499" max="10499" width="0.140625" style="2" customWidth="1"/>
    <col min="10500" max="10510" width="8.140625" style="2" bestFit="1" customWidth="1"/>
    <col min="10511" max="10511" width="8.140625" style="2" customWidth="1"/>
    <col min="10512" max="10512" width="9.140625" style="2" customWidth="1"/>
    <col min="10513" max="10752" width="9.140625" style="2"/>
    <col min="10753" max="10753" width="1.7109375" style="2" customWidth="1"/>
    <col min="10754" max="10754" width="42" style="2" customWidth="1"/>
    <col min="10755" max="10755" width="0.140625" style="2" customWidth="1"/>
    <col min="10756" max="10766" width="8.140625" style="2" bestFit="1" customWidth="1"/>
    <col min="10767" max="10767" width="8.140625" style="2" customWidth="1"/>
    <col min="10768" max="10768" width="9.140625" style="2" customWidth="1"/>
    <col min="10769" max="11008" width="9.140625" style="2"/>
    <col min="11009" max="11009" width="1.7109375" style="2" customWidth="1"/>
    <col min="11010" max="11010" width="42" style="2" customWidth="1"/>
    <col min="11011" max="11011" width="0.140625" style="2" customWidth="1"/>
    <col min="11012" max="11022" width="8.140625" style="2" bestFit="1" customWidth="1"/>
    <col min="11023" max="11023" width="8.140625" style="2" customWidth="1"/>
    <col min="11024" max="11024" width="9.140625" style="2" customWidth="1"/>
    <col min="11025" max="11264" width="9.140625" style="2"/>
    <col min="11265" max="11265" width="1.7109375" style="2" customWidth="1"/>
    <col min="11266" max="11266" width="42" style="2" customWidth="1"/>
    <col min="11267" max="11267" width="0.140625" style="2" customWidth="1"/>
    <col min="11268" max="11278" width="8.140625" style="2" bestFit="1" customWidth="1"/>
    <col min="11279" max="11279" width="8.140625" style="2" customWidth="1"/>
    <col min="11280" max="11280" width="9.140625" style="2" customWidth="1"/>
    <col min="11281" max="11520" width="9.140625" style="2"/>
    <col min="11521" max="11521" width="1.7109375" style="2" customWidth="1"/>
    <col min="11522" max="11522" width="42" style="2" customWidth="1"/>
    <col min="11523" max="11523" width="0.140625" style="2" customWidth="1"/>
    <col min="11524" max="11534" width="8.140625" style="2" bestFit="1" customWidth="1"/>
    <col min="11535" max="11535" width="8.140625" style="2" customWidth="1"/>
    <col min="11536" max="11536" width="9.140625" style="2" customWidth="1"/>
    <col min="11537" max="11776" width="9.140625" style="2"/>
    <col min="11777" max="11777" width="1.7109375" style="2" customWidth="1"/>
    <col min="11778" max="11778" width="42" style="2" customWidth="1"/>
    <col min="11779" max="11779" width="0.140625" style="2" customWidth="1"/>
    <col min="11780" max="11790" width="8.140625" style="2" bestFit="1" customWidth="1"/>
    <col min="11791" max="11791" width="8.140625" style="2" customWidth="1"/>
    <col min="11792" max="11792" width="9.140625" style="2" customWidth="1"/>
    <col min="11793" max="12032" width="9.140625" style="2"/>
    <col min="12033" max="12033" width="1.7109375" style="2" customWidth="1"/>
    <col min="12034" max="12034" width="42" style="2" customWidth="1"/>
    <col min="12035" max="12035" width="0.140625" style="2" customWidth="1"/>
    <col min="12036" max="12046" width="8.140625" style="2" bestFit="1" customWidth="1"/>
    <col min="12047" max="12047" width="8.140625" style="2" customWidth="1"/>
    <col min="12048" max="12048" width="9.140625" style="2" customWidth="1"/>
    <col min="12049" max="12288" width="9.140625" style="2"/>
    <col min="12289" max="12289" width="1.7109375" style="2" customWidth="1"/>
    <col min="12290" max="12290" width="42" style="2" customWidth="1"/>
    <col min="12291" max="12291" width="0.140625" style="2" customWidth="1"/>
    <col min="12292" max="12302" width="8.140625" style="2" bestFit="1" customWidth="1"/>
    <col min="12303" max="12303" width="8.140625" style="2" customWidth="1"/>
    <col min="12304" max="12304" width="9.140625" style="2" customWidth="1"/>
    <col min="12305" max="12544" width="9.140625" style="2"/>
    <col min="12545" max="12545" width="1.7109375" style="2" customWidth="1"/>
    <col min="12546" max="12546" width="42" style="2" customWidth="1"/>
    <col min="12547" max="12547" width="0.140625" style="2" customWidth="1"/>
    <col min="12548" max="12558" width="8.140625" style="2" bestFit="1" customWidth="1"/>
    <col min="12559" max="12559" width="8.140625" style="2" customWidth="1"/>
    <col min="12560" max="12560" width="9.140625" style="2" customWidth="1"/>
    <col min="12561" max="12800" width="9.140625" style="2"/>
    <col min="12801" max="12801" width="1.7109375" style="2" customWidth="1"/>
    <col min="12802" max="12802" width="42" style="2" customWidth="1"/>
    <col min="12803" max="12803" width="0.140625" style="2" customWidth="1"/>
    <col min="12804" max="12814" width="8.140625" style="2" bestFit="1" customWidth="1"/>
    <col min="12815" max="12815" width="8.140625" style="2" customWidth="1"/>
    <col min="12816" max="12816" width="9.140625" style="2" customWidth="1"/>
    <col min="12817" max="13056" width="9.140625" style="2"/>
    <col min="13057" max="13057" width="1.7109375" style="2" customWidth="1"/>
    <col min="13058" max="13058" width="42" style="2" customWidth="1"/>
    <col min="13059" max="13059" width="0.140625" style="2" customWidth="1"/>
    <col min="13060" max="13070" width="8.140625" style="2" bestFit="1" customWidth="1"/>
    <col min="13071" max="13071" width="8.140625" style="2" customWidth="1"/>
    <col min="13072" max="13072" width="9.140625" style="2" customWidth="1"/>
    <col min="13073" max="13312" width="9.140625" style="2"/>
    <col min="13313" max="13313" width="1.7109375" style="2" customWidth="1"/>
    <col min="13314" max="13314" width="42" style="2" customWidth="1"/>
    <col min="13315" max="13315" width="0.140625" style="2" customWidth="1"/>
    <col min="13316" max="13326" width="8.140625" style="2" bestFit="1" customWidth="1"/>
    <col min="13327" max="13327" width="8.140625" style="2" customWidth="1"/>
    <col min="13328" max="13328" width="9.140625" style="2" customWidth="1"/>
    <col min="13329" max="13568" width="9.140625" style="2"/>
    <col min="13569" max="13569" width="1.7109375" style="2" customWidth="1"/>
    <col min="13570" max="13570" width="42" style="2" customWidth="1"/>
    <col min="13571" max="13571" width="0.140625" style="2" customWidth="1"/>
    <col min="13572" max="13582" width="8.140625" style="2" bestFit="1" customWidth="1"/>
    <col min="13583" max="13583" width="8.140625" style="2" customWidth="1"/>
    <col min="13584" max="13584" width="9.140625" style="2" customWidth="1"/>
    <col min="13585" max="13824" width="9.140625" style="2"/>
    <col min="13825" max="13825" width="1.7109375" style="2" customWidth="1"/>
    <col min="13826" max="13826" width="42" style="2" customWidth="1"/>
    <col min="13827" max="13827" width="0.140625" style="2" customWidth="1"/>
    <col min="13828" max="13838" width="8.140625" style="2" bestFit="1" customWidth="1"/>
    <col min="13839" max="13839" width="8.140625" style="2" customWidth="1"/>
    <col min="13840" max="13840" width="9.140625" style="2" customWidth="1"/>
    <col min="13841" max="14080" width="9.140625" style="2"/>
    <col min="14081" max="14081" width="1.7109375" style="2" customWidth="1"/>
    <col min="14082" max="14082" width="42" style="2" customWidth="1"/>
    <col min="14083" max="14083" width="0.140625" style="2" customWidth="1"/>
    <col min="14084" max="14094" width="8.140625" style="2" bestFit="1" customWidth="1"/>
    <col min="14095" max="14095" width="8.140625" style="2" customWidth="1"/>
    <col min="14096" max="14096" width="9.140625" style="2" customWidth="1"/>
    <col min="14097" max="14336" width="9.140625" style="2"/>
    <col min="14337" max="14337" width="1.7109375" style="2" customWidth="1"/>
    <col min="14338" max="14338" width="42" style="2" customWidth="1"/>
    <col min="14339" max="14339" width="0.140625" style="2" customWidth="1"/>
    <col min="14340" max="14350" width="8.140625" style="2" bestFit="1" customWidth="1"/>
    <col min="14351" max="14351" width="8.140625" style="2" customWidth="1"/>
    <col min="14352" max="14352" width="9.140625" style="2" customWidth="1"/>
    <col min="14353" max="14592" width="9.140625" style="2"/>
    <col min="14593" max="14593" width="1.7109375" style="2" customWidth="1"/>
    <col min="14594" max="14594" width="42" style="2" customWidth="1"/>
    <col min="14595" max="14595" width="0.140625" style="2" customWidth="1"/>
    <col min="14596" max="14606" width="8.140625" style="2" bestFit="1" customWidth="1"/>
    <col min="14607" max="14607" width="8.140625" style="2" customWidth="1"/>
    <col min="14608" max="14608" width="9.140625" style="2" customWidth="1"/>
    <col min="14609" max="14848" width="9.140625" style="2"/>
    <col min="14849" max="14849" width="1.7109375" style="2" customWidth="1"/>
    <col min="14850" max="14850" width="42" style="2" customWidth="1"/>
    <col min="14851" max="14851" width="0.140625" style="2" customWidth="1"/>
    <col min="14852" max="14862" width="8.140625" style="2" bestFit="1" customWidth="1"/>
    <col min="14863" max="14863" width="8.140625" style="2" customWidth="1"/>
    <col min="14864" max="14864" width="9.140625" style="2" customWidth="1"/>
    <col min="14865" max="15104" width="9.140625" style="2"/>
    <col min="15105" max="15105" width="1.7109375" style="2" customWidth="1"/>
    <col min="15106" max="15106" width="42" style="2" customWidth="1"/>
    <col min="15107" max="15107" width="0.140625" style="2" customWidth="1"/>
    <col min="15108" max="15118" width="8.140625" style="2" bestFit="1" customWidth="1"/>
    <col min="15119" max="15119" width="8.140625" style="2" customWidth="1"/>
    <col min="15120" max="15120" width="9.140625" style="2" customWidth="1"/>
    <col min="15121" max="15360" width="9.140625" style="2"/>
    <col min="15361" max="15361" width="1.7109375" style="2" customWidth="1"/>
    <col min="15362" max="15362" width="42" style="2" customWidth="1"/>
    <col min="15363" max="15363" width="0.140625" style="2" customWidth="1"/>
    <col min="15364" max="15374" width="8.140625" style="2" bestFit="1" customWidth="1"/>
    <col min="15375" max="15375" width="8.140625" style="2" customWidth="1"/>
    <col min="15376" max="15376" width="9.140625" style="2" customWidth="1"/>
    <col min="15377" max="15616" width="9.140625" style="2"/>
    <col min="15617" max="15617" width="1.7109375" style="2" customWidth="1"/>
    <col min="15618" max="15618" width="42" style="2" customWidth="1"/>
    <col min="15619" max="15619" width="0.140625" style="2" customWidth="1"/>
    <col min="15620" max="15630" width="8.140625" style="2" bestFit="1" customWidth="1"/>
    <col min="15631" max="15631" width="8.140625" style="2" customWidth="1"/>
    <col min="15632" max="15632" width="9.140625" style="2" customWidth="1"/>
    <col min="15633" max="15872" width="9.140625" style="2"/>
    <col min="15873" max="15873" width="1.7109375" style="2" customWidth="1"/>
    <col min="15874" max="15874" width="42" style="2" customWidth="1"/>
    <col min="15875" max="15875" width="0.140625" style="2" customWidth="1"/>
    <col min="15876" max="15886" width="8.140625" style="2" bestFit="1" customWidth="1"/>
    <col min="15887" max="15887" width="8.140625" style="2" customWidth="1"/>
    <col min="15888" max="15888" width="9.140625" style="2" customWidth="1"/>
    <col min="15889" max="16128" width="9.140625" style="2"/>
    <col min="16129" max="16129" width="1.7109375" style="2" customWidth="1"/>
    <col min="16130" max="16130" width="42" style="2" customWidth="1"/>
    <col min="16131" max="16131" width="0.140625" style="2" customWidth="1"/>
    <col min="16132" max="16142" width="8.140625" style="2" bestFit="1" customWidth="1"/>
    <col min="16143" max="16143" width="8.140625" style="2" customWidth="1"/>
    <col min="16144" max="16144" width="9.140625" style="2" customWidth="1"/>
    <col min="16145" max="16384" width="9.140625" style="2"/>
  </cols>
  <sheetData>
    <row r="1" spans="1:16" ht="15" x14ac:dyDescent="0.25">
      <c r="A1" s="1" t="s">
        <v>0</v>
      </c>
      <c r="B1" s="1"/>
      <c r="C1" s="1"/>
      <c r="D1" s="1"/>
      <c r="E1" s="1"/>
      <c r="F1" s="1"/>
      <c r="G1" s="1"/>
      <c r="H1" s="1"/>
      <c r="I1" s="1"/>
      <c r="J1" s="1"/>
      <c r="K1" s="1"/>
      <c r="L1" s="1"/>
      <c r="M1" s="1"/>
      <c r="N1" s="1"/>
      <c r="O1" s="1"/>
      <c r="P1" s="1"/>
    </row>
    <row r="2" spans="1:16" ht="15" x14ac:dyDescent="0.25">
      <c r="A2" s="1" t="s">
        <v>1</v>
      </c>
      <c r="B2" s="1"/>
      <c r="C2" s="1"/>
      <c r="D2" s="1"/>
      <c r="E2" s="1"/>
      <c r="F2" s="1"/>
      <c r="G2" s="1"/>
      <c r="H2" s="1"/>
      <c r="I2" s="1"/>
      <c r="J2" s="1"/>
      <c r="K2" s="1"/>
      <c r="L2" s="1"/>
      <c r="M2" s="1"/>
      <c r="N2" s="1"/>
      <c r="O2" s="1"/>
      <c r="P2" s="1"/>
    </row>
    <row r="3" spans="1:16" ht="15" x14ac:dyDescent="0.25">
      <c r="A3" s="315" t="s">
        <v>460</v>
      </c>
      <c r="B3" s="315"/>
      <c r="C3" s="315"/>
      <c r="D3" s="315"/>
      <c r="E3" s="315"/>
      <c r="F3" s="315"/>
      <c r="G3" s="315"/>
      <c r="H3" s="315"/>
      <c r="I3" s="315"/>
      <c r="J3" s="315"/>
      <c r="K3" s="315"/>
      <c r="L3" s="315"/>
      <c r="M3" s="315"/>
      <c r="N3" s="315"/>
      <c r="O3" s="315"/>
      <c r="P3" s="315"/>
    </row>
    <row r="4" spans="1:16" x14ac:dyDescent="0.2">
      <c r="A4" s="2" t="s">
        <v>3</v>
      </c>
    </row>
    <row r="5" spans="1:16" ht="5.25" customHeight="1" x14ac:dyDescent="0.2"/>
    <row r="6" spans="1:16" ht="6" customHeight="1" x14ac:dyDescent="0.2">
      <c r="A6" s="130"/>
      <c r="B6" s="128"/>
      <c r="C6" s="128"/>
      <c r="D6" s="128"/>
      <c r="E6" s="128"/>
      <c r="F6" s="128"/>
      <c r="G6" s="128"/>
      <c r="H6" s="128"/>
      <c r="I6" s="128"/>
      <c r="J6" s="128"/>
      <c r="K6" s="128"/>
      <c r="L6" s="128"/>
      <c r="M6" s="128"/>
      <c r="N6" s="128"/>
      <c r="O6" s="128"/>
      <c r="P6" s="131"/>
    </row>
    <row r="7" spans="1:16" s="20" customFormat="1" x14ac:dyDescent="0.2">
      <c r="A7" s="327" t="s">
        <v>5</v>
      </c>
      <c r="B7" s="328"/>
      <c r="C7" s="328"/>
      <c r="D7" s="122" t="s">
        <v>461</v>
      </c>
      <c r="E7" s="122" t="s">
        <v>462</v>
      </c>
      <c r="F7" s="122" t="s">
        <v>463</v>
      </c>
      <c r="G7" s="122" t="s">
        <v>464</v>
      </c>
      <c r="H7" s="122" t="s">
        <v>465</v>
      </c>
      <c r="I7" s="122" t="s">
        <v>466</v>
      </c>
      <c r="J7" s="122" t="s">
        <v>467</v>
      </c>
      <c r="K7" s="122" t="s">
        <v>468</v>
      </c>
      <c r="L7" s="122" t="s">
        <v>469</v>
      </c>
      <c r="M7" s="122" t="s">
        <v>470</v>
      </c>
      <c r="N7" s="122" t="s">
        <v>471</v>
      </c>
      <c r="O7" s="122" t="s">
        <v>472</v>
      </c>
      <c r="P7" s="132" t="s">
        <v>238</v>
      </c>
    </row>
    <row r="8" spans="1:16" ht="6" customHeight="1" thickBot="1" x14ac:dyDescent="0.3">
      <c r="A8" s="133"/>
      <c r="B8" s="129"/>
      <c r="C8" s="129"/>
      <c r="D8" s="129"/>
      <c r="E8" s="129"/>
      <c r="F8" s="129"/>
      <c r="G8" s="129"/>
      <c r="H8" s="129"/>
      <c r="I8" s="129"/>
      <c r="J8" s="129"/>
      <c r="K8" s="129"/>
      <c r="L8" s="129"/>
      <c r="M8" s="129"/>
      <c r="N8" s="129"/>
      <c r="O8" s="129"/>
      <c r="P8" s="134"/>
    </row>
    <row r="9" spans="1:16" ht="7.5" customHeight="1" thickTop="1" x14ac:dyDescent="0.2"/>
    <row r="10" spans="1:16" s="4" customFormat="1" ht="15" x14ac:dyDescent="0.25">
      <c r="A10" s="3" t="s">
        <v>20</v>
      </c>
      <c r="D10" s="21">
        <f t="shared" ref="D10:O10" si="0">SUM(D11:D31)</f>
        <v>237.74</v>
      </c>
      <c r="E10" s="21">
        <f t="shared" si="0"/>
        <v>873.69999999999993</v>
      </c>
      <c r="F10" s="21">
        <f t="shared" si="0"/>
        <v>229.29</v>
      </c>
      <c r="G10" s="21">
        <f t="shared" si="0"/>
        <v>214.76999999999998</v>
      </c>
      <c r="H10" s="21">
        <f t="shared" si="0"/>
        <v>255.78999999999996</v>
      </c>
      <c r="I10" s="21">
        <f t="shared" si="0"/>
        <v>255.92000000000002</v>
      </c>
      <c r="J10" s="21">
        <f t="shared" si="0"/>
        <v>286.56999999999994</v>
      </c>
      <c r="K10" s="21">
        <f t="shared" si="0"/>
        <v>388.34000000000003</v>
      </c>
      <c r="L10" s="21">
        <f t="shared" si="0"/>
        <v>344.29999999999995</v>
      </c>
      <c r="M10" s="21">
        <f t="shared" si="0"/>
        <v>2290.4900000000002</v>
      </c>
      <c r="N10" s="21">
        <f t="shared" si="0"/>
        <v>215.23000000000002</v>
      </c>
      <c r="O10" s="21">
        <f t="shared" si="0"/>
        <v>376.31999999999988</v>
      </c>
      <c r="P10" s="21">
        <f>SUM(D10:O10)</f>
        <v>5968.4599999999991</v>
      </c>
    </row>
    <row r="11" spans="1:16" x14ac:dyDescent="0.2">
      <c r="B11" s="2" t="s">
        <v>21</v>
      </c>
      <c r="D11" s="22">
        <v>1.1299999999999999</v>
      </c>
      <c r="E11" s="22">
        <v>1.32</v>
      </c>
      <c r="F11" s="22">
        <v>0.74</v>
      </c>
      <c r="G11" s="22">
        <v>0.36</v>
      </c>
      <c r="H11" s="22">
        <v>0.83</v>
      </c>
      <c r="I11" s="22">
        <v>0.74</v>
      </c>
      <c r="J11" s="22">
        <v>0.56000000000000005</v>
      </c>
      <c r="K11" s="22">
        <v>0.62</v>
      </c>
      <c r="L11" s="22">
        <v>0.65</v>
      </c>
      <c r="M11" s="22">
        <v>0.66</v>
      </c>
      <c r="N11" s="22">
        <v>0.66</v>
      </c>
      <c r="O11" s="22">
        <v>1.45</v>
      </c>
      <c r="P11" s="22">
        <f t="shared" ref="P11:P31" si="1">SUM(D11:O11)</f>
        <v>9.7199999999999989</v>
      </c>
    </row>
    <row r="12" spans="1:16" x14ac:dyDescent="0.2">
      <c r="B12" s="2" t="s">
        <v>22</v>
      </c>
      <c r="D12" s="22">
        <v>3.03</v>
      </c>
      <c r="E12" s="22">
        <v>1.6</v>
      </c>
      <c r="F12" s="22">
        <v>2.77</v>
      </c>
      <c r="G12" s="22">
        <v>3.87</v>
      </c>
      <c r="H12" s="22">
        <v>2.52</v>
      </c>
      <c r="I12" s="22">
        <v>3.22</v>
      </c>
      <c r="J12" s="22">
        <v>6.38</v>
      </c>
      <c r="K12" s="22">
        <v>2.87</v>
      </c>
      <c r="L12" s="22">
        <v>2.98</v>
      </c>
      <c r="M12" s="22">
        <v>1.56</v>
      </c>
      <c r="N12" s="22">
        <v>2.6</v>
      </c>
      <c r="O12" s="22">
        <v>1.74</v>
      </c>
      <c r="P12" s="22">
        <f t="shared" si="1"/>
        <v>35.14</v>
      </c>
    </row>
    <row r="13" spans="1:16" x14ac:dyDescent="0.2">
      <c r="B13" s="2" t="s">
        <v>24</v>
      </c>
      <c r="D13" s="22">
        <v>1.76</v>
      </c>
      <c r="E13" s="22">
        <v>1.5</v>
      </c>
      <c r="F13" s="22">
        <v>3.93</v>
      </c>
      <c r="G13" s="22">
        <v>2.84</v>
      </c>
      <c r="H13" s="22">
        <v>1.41</v>
      </c>
      <c r="I13" s="22">
        <v>0.86</v>
      </c>
      <c r="J13" s="22">
        <v>1.39</v>
      </c>
      <c r="K13" s="22">
        <v>1.03</v>
      </c>
      <c r="L13" s="22">
        <v>1.05</v>
      </c>
      <c r="M13" s="22">
        <v>2.0099999999999998</v>
      </c>
      <c r="N13" s="22">
        <v>1.03</v>
      </c>
      <c r="O13" s="22">
        <v>1.41</v>
      </c>
      <c r="P13" s="22">
        <f t="shared" si="1"/>
        <v>20.220000000000002</v>
      </c>
    </row>
    <row r="14" spans="1:16" x14ac:dyDescent="0.2">
      <c r="B14" s="2" t="s">
        <v>25</v>
      </c>
      <c r="D14" s="22">
        <v>2.77</v>
      </c>
      <c r="E14" s="22">
        <v>2.94</v>
      </c>
      <c r="F14" s="22">
        <v>1.84</v>
      </c>
      <c r="G14" s="22">
        <v>1.4</v>
      </c>
      <c r="H14" s="22">
        <v>1.44</v>
      </c>
      <c r="I14" s="22">
        <v>1.28</v>
      </c>
      <c r="J14" s="22">
        <v>1.6</v>
      </c>
      <c r="K14" s="22">
        <v>1.42</v>
      </c>
      <c r="L14" s="22">
        <v>1.37</v>
      </c>
      <c r="M14" s="22">
        <v>1.64</v>
      </c>
      <c r="N14" s="22">
        <v>1.45</v>
      </c>
      <c r="O14" s="22">
        <v>1.64</v>
      </c>
      <c r="P14" s="22">
        <f t="shared" si="1"/>
        <v>20.79</v>
      </c>
    </row>
    <row r="15" spans="1:16" x14ac:dyDescent="0.2">
      <c r="B15" s="2" t="s">
        <v>26</v>
      </c>
      <c r="D15" s="22">
        <v>5.58</v>
      </c>
      <c r="E15" s="22">
        <v>8.48</v>
      </c>
      <c r="F15" s="22">
        <v>8.68</v>
      </c>
      <c r="G15" s="22">
        <v>8.6300000000000008</v>
      </c>
      <c r="H15" s="22">
        <v>13.99</v>
      </c>
      <c r="I15" s="22">
        <v>9.3000000000000007</v>
      </c>
      <c r="J15" s="22">
        <v>6.53</v>
      </c>
      <c r="K15" s="22">
        <v>7.16</v>
      </c>
      <c r="L15" s="22">
        <v>56.83</v>
      </c>
      <c r="M15" s="22">
        <v>747.85</v>
      </c>
      <c r="N15" s="22">
        <v>6.81</v>
      </c>
      <c r="O15" s="22">
        <v>113.92</v>
      </c>
      <c r="P15" s="22">
        <f t="shared" si="1"/>
        <v>993.75999999999988</v>
      </c>
    </row>
    <row r="16" spans="1:16" x14ac:dyDescent="0.2">
      <c r="B16" s="2" t="s">
        <v>27</v>
      </c>
      <c r="D16" s="22">
        <v>0.44</v>
      </c>
      <c r="E16" s="22">
        <v>0.8</v>
      </c>
      <c r="F16" s="22">
        <v>1.27</v>
      </c>
      <c r="G16" s="22">
        <v>0.57999999999999996</v>
      </c>
      <c r="H16" s="22">
        <v>0.3</v>
      </c>
      <c r="I16" s="22">
        <v>0.41</v>
      </c>
      <c r="J16" s="22">
        <v>0.22</v>
      </c>
      <c r="K16" s="22">
        <v>0.13</v>
      </c>
      <c r="L16" s="22">
        <v>0.33</v>
      </c>
      <c r="M16" s="22">
        <v>0.25</v>
      </c>
      <c r="N16" s="22">
        <v>0.14000000000000001</v>
      </c>
      <c r="O16" s="22">
        <v>0.06</v>
      </c>
      <c r="P16" s="22">
        <f t="shared" si="1"/>
        <v>4.9299999999999988</v>
      </c>
    </row>
    <row r="17" spans="2:16" x14ac:dyDescent="0.2">
      <c r="B17" s="2" t="s">
        <v>28</v>
      </c>
      <c r="D17" s="22">
        <v>0</v>
      </c>
      <c r="E17" s="22">
        <v>0.04</v>
      </c>
      <c r="F17" s="22">
        <v>0.01</v>
      </c>
      <c r="G17" s="22">
        <v>0</v>
      </c>
      <c r="H17" s="22">
        <v>0</v>
      </c>
      <c r="I17" s="22">
        <v>0</v>
      </c>
      <c r="J17" s="22">
        <v>0</v>
      </c>
      <c r="K17" s="22">
        <v>0.05</v>
      </c>
      <c r="L17" s="22">
        <v>0</v>
      </c>
      <c r="M17" s="22">
        <v>0.01</v>
      </c>
      <c r="N17" s="22">
        <v>0</v>
      </c>
      <c r="O17" s="22">
        <v>0</v>
      </c>
      <c r="P17" s="22">
        <f t="shared" si="1"/>
        <v>0.11</v>
      </c>
    </row>
    <row r="18" spans="2:16" x14ac:dyDescent="0.2">
      <c r="B18" s="2" t="s">
        <v>473</v>
      </c>
      <c r="D18" s="22">
        <v>0</v>
      </c>
      <c r="E18" s="22">
        <v>0</v>
      </c>
      <c r="F18" s="22">
        <v>0</v>
      </c>
      <c r="G18" s="22">
        <v>0</v>
      </c>
      <c r="H18" s="22">
        <v>0</v>
      </c>
      <c r="I18" s="22">
        <v>0</v>
      </c>
      <c r="J18" s="22">
        <v>0</v>
      </c>
      <c r="K18" s="22">
        <v>0.01</v>
      </c>
      <c r="L18" s="22">
        <v>0</v>
      </c>
      <c r="M18" s="22">
        <v>0</v>
      </c>
      <c r="N18" s="22">
        <v>0.05</v>
      </c>
      <c r="O18" s="22">
        <v>0</v>
      </c>
      <c r="P18" s="22">
        <f t="shared" si="1"/>
        <v>6.0000000000000005E-2</v>
      </c>
    </row>
    <row r="19" spans="2:16" x14ac:dyDescent="0.2">
      <c r="B19" s="2" t="s">
        <v>30</v>
      </c>
      <c r="D19" s="22">
        <v>9.86</v>
      </c>
      <c r="E19" s="22">
        <v>6.25</v>
      </c>
      <c r="F19" s="22">
        <v>4.58</v>
      </c>
      <c r="G19" s="22">
        <v>3.78</v>
      </c>
      <c r="H19" s="22">
        <v>4.8099999999999996</v>
      </c>
      <c r="I19" s="22">
        <v>4.45</v>
      </c>
      <c r="J19" s="22">
        <v>4.75</v>
      </c>
      <c r="K19" s="22">
        <v>3.73</v>
      </c>
      <c r="L19" s="22">
        <v>4.3499999999999996</v>
      </c>
      <c r="M19" s="22">
        <v>5.46</v>
      </c>
      <c r="N19" s="22">
        <v>4.49</v>
      </c>
      <c r="O19" s="22">
        <v>6.96</v>
      </c>
      <c r="P19" s="22">
        <f t="shared" si="1"/>
        <v>63.47</v>
      </c>
    </row>
    <row r="20" spans="2:16" x14ac:dyDescent="0.2">
      <c r="B20" s="2" t="s">
        <v>31</v>
      </c>
      <c r="D20" s="22">
        <v>0.01</v>
      </c>
      <c r="E20" s="22">
        <v>0.01</v>
      </c>
      <c r="F20" s="22">
        <v>0.01</v>
      </c>
      <c r="G20" s="22">
        <v>0.02</v>
      </c>
      <c r="H20" s="22">
        <v>0.02</v>
      </c>
      <c r="I20" s="22">
        <v>0.02</v>
      </c>
      <c r="J20" s="22">
        <v>0.13</v>
      </c>
      <c r="K20" s="22">
        <v>0.01</v>
      </c>
      <c r="L20" s="22">
        <v>0.01</v>
      </c>
      <c r="M20" s="22">
        <v>0</v>
      </c>
      <c r="N20" s="22">
        <v>0.01</v>
      </c>
      <c r="O20" s="22">
        <v>0.04</v>
      </c>
      <c r="P20" s="22">
        <f t="shared" si="1"/>
        <v>0.29000000000000004</v>
      </c>
    </row>
    <row r="21" spans="2:16" x14ac:dyDescent="0.2">
      <c r="B21" s="2" t="s">
        <v>32</v>
      </c>
      <c r="D21" s="22">
        <v>0.09</v>
      </c>
      <c r="E21" s="22">
        <v>0.03</v>
      </c>
      <c r="F21" s="22">
        <v>0</v>
      </c>
      <c r="G21" s="22">
        <v>0.02</v>
      </c>
      <c r="H21" s="22">
        <v>0.01</v>
      </c>
      <c r="I21" s="22">
        <v>0.05</v>
      </c>
      <c r="J21" s="22">
        <v>0.03</v>
      </c>
      <c r="K21" s="22">
        <v>0</v>
      </c>
      <c r="L21" s="22">
        <v>0.02</v>
      </c>
      <c r="M21" s="22">
        <v>0</v>
      </c>
      <c r="N21" s="22">
        <v>7.0000000000000007E-2</v>
      </c>
      <c r="O21" s="22">
        <v>0</v>
      </c>
      <c r="P21" s="22">
        <f t="shared" si="1"/>
        <v>0.32</v>
      </c>
    </row>
    <row r="22" spans="2:16" x14ac:dyDescent="0.2">
      <c r="B22" s="2" t="s">
        <v>35</v>
      </c>
      <c r="D22" s="22">
        <v>0.56000000000000005</v>
      </c>
      <c r="E22" s="22">
        <v>0.5</v>
      </c>
      <c r="F22" s="22">
        <v>0.44</v>
      </c>
      <c r="G22" s="22">
        <v>0.26</v>
      </c>
      <c r="H22" s="22">
        <v>0.27</v>
      </c>
      <c r="I22" s="22">
        <v>0.23</v>
      </c>
      <c r="J22" s="22">
        <v>0.52</v>
      </c>
      <c r="K22" s="22">
        <v>0.44</v>
      </c>
      <c r="L22" s="22">
        <v>0.5</v>
      </c>
      <c r="M22" s="22">
        <v>0.49</v>
      </c>
      <c r="N22" s="22">
        <v>0.83</v>
      </c>
      <c r="O22" s="22">
        <v>0.4</v>
      </c>
      <c r="P22" s="22">
        <f t="shared" si="1"/>
        <v>5.44</v>
      </c>
    </row>
    <row r="23" spans="2:16" x14ac:dyDescent="0.2">
      <c r="B23" s="2" t="s">
        <v>36</v>
      </c>
      <c r="D23" s="22">
        <v>0.53</v>
      </c>
      <c r="E23" s="22">
        <v>0.69</v>
      </c>
      <c r="F23" s="22">
        <v>0.45</v>
      </c>
      <c r="G23" s="22">
        <v>0.15</v>
      </c>
      <c r="H23" s="22">
        <v>0.18</v>
      </c>
      <c r="I23" s="22">
        <v>0.12</v>
      </c>
      <c r="J23" s="22">
        <v>0.22</v>
      </c>
      <c r="K23" s="22">
        <v>0.23</v>
      </c>
      <c r="L23" s="22">
        <v>0.26</v>
      </c>
      <c r="M23" s="22">
        <v>0.1</v>
      </c>
      <c r="N23" s="22">
        <v>0.24</v>
      </c>
      <c r="O23" s="22">
        <v>0.32</v>
      </c>
      <c r="P23" s="22">
        <f t="shared" si="1"/>
        <v>3.4899999999999998</v>
      </c>
    </row>
    <row r="24" spans="2:16" x14ac:dyDescent="0.2">
      <c r="B24" s="2" t="s">
        <v>37</v>
      </c>
      <c r="D24" s="22">
        <v>120.05</v>
      </c>
      <c r="E24" s="22">
        <v>740.62</v>
      </c>
      <c r="F24" s="22">
        <v>102.03</v>
      </c>
      <c r="G24" s="22">
        <v>96.39</v>
      </c>
      <c r="H24" s="22">
        <v>124.08</v>
      </c>
      <c r="I24" s="22">
        <v>147.47999999999999</v>
      </c>
      <c r="J24" s="22">
        <v>148.38999999999999</v>
      </c>
      <c r="K24" s="22">
        <v>302.41000000000003</v>
      </c>
      <c r="L24" s="22">
        <v>155.72999999999999</v>
      </c>
      <c r="M24" s="22">
        <v>1421.65</v>
      </c>
      <c r="N24" s="22">
        <v>133.05000000000001</v>
      </c>
      <c r="O24" s="22">
        <v>184.85</v>
      </c>
      <c r="P24" s="22">
        <f t="shared" si="1"/>
        <v>3676.73</v>
      </c>
    </row>
    <row r="25" spans="2:16" x14ac:dyDescent="0.2">
      <c r="B25" s="2" t="s">
        <v>38</v>
      </c>
      <c r="D25" s="22">
        <v>2.31</v>
      </c>
      <c r="E25" s="22">
        <v>1.02</v>
      </c>
      <c r="F25" s="22">
        <v>0.42</v>
      </c>
      <c r="G25" s="22">
        <v>0.17</v>
      </c>
      <c r="H25" s="22">
        <v>0.16</v>
      </c>
      <c r="I25" s="22">
        <v>0.4</v>
      </c>
      <c r="J25" s="22">
        <v>0.35</v>
      </c>
      <c r="K25" s="22">
        <v>0.28000000000000003</v>
      </c>
      <c r="L25" s="22">
        <v>0.17</v>
      </c>
      <c r="M25" s="22">
        <v>0.15</v>
      </c>
      <c r="N25" s="22">
        <v>0.83</v>
      </c>
      <c r="O25" s="22">
        <v>1.03</v>
      </c>
      <c r="P25" s="22">
        <f t="shared" si="1"/>
        <v>7.2900000000000009</v>
      </c>
    </row>
    <row r="26" spans="2:16" x14ac:dyDescent="0.2">
      <c r="B26" s="2" t="s">
        <v>39</v>
      </c>
      <c r="D26" s="22">
        <v>2.4900000000000002</v>
      </c>
      <c r="E26" s="22">
        <v>6.8</v>
      </c>
      <c r="F26" s="22">
        <v>11.48</v>
      </c>
      <c r="G26" s="22">
        <v>7.61</v>
      </c>
      <c r="H26" s="22">
        <v>9.6999999999999993</v>
      </c>
      <c r="I26" s="22">
        <v>6.39</v>
      </c>
      <c r="J26" s="22">
        <v>8.4</v>
      </c>
      <c r="K26" s="22">
        <v>7.14</v>
      </c>
      <c r="L26" s="22">
        <v>8.15</v>
      </c>
      <c r="M26" s="22">
        <v>9.84</v>
      </c>
      <c r="N26" s="22">
        <v>10.49</v>
      </c>
      <c r="O26" s="22">
        <v>0.9</v>
      </c>
      <c r="P26" s="22">
        <f t="shared" si="1"/>
        <v>89.39</v>
      </c>
    </row>
    <row r="27" spans="2:16" x14ac:dyDescent="0.2">
      <c r="B27" s="2" t="s">
        <v>40</v>
      </c>
      <c r="D27" s="22">
        <v>0</v>
      </c>
      <c r="E27" s="22">
        <v>0</v>
      </c>
      <c r="F27" s="22">
        <v>0</v>
      </c>
      <c r="G27" s="22">
        <v>0</v>
      </c>
      <c r="H27" s="22">
        <v>0</v>
      </c>
      <c r="I27" s="22">
        <v>0</v>
      </c>
      <c r="J27" s="22">
        <v>0</v>
      </c>
      <c r="K27" s="22">
        <v>0</v>
      </c>
      <c r="L27" s="22">
        <v>0</v>
      </c>
      <c r="M27" s="22">
        <v>0</v>
      </c>
      <c r="N27" s="22">
        <v>0</v>
      </c>
      <c r="O27" s="22">
        <v>0</v>
      </c>
      <c r="P27" s="22">
        <f t="shared" si="1"/>
        <v>0</v>
      </c>
    </row>
    <row r="28" spans="2:16" x14ac:dyDescent="0.2">
      <c r="B28" s="2" t="s">
        <v>474</v>
      </c>
      <c r="D28" s="22">
        <v>0</v>
      </c>
      <c r="E28" s="22">
        <v>0</v>
      </c>
      <c r="F28" s="22">
        <v>0</v>
      </c>
      <c r="G28" s="22">
        <v>0</v>
      </c>
      <c r="H28" s="22">
        <v>0</v>
      </c>
      <c r="I28" s="22">
        <v>0</v>
      </c>
      <c r="J28" s="22">
        <v>0</v>
      </c>
      <c r="K28" s="22">
        <v>0</v>
      </c>
      <c r="L28" s="22">
        <v>0</v>
      </c>
      <c r="M28" s="22">
        <v>0</v>
      </c>
      <c r="N28" s="22">
        <v>0</v>
      </c>
      <c r="O28" s="22">
        <v>0</v>
      </c>
      <c r="P28" s="22">
        <f t="shared" si="1"/>
        <v>0</v>
      </c>
    </row>
    <row r="29" spans="2:16" x14ac:dyDescent="0.2">
      <c r="B29" s="2" t="s">
        <v>41</v>
      </c>
      <c r="D29" s="22">
        <v>81.42</v>
      </c>
      <c r="E29" s="22">
        <v>97.99</v>
      </c>
      <c r="F29" s="22">
        <v>86.4</v>
      </c>
      <c r="G29" s="22">
        <v>85.18</v>
      </c>
      <c r="H29" s="22">
        <v>93.15</v>
      </c>
      <c r="I29" s="22">
        <v>76.989999999999995</v>
      </c>
      <c r="J29" s="22">
        <v>102.43</v>
      </c>
      <c r="K29" s="22">
        <v>57.47</v>
      </c>
      <c r="L29" s="22">
        <v>106.15</v>
      </c>
      <c r="M29" s="22">
        <v>95.5</v>
      </c>
      <c r="N29" s="22">
        <v>48.19</v>
      </c>
      <c r="O29" s="22">
        <v>57.63</v>
      </c>
      <c r="P29" s="22">
        <f t="shared" si="1"/>
        <v>988.49999999999989</v>
      </c>
    </row>
    <row r="30" spans="2:16" x14ac:dyDescent="0.2">
      <c r="B30" s="2" t="s">
        <v>43</v>
      </c>
      <c r="D30" s="22">
        <v>7.0000000000000007E-2</v>
      </c>
      <c r="E30" s="22">
        <v>0.1</v>
      </c>
      <c r="F30" s="22">
        <v>0.26</v>
      </c>
      <c r="G30" s="22">
        <v>0.09</v>
      </c>
      <c r="H30" s="22">
        <v>7.0000000000000007E-2</v>
      </c>
      <c r="I30" s="22">
        <v>0.08</v>
      </c>
      <c r="J30" s="22">
        <v>0.08</v>
      </c>
      <c r="K30" s="22">
        <v>0.12</v>
      </c>
      <c r="L30" s="22">
        <v>0.08</v>
      </c>
      <c r="M30" s="22">
        <v>0.08</v>
      </c>
      <c r="N30" s="22">
        <v>7.0000000000000007E-2</v>
      </c>
      <c r="O30" s="22">
        <v>0.13</v>
      </c>
      <c r="P30" s="22">
        <f t="shared" si="1"/>
        <v>1.23</v>
      </c>
    </row>
    <row r="31" spans="2:16" x14ac:dyDescent="0.2">
      <c r="B31" s="2" t="s">
        <v>45</v>
      </c>
      <c r="D31" s="22">
        <v>5.64</v>
      </c>
      <c r="E31" s="22">
        <v>3.01</v>
      </c>
      <c r="F31" s="22">
        <v>3.98</v>
      </c>
      <c r="G31" s="22">
        <v>3.42</v>
      </c>
      <c r="H31" s="22">
        <v>2.85</v>
      </c>
      <c r="I31" s="22">
        <v>3.9</v>
      </c>
      <c r="J31" s="22">
        <v>4.59</v>
      </c>
      <c r="K31" s="22">
        <v>3.22</v>
      </c>
      <c r="L31" s="22">
        <v>5.67</v>
      </c>
      <c r="M31" s="22">
        <v>3.24</v>
      </c>
      <c r="N31" s="22">
        <v>4.22</v>
      </c>
      <c r="O31" s="22">
        <v>3.84</v>
      </c>
      <c r="P31" s="22">
        <f t="shared" si="1"/>
        <v>47.58</v>
      </c>
    </row>
    <row r="32" spans="2:16" x14ac:dyDescent="0.2">
      <c r="B32" s="2" t="s">
        <v>6</v>
      </c>
      <c r="D32" s="22"/>
      <c r="E32" s="22"/>
      <c r="F32" s="22"/>
      <c r="G32" s="22"/>
      <c r="H32" s="22"/>
      <c r="I32" s="22"/>
      <c r="J32" s="22"/>
      <c r="K32" s="22"/>
      <c r="L32" s="22"/>
      <c r="M32" s="22"/>
      <c r="N32" s="22"/>
      <c r="O32" s="22"/>
      <c r="P32" s="22"/>
    </row>
    <row r="33" spans="1:16" s="4" customFormat="1" ht="15" x14ac:dyDescent="0.25">
      <c r="A33" s="3" t="s">
        <v>46</v>
      </c>
      <c r="D33" s="21">
        <f t="shared" ref="D33:O33" si="2">SUM(D34:D38)</f>
        <v>8.0399999999999991</v>
      </c>
      <c r="E33" s="21">
        <f t="shared" si="2"/>
        <v>12.209999999999999</v>
      </c>
      <c r="F33" s="21">
        <f t="shared" si="2"/>
        <v>14.1</v>
      </c>
      <c r="G33" s="21">
        <f t="shared" si="2"/>
        <v>15.709999999999999</v>
      </c>
      <c r="H33" s="21">
        <f t="shared" si="2"/>
        <v>12.15</v>
      </c>
      <c r="I33" s="21">
        <f t="shared" si="2"/>
        <v>15.48</v>
      </c>
      <c r="J33" s="21">
        <f t="shared" si="2"/>
        <v>9.25</v>
      </c>
      <c r="K33" s="21">
        <f t="shared" si="2"/>
        <v>11.59</v>
      </c>
      <c r="L33" s="21">
        <f t="shared" si="2"/>
        <v>21.72</v>
      </c>
      <c r="M33" s="21">
        <f t="shared" si="2"/>
        <v>14.200000000000001</v>
      </c>
      <c r="N33" s="21">
        <f t="shared" si="2"/>
        <v>13.53</v>
      </c>
      <c r="O33" s="21">
        <f t="shared" si="2"/>
        <v>7.24</v>
      </c>
      <c r="P33" s="21">
        <f t="shared" ref="P33:P38" si="3">SUM(D33:O33)</f>
        <v>155.22</v>
      </c>
    </row>
    <row r="34" spans="1:16" x14ac:dyDescent="0.2">
      <c r="B34" s="2" t="s">
        <v>475</v>
      </c>
      <c r="D34" s="22">
        <v>0</v>
      </c>
      <c r="E34" s="22">
        <v>0</v>
      </c>
      <c r="F34" s="22">
        <v>0</v>
      </c>
      <c r="G34" s="22">
        <v>0</v>
      </c>
      <c r="H34" s="22">
        <v>0</v>
      </c>
      <c r="I34" s="22">
        <v>0</v>
      </c>
      <c r="J34" s="22">
        <v>0</v>
      </c>
      <c r="K34" s="22">
        <v>0</v>
      </c>
      <c r="L34" s="22">
        <v>0</v>
      </c>
      <c r="M34" s="22">
        <v>0</v>
      </c>
      <c r="N34" s="22">
        <v>0</v>
      </c>
      <c r="O34" s="22">
        <v>0</v>
      </c>
      <c r="P34" s="22">
        <f t="shared" si="3"/>
        <v>0</v>
      </c>
    </row>
    <row r="35" spans="1:16" x14ac:dyDescent="0.2">
      <c r="B35" s="2" t="s">
        <v>47</v>
      </c>
      <c r="D35" s="22">
        <v>0.66</v>
      </c>
      <c r="E35" s="22">
        <v>0.02</v>
      </c>
      <c r="F35" s="22">
        <v>0.28000000000000003</v>
      </c>
      <c r="G35" s="22">
        <v>0</v>
      </c>
      <c r="H35" s="22">
        <v>0</v>
      </c>
      <c r="I35" s="22">
        <v>0.3</v>
      </c>
      <c r="J35" s="22">
        <v>0.16</v>
      </c>
      <c r="K35" s="22">
        <v>0</v>
      </c>
      <c r="L35" s="22">
        <v>0.02</v>
      </c>
      <c r="M35" s="22">
        <v>0.17</v>
      </c>
      <c r="N35" s="22">
        <v>0.77</v>
      </c>
      <c r="O35" s="22">
        <v>0</v>
      </c>
      <c r="P35" s="22">
        <f t="shared" si="3"/>
        <v>2.38</v>
      </c>
    </row>
    <row r="36" spans="1:16" x14ac:dyDescent="0.2">
      <c r="B36" s="2" t="s">
        <v>50</v>
      </c>
      <c r="D36" s="22">
        <v>7.01</v>
      </c>
      <c r="E36" s="22">
        <v>12.17</v>
      </c>
      <c r="F36" s="22">
        <v>13.56</v>
      </c>
      <c r="G36" s="22">
        <v>15.68</v>
      </c>
      <c r="H36" s="22">
        <v>12.06</v>
      </c>
      <c r="I36" s="22">
        <v>15.16</v>
      </c>
      <c r="J36" s="22">
        <v>8.7799999999999994</v>
      </c>
      <c r="K36" s="22">
        <v>11.59</v>
      </c>
      <c r="L36" s="22">
        <v>21.7</v>
      </c>
      <c r="M36" s="22">
        <v>13.97</v>
      </c>
      <c r="N36" s="22">
        <v>12.75</v>
      </c>
      <c r="O36" s="22">
        <v>6.71</v>
      </c>
      <c r="P36" s="22">
        <f t="shared" si="3"/>
        <v>151.14000000000001</v>
      </c>
    </row>
    <row r="37" spans="1:16" x14ac:dyDescent="0.2">
      <c r="B37" s="2" t="s">
        <v>51</v>
      </c>
      <c r="D37" s="22">
        <v>0.37</v>
      </c>
      <c r="E37" s="22">
        <v>0.02</v>
      </c>
      <c r="F37" s="22">
        <v>0.26</v>
      </c>
      <c r="G37" s="22">
        <v>0.03</v>
      </c>
      <c r="H37" s="22">
        <v>0.09</v>
      </c>
      <c r="I37" s="22">
        <v>0.02</v>
      </c>
      <c r="J37" s="22">
        <v>0.31</v>
      </c>
      <c r="K37" s="22">
        <v>0</v>
      </c>
      <c r="L37" s="22">
        <v>0</v>
      </c>
      <c r="M37" s="22">
        <v>0.06</v>
      </c>
      <c r="N37" s="22">
        <v>0.01</v>
      </c>
      <c r="O37" s="22">
        <v>0.52</v>
      </c>
      <c r="P37" s="22">
        <f t="shared" si="3"/>
        <v>1.6900000000000002</v>
      </c>
    </row>
    <row r="38" spans="1:16" x14ac:dyDescent="0.2">
      <c r="B38" s="2" t="s">
        <v>53</v>
      </c>
      <c r="D38" s="22">
        <v>0</v>
      </c>
      <c r="E38" s="22">
        <v>0</v>
      </c>
      <c r="F38" s="22">
        <v>0</v>
      </c>
      <c r="G38" s="22">
        <v>0</v>
      </c>
      <c r="H38" s="22">
        <v>0</v>
      </c>
      <c r="I38" s="22">
        <v>0</v>
      </c>
      <c r="J38" s="22">
        <v>0</v>
      </c>
      <c r="K38" s="22">
        <v>0</v>
      </c>
      <c r="L38" s="22">
        <v>0</v>
      </c>
      <c r="M38" s="22">
        <v>0</v>
      </c>
      <c r="N38" s="22">
        <v>0</v>
      </c>
      <c r="O38" s="22">
        <v>0.01</v>
      </c>
      <c r="P38" s="22">
        <f t="shared" si="3"/>
        <v>0.01</v>
      </c>
    </row>
    <row r="39" spans="1:16" x14ac:dyDescent="0.2">
      <c r="D39" s="22"/>
      <c r="E39" s="22"/>
      <c r="F39" s="22"/>
      <c r="G39" s="22"/>
      <c r="H39" s="22"/>
      <c r="I39" s="22"/>
      <c r="J39" s="22"/>
      <c r="K39" s="22"/>
      <c r="L39" s="22"/>
      <c r="M39" s="22"/>
      <c r="N39" s="22"/>
      <c r="O39" s="22"/>
      <c r="P39" s="22"/>
    </row>
    <row r="40" spans="1:16" s="4" customFormat="1" ht="15" x14ac:dyDescent="0.25">
      <c r="A40" s="3" t="s">
        <v>54</v>
      </c>
      <c r="D40" s="21">
        <f t="shared" ref="D40:P40" si="4">SUM(D41:D55)</f>
        <v>29.9</v>
      </c>
      <c r="E40" s="21">
        <f t="shared" si="4"/>
        <v>62.649999999999984</v>
      </c>
      <c r="F40" s="21">
        <f t="shared" si="4"/>
        <v>19.880000000000006</v>
      </c>
      <c r="G40" s="21">
        <f t="shared" si="4"/>
        <v>26.790000000000006</v>
      </c>
      <c r="H40" s="21">
        <f t="shared" si="4"/>
        <v>22.1</v>
      </c>
      <c r="I40" s="21">
        <f t="shared" si="4"/>
        <v>17.39</v>
      </c>
      <c r="J40" s="21">
        <f t="shared" si="4"/>
        <v>21.62</v>
      </c>
      <c r="K40" s="21">
        <f t="shared" si="4"/>
        <v>17.22</v>
      </c>
      <c r="L40" s="21">
        <f t="shared" si="4"/>
        <v>18.12</v>
      </c>
      <c r="M40" s="21">
        <f t="shared" si="4"/>
        <v>18.25</v>
      </c>
      <c r="N40" s="21">
        <f t="shared" si="4"/>
        <v>19.18</v>
      </c>
      <c r="O40" s="21">
        <f t="shared" si="4"/>
        <v>18.520000000000003</v>
      </c>
      <c r="P40" s="21">
        <f t="shared" si="4"/>
        <v>291.61999999999995</v>
      </c>
    </row>
    <row r="41" spans="1:16" x14ac:dyDescent="0.2">
      <c r="B41" s="2" t="s">
        <v>476</v>
      </c>
      <c r="D41" s="22">
        <v>3.09</v>
      </c>
      <c r="E41" s="22">
        <v>41.54</v>
      </c>
      <c r="F41" s="22">
        <v>2.2799999999999998</v>
      </c>
      <c r="G41" s="22">
        <v>7.11</v>
      </c>
      <c r="H41" s="22">
        <v>3.25</v>
      </c>
      <c r="I41" s="22">
        <v>2.44</v>
      </c>
      <c r="J41" s="22">
        <v>3.41</v>
      </c>
      <c r="K41" s="22">
        <v>2.96</v>
      </c>
      <c r="L41" s="22">
        <v>2.16</v>
      </c>
      <c r="M41" s="22">
        <v>2.37</v>
      </c>
      <c r="N41" s="22">
        <v>3.4</v>
      </c>
      <c r="O41" s="22">
        <v>3.75</v>
      </c>
      <c r="P41" s="22">
        <f t="shared" ref="P41:P54" si="5">SUM(D41:O41)</f>
        <v>77.759999999999991</v>
      </c>
    </row>
    <row r="42" spans="1:16" x14ac:dyDescent="0.2">
      <c r="B42" s="2" t="s">
        <v>477</v>
      </c>
      <c r="D42" s="22">
        <v>0</v>
      </c>
      <c r="E42" s="22">
        <v>0</v>
      </c>
      <c r="F42" s="22">
        <v>0</v>
      </c>
      <c r="G42" s="22">
        <v>0</v>
      </c>
      <c r="H42" s="22">
        <v>0</v>
      </c>
      <c r="I42" s="22">
        <v>0</v>
      </c>
      <c r="J42" s="22">
        <v>0</v>
      </c>
      <c r="K42" s="22">
        <v>0</v>
      </c>
      <c r="L42" s="22">
        <v>0</v>
      </c>
      <c r="M42" s="22">
        <v>0</v>
      </c>
      <c r="N42" s="22">
        <v>0</v>
      </c>
      <c r="O42" s="22">
        <v>0</v>
      </c>
      <c r="P42" s="22">
        <f t="shared" si="5"/>
        <v>0</v>
      </c>
    </row>
    <row r="43" spans="1:16" x14ac:dyDescent="0.2">
      <c r="B43" s="2" t="s">
        <v>56</v>
      </c>
      <c r="D43" s="22">
        <v>0</v>
      </c>
      <c r="E43" s="22">
        <v>0</v>
      </c>
      <c r="F43" s="22">
        <v>0</v>
      </c>
      <c r="G43" s="22">
        <v>0</v>
      </c>
      <c r="H43" s="22">
        <v>0</v>
      </c>
      <c r="I43" s="22">
        <v>0.03</v>
      </c>
      <c r="J43" s="22">
        <v>0.01</v>
      </c>
      <c r="K43" s="22">
        <v>0</v>
      </c>
      <c r="L43" s="22">
        <v>0</v>
      </c>
      <c r="M43" s="22">
        <v>0</v>
      </c>
      <c r="N43" s="22">
        <v>0</v>
      </c>
      <c r="O43" s="22">
        <v>0</v>
      </c>
      <c r="P43" s="22">
        <f t="shared" si="5"/>
        <v>0.04</v>
      </c>
    </row>
    <row r="44" spans="1:16" x14ac:dyDescent="0.2">
      <c r="B44" s="2" t="s">
        <v>478</v>
      </c>
      <c r="D44" s="22">
        <v>16.43</v>
      </c>
      <c r="E44" s="22">
        <v>12.15</v>
      </c>
      <c r="F44" s="22">
        <v>13.03</v>
      </c>
      <c r="G44" s="22">
        <v>15.62</v>
      </c>
      <c r="H44" s="22">
        <v>12.69</v>
      </c>
      <c r="I44" s="22">
        <v>10.76</v>
      </c>
      <c r="J44" s="22">
        <v>12.15</v>
      </c>
      <c r="K44" s="22">
        <v>10.82</v>
      </c>
      <c r="L44" s="22">
        <v>11.83</v>
      </c>
      <c r="M44" s="22">
        <v>12.55</v>
      </c>
      <c r="N44" s="22">
        <v>12.55</v>
      </c>
      <c r="O44" s="22">
        <v>10.5</v>
      </c>
      <c r="P44" s="22">
        <f t="shared" si="5"/>
        <v>151.08000000000001</v>
      </c>
    </row>
    <row r="45" spans="1:16" x14ac:dyDescent="0.2">
      <c r="B45" s="2" t="s">
        <v>58</v>
      </c>
      <c r="D45" s="22">
        <v>8.33</v>
      </c>
      <c r="E45" s="22">
        <v>7.52</v>
      </c>
      <c r="F45" s="22">
        <v>3.14</v>
      </c>
      <c r="G45" s="22">
        <v>2.58</v>
      </c>
      <c r="H45" s="22">
        <v>4.88</v>
      </c>
      <c r="I45" s="22">
        <v>2.81</v>
      </c>
      <c r="J45" s="22">
        <v>3.06</v>
      </c>
      <c r="K45" s="22">
        <v>2.38</v>
      </c>
      <c r="L45" s="22">
        <v>2.06</v>
      </c>
      <c r="M45" s="22">
        <v>1.74</v>
      </c>
      <c r="N45" s="22">
        <v>2.31</v>
      </c>
      <c r="O45" s="22">
        <v>3.12</v>
      </c>
      <c r="P45" s="22">
        <f t="shared" si="5"/>
        <v>43.930000000000007</v>
      </c>
    </row>
    <row r="46" spans="1:16" x14ac:dyDescent="0.2">
      <c r="B46" s="2" t="s">
        <v>59</v>
      </c>
      <c r="D46" s="22">
        <v>0.32</v>
      </c>
      <c r="E46" s="22">
        <v>0.53</v>
      </c>
      <c r="F46" s="22">
        <v>0.66</v>
      </c>
      <c r="G46" s="22">
        <v>0.26</v>
      </c>
      <c r="H46" s="22">
        <v>0.3</v>
      </c>
      <c r="I46" s="22">
        <v>0.42</v>
      </c>
      <c r="J46" s="22">
        <v>0.76</v>
      </c>
      <c r="K46" s="22">
        <v>0.27</v>
      </c>
      <c r="L46" s="22">
        <v>0.72</v>
      </c>
      <c r="M46" s="22">
        <v>0.39</v>
      </c>
      <c r="N46" s="22">
        <v>0.24</v>
      </c>
      <c r="O46" s="22">
        <v>0.5</v>
      </c>
      <c r="P46" s="22">
        <f t="shared" si="5"/>
        <v>5.37</v>
      </c>
    </row>
    <row r="47" spans="1:16" x14ac:dyDescent="0.2">
      <c r="B47" s="2" t="s">
        <v>479</v>
      </c>
      <c r="D47" s="22">
        <v>0.01</v>
      </c>
      <c r="E47" s="22">
        <v>0.05</v>
      </c>
      <c r="F47" s="22">
        <v>0.01</v>
      </c>
      <c r="G47" s="22">
        <v>0.05</v>
      </c>
      <c r="H47" s="22">
        <v>0</v>
      </c>
      <c r="I47" s="22">
        <v>0.02</v>
      </c>
      <c r="J47" s="22">
        <v>0.17</v>
      </c>
      <c r="K47" s="22">
        <v>0.02</v>
      </c>
      <c r="L47" s="22">
        <v>0.03</v>
      </c>
      <c r="M47" s="22">
        <v>0.02</v>
      </c>
      <c r="N47" s="22">
        <v>0.01</v>
      </c>
      <c r="O47" s="22">
        <v>0</v>
      </c>
      <c r="P47" s="22">
        <f t="shared" si="5"/>
        <v>0.39000000000000012</v>
      </c>
    </row>
    <row r="48" spans="1:16" x14ac:dyDescent="0.2">
      <c r="B48" s="2" t="s">
        <v>61</v>
      </c>
      <c r="D48" s="22">
        <v>0.38</v>
      </c>
      <c r="E48" s="22">
        <v>0.13</v>
      </c>
      <c r="F48" s="22">
        <v>0.1</v>
      </c>
      <c r="G48" s="22">
        <v>0.12</v>
      </c>
      <c r="H48" s="22">
        <v>0.18</v>
      </c>
      <c r="I48" s="22">
        <v>0.09</v>
      </c>
      <c r="J48" s="22">
        <v>0.15</v>
      </c>
      <c r="K48" s="22">
        <v>0.16</v>
      </c>
      <c r="L48" s="22">
        <v>0.13</v>
      </c>
      <c r="M48" s="22">
        <v>0.09</v>
      </c>
      <c r="N48" s="22">
        <v>7.0000000000000007E-2</v>
      </c>
      <c r="O48" s="22">
        <v>0.05</v>
      </c>
      <c r="P48" s="22">
        <f t="shared" si="5"/>
        <v>1.6500000000000001</v>
      </c>
    </row>
    <row r="49" spans="1:16" x14ac:dyDescent="0.2">
      <c r="B49" s="2" t="s">
        <v>62</v>
      </c>
      <c r="D49" s="22">
        <v>0</v>
      </c>
      <c r="E49" s="22">
        <v>0</v>
      </c>
      <c r="F49" s="22">
        <v>0</v>
      </c>
      <c r="G49" s="22">
        <v>0</v>
      </c>
      <c r="H49" s="22">
        <v>0</v>
      </c>
      <c r="I49" s="22">
        <v>0</v>
      </c>
      <c r="J49" s="22">
        <v>0</v>
      </c>
      <c r="K49" s="22">
        <v>0</v>
      </c>
      <c r="L49" s="22">
        <v>0</v>
      </c>
      <c r="M49" s="22">
        <v>0</v>
      </c>
      <c r="N49" s="22">
        <v>0</v>
      </c>
      <c r="O49" s="22">
        <v>0</v>
      </c>
      <c r="P49" s="22">
        <f t="shared" si="5"/>
        <v>0</v>
      </c>
    </row>
    <row r="50" spans="1:16" x14ac:dyDescent="0.2">
      <c r="B50" s="2" t="s">
        <v>63</v>
      </c>
      <c r="D50" s="22">
        <v>0.15</v>
      </c>
      <c r="E50" s="22">
        <v>0.12</v>
      </c>
      <c r="F50" s="22">
        <v>0.05</v>
      </c>
      <c r="G50" s="22">
        <v>0.17</v>
      </c>
      <c r="H50" s="22">
        <v>0.02</v>
      </c>
      <c r="I50" s="22">
        <v>0</v>
      </c>
      <c r="J50" s="22">
        <v>0.14000000000000001</v>
      </c>
      <c r="K50" s="22">
        <v>0.05</v>
      </c>
      <c r="L50" s="22">
        <v>0.11</v>
      </c>
      <c r="M50" s="22">
        <v>0.13</v>
      </c>
      <c r="N50" s="22">
        <v>0.01</v>
      </c>
      <c r="O50" s="22">
        <v>0.03</v>
      </c>
      <c r="P50" s="22">
        <f t="shared" si="5"/>
        <v>0.98000000000000009</v>
      </c>
    </row>
    <row r="51" spans="1:16" x14ac:dyDescent="0.2">
      <c r="B51" s="2" t="s">
        <v>64</v>
      </c>
      <c r="D51" s="22">
        <v>0.49</v>
      </c>
      <c r="E51" s="22">
        <v>0.16</v>
      </c>
      <c r="F51" s="22">
        <v>0.12</v>
      </c>
      <c r="G51" s="22">
        <v>7.0000000000000007E-2</v>
      </c>
      <c r="H51" s="22">
        <v>0.19</v>
      </c>
      <c r="I51" s="22">
        <v>0.23</v>
      </c>
      <c r="J51" s="22">
        <v>0.14000000000000001</v>
      </c>
      <c r="K51" s="22">
        <v>0.16</v>
      </c>
      <c r="L51" s="22">
        <v>0.14000000000000001</v>
      </c>
      <c r="M51" s="22">
        <v>0.46</v>
      </c>
      <c r="N51" s="22">
        <v>0.11</v>
      </c>
      <c r="O51" s="22">
        <v>0.17</v>
      </c>
      <c r="P51" s="22">
        <f t="shared" si="5"/>
        <v>2.4399999999999995</v>
      </c>
    </row>
    <row r="52" spans="1:16" x14ac:dyDescent="0.2">
      <c r="B52" s="2" t="s">
        <v>480</v>
      </c>
      <c r="D52" s="22">
        <v>0</v>
      </c>
      <c r="E52" s="22">
        <v>0</v>
      </c>
      <c r="F52" s="22">
        <v>0.02</v>
      </c>
      <c r="G52" s="22">
        <v>0</v>
      </c>
      <c r="H52" s="22">
        <v>0</v>
      </c>
      <c r="I52" s="22">
        <v>0</v>
      </c>
      <c r="J52" s="22">
        <v>0</v>
      </c>
      <c r="K52" s="22">
        <v>0</v>
      </c>
      <c r="L52" s="22">
        <v>0</v>
      </c>
      <c r="M52" s="22">
        <v>0</v>
      </c>
      <c r="N52" s="22">
        <v>0</v>
      </c>
      <c r="O52" s="22">
        <v>0</v>
      </c>
      <c r="P52" s="22">
        <f t="shared" si="5"/>
        <v>0.02</v>
      </c>
    </row>
    <row r="53" spans="1:16" x14ac:dyDescent="0.2">
      <c r="B53" s="2" t="s">
        <v>66</v>
      </c>
      <c r="D53" s="22">
        <v>0.01</v>
      </c>
      <c r="E53" s="22">
        <v>0.04</v>
      </c>
      <c r="F53" s="22">
        <v>0</v>
      </c>
      <c r="G53" s="22">
        <v>0</v>
      </c>
      <c r="H53" s="22">
        <v>0.01</v>
      </c>
      <c r="I53" s="22">
        <v>0</v>
      </c>
      <c r="J53" s="22">
        <v>0</v>
      </c>
      <c r="K53" s="22">
        <v>0</v>
      </c>
      <c r="L53" s="22">
        <v>0.01</v>
      </c>
      <c r="M53" s="22">
        <v>0</v>
      </c>
      <c r="N53" s="22">
        <v>0.02</v>
      </c>
      <c r="O53" s="22">
        <v>0</v>
      </c>
      <c r="P53" s="22">
        <f t="shared" si="5"/>
        <v>9.0000000000000011E-2</v>
      </c>
    </row>
    <row r="54" spans="1:16" x14ac:dyDescent="0.2">
      <c r="B54" s="2" t="s">
        <v>67</v>
      </c>
      <c r="D54" s="22">
        <v>0.45</v>
      </c>
      <c r="E54" s="22">
        <v>0.4</v>
      </c>
      <c r="F54" s="22">
        <v>0.28000000000000003</v>
      </c>
      <c r="G54" s="22">
        <v>0.79</v>
      </c>
      <c r="H54" s="22">
        <v>0.57999999999999996</v>
      </c>
      <c r="I54" s="22">
        <v>0.59</v>
      </c>
      <c r="J54" s="22">
        <v>0.75</v>
      </c>
      <c r="K54" s="22">
        <v>0.4</v>
      </c>
      <c r="L54" s="22">
        <v>0.84</v>
      </c>
      <c r="M54" s="22">
        <v>0.45</v>
      </c>
      <c r="N54" s="22">
        <v>0.4</v>
      </c>
      <c r="O54" s="22">
        <v>0.4</v>
      </c>
      <c r="P54" s="22">
        <f t="shared" si="5"/>
        <v>6.330000000000001</v>
      </c>
    </row>
    <row r="55" spans="1:16" x14ac:dyDescent="0.2">
      <c r="B55" s="2" t="s">
        <v>68</v>
      </c>
      <c r="D55" s="22">
        <v>0.24</v>
      </c>
      <c r="E55" s="22">
        <v>0.01</v>
      </c>
      <c r="F55" s="22">
        <v>0.19</v>
      </c>
      <c r="G55" s="22">
        <v>0.02</v>
      </c>
      <c r="H55" s="22">
        <v>0</v>
      </c>
      <c r="I55" s="22">
        <v>0</v>
      </c>
      <c r="J55" s="22">
        <v>0.88</v>
      </c>
      <c r="K55" s="22">
        <v>0</v>
      </c>
      <c r="L55" s="22">
        <v>0.09</v>
      </c>
      <c r="M55" s="22">
        <v>0.05</v>
      </c>
      <c r="N55" s="22">
        <v>0.06</v>
      </c>
      <c r="O55" s="22">
        <v>0</v>
      </c>
      <c r="P55" s="22">
        <f>SUM(D55:O55)</f>
        <v>1.5400000000000003</v>
      </c>
    </row>
    <row r="56" spans="1:16" x14ac:dyDescent="0.2">
      <c r="D56" s="22"/>
      <c r="E56" s="22"/>
      <c r="F56" s="22"/>
      <c r="G56" s="22"/>
      <c r="H56" s="22"/>
      <c r="I56" s="22"/>
      <c r="J56" s="22"/>
      <c r="K56" s="22"/>
      <c r="L56" s="22"/>
      <c r="M56" s="22"/>
      <c r="N56" s="22"/>
      <c r="O56" s="22"/>
      <c r="P56" s="22"/>
    </row>
    <row r="57" spans="1:16" s="4" customFormat="1" ht="15" x14ac:dyDescent="0.25">
      <c r="A57" s="3" t="s">
        <v>481</v>
      </c>
      <c r="D57" s="21">
        <f>SUM(D58:D59)</f>
        <v>0.01</v>
      </c>
      <c r="E57" s="21">
        <f>SUM(E58:E59)</f>
        <v>0</v>
      </c>
      <c r="F57" s="21">
        <f>SUM(F58:F59)</f>
        <v>0.01</v>
      </c>
      <c r="G57" s="21">
        <v>0</v>
      </c>
      <c r="H57" s="21">
        <v>0</v>
      </c>
      <c r="I57" s="21">
        <v>0</v>
      </c>
      <c r="J57" s="21">
        <f t="shared" ref="J57:O57" si="6">SUM(J58:J59)</f>
        <v>0</v>
      </c>
      <c r="K57" s="21">
        <f t="shared" si="6"/>
        <v>0.01</v>
      </c>
      <c r="L57" s="21">
        <f t="shared" si="6"/>
        <v>0</v>
      </c>
      <c r="M57" s="21">
        <f t="shared" si="6"/>
        <v>0</v>
      </c>
      <c r="N57" s="21">
        <f t="shared" si="6"/>
        <v>0</v>
      </c>
      <c r="O57" s="21">
        <f t="shared" si="6"/>
        <v>0</v>
      </c>
      <c r="P57" s="21">
        <f>SUM(D57:O57)</f>
        <v>0.03</v>
      </c>
    </row>
    <row r="58" spans="1:16" x14ac:dyDescent="0.2">
      <c r="B58" s="2" t="s">
        <v>70</v>
      </c>
      <c r="D58" s="22">
        <v>0.01</v>
      </c>
      <c r="E58" s="22">
        <v>0</v>
      </c>
      <c r="F58" s="22">
        <v>0.01</v>
      </c>
      <c r="G58" s="22">
        <v>0</v>
      </c>
      <c r="H58" s="22">
        <v>0</v>
      </c>
      <c r="I58" s="22">
        <v>0</v>
      </c>
      <c r="J58" s="22">
        <v>0</v>
      </c>
      <c r="K58" s="22">
        <v>0.01</v>
      </c>
      <c r="L58" s="22">
        <v>0</v>
      </c>
      <c r="M58" s="22">
        <v>0</v>
      </c>
      <c r="N58" s="22">
        <v>0</v>
      </c>
      <c r="O58" s="22">
        <v>0</v>
      </c>
      <c r="P58" s="22">
        <f>SUM(D58:O58)</f>
        <v>0.03</v>
      </c>
    </row>
    <row r="59" spans="1:16" x14ac:dyDescent="0.2">
      <c r="B59" s="2" t="s">
        <v>482</v>
      </c>
      <c r="D59" s="22">
        <v>0</v>
      </c>
      <c r="E59" s="22">
        <v>0</v>
      </c>
      <c r="F59" s="22">
        <v>0</v>
      </c>
      <c r="G59" s="22">
        <v>0</v>
      </c>
      <c r="H59" s="22">
        <v>0</v>
      </c>
      <c r="I59" s="22">
        <v>0</v>
      </c>
      <c r="J59" s="22">
        <v>0</v>
      </c>
      <c r="K59" s="22">
        <v>0</v>
      </c>
      <c r="L59" s="22">
        <v>0</v>
      </c>
      <c r="M59" s="22">
        <v>0</v>
      </c>
      <c r="N59" s="22">
        <v>0</v>
      </c>
      <c r="O59" s="22">
        <v>0</v>
      </c>
      <c r="P59" s="22">
        <f>SUM(D59:O59)</f>
        <v>0</v>
      </c>
    </row>
    <row r="60" spans="1:16" x14ac:dyDescent="0.2">
      <c r="D60" s="22" t="s">
        <v>6</v>
      </c>
      <c r="E60" s="22" t="s">
        <v>6</v>
      </c>
      <c r="F60" s="22" t="s">
        <v>6</v>
      </c>
      <c r="G60" s="22" t="s">
        <v>6</v>
      </c>
      <c r="H60" s="22" t="s">
        <v>6</v>
      </c>
      <c r="I60" s="22" t="s">
        <v>6</v>
      </c>
      <c r="J60" s="22" t="s">
        <v>6</v>
      </c>
      <c r="K60" s="22" t="s">
        <v>6</v>
      </c>
      <c r="L60" s="22" t="s">
        <v>6</v>
      </c>
      <c r="M60" s="22" t="s">
        <v>6</v>
      </c>
      <c r="N60" s="22" t="s">
        <v>6</v>
      </c>
      <c r="O60" s="22" t="s">
        <v>6</v>
      </c>
      <c r="P60" s="22"/>
    </row>
    <row r="61" spans="1:16" s="4" customFormat="1" ht="15" x14ac:dyDescent="0.25">
      <c r="A61" s="3" t="s">
        <v>483</v>
      </c>
      <c r="D61" s="21">
        <f t="shared" ref="D61:O61" si="7">SUM(D62:D63)</f>
        <v>10.049999999999999</v>
      </c>
      <c r="E61" s="21">
        <f t="shared" si="7"/>
        <v>8.1199999999999992</v>
      </c>
      <c r="F61" s="21">
        <f t="shared" si="7"/>
        <v>6.5</v>
      </c>
      <c r="G61" s="21">
        <f t="shared" si="7"/>
        <v>5.66</v>
      </c>
      <c r="H61" s="21">
        <f t="shared" si="7"/>
        <v>7</v>
      </c>
      <c r="I61" s="21">
        <f t="shared" si="7"/>
        <v>10.77</v>
      </c>
      <c r="J61" s="21">
        <f t="shared" si="7"/>
        <v>9.7099999999999991</v>
      </c>
      <c r="K61" s="21">
        <f t="shared" si="7"/>
        <v>6.37</v>
      </c>
      <c r="L61" s="21">
        <f t="shared" si="7"/>
        <v>6.47</v>
      </c>
      <c r="M61" s="21">
        <f t="shared" si="7"/>
        <v>3.9899999999999998</v>
      </c>
      <c r="N61" s="21">
        <f t="shared" si="7"/>
        <v>3.7899999999999996</v>
      </c>
      <c r="O61" s="21">
        <f t="shared" si="7"/>
        <v>3.4299999999999997</v>
      </c>
      <c r="P61" s="21">
        <f>SUM(D61:O61)</f>
        <v>81.859999999999985</v>
      </c>
    </row>
    <row r="62" spans="1:16" x14ac:dyDescent="0.2">
      <c r="B62" s="2" t="s">
        <v>72</v>
      </c>
      <c r="D62" s="22">
        <v>10.02</v>
      </c>
      <c r="E62" s="22">
        <v>8.09</v>
      </c>
      <c r="F62" s="22">
        <v>6.49</v>
      </c>
      <c r="G62" s="22">
        <v>5.63</v>
      </c>
      <c r="H62" s="22">
        <v>6.95</v>
      </c>
      <c r="I62" s="22">
        <v>10.74</v>
      </c>
      <c r="J62" s="22">
        <v>9.6999999999999993</v>
      </c>
      <c r="K62" s="22">
        <v>6.36</v>
      </c>
      <c r="L62" s="22">
        <v>6.46</v>
      </c>
      <c r="M62" s="22">
        <v>3.98</v>
      </c>
      <c r="N62" s="22">
        <v>3.78</v>
      </c>
      <c r="O62" s="22">
        <v>3.42</v>
      </c>
      <c r="P62" s="22">
        <f>SUM(D62:O62)</f>
        <v>81.62</v>
      </c>
    </row>
    <row r="63" spans="1:16" x14ac:dyDescent="0.2">
      <c r="B63" s="2" t="s">
        <v>74</v>
      </c>
      <c r="D63" s="22">
        <v>0.03</v>
      </c>
      <c r="E63" s="22">
        <v>0.03</v>
      </c>
      <c r="F63" s="22">
        <v>0.01</v>
      </c>
      <c r="G63" s="22">
        <v>0.03</v>
      </c>
      <c r="H63" s="22">
        <v>0.05</v>
      </c>
      <c r="I63" s="22">
        <v>0.03</v>
      </c>
      <c r="J63" s="22">
        <v>0.01</v>
      </c>
      <c r="K63" s="22">
        <v>0.01</v>
      </c>
      <c r="L63" s="22">
        <v>0.01</v>
      </c>
      <c r="M63" s="22">
        <v>0.01</v>
      </c>
      <c r="N63" s="22">
        <v>0.01</v>
      </c>
      <c r="O63" s="22">
        <v>0.01</v>
      </c>
      <c r="P63" s="22">
        <f>SUM(D63:O63)</f>
        <v>0.24000000000000005</v>
      </c>
    </row>
    <row r="64" spans="1:16" x14ac:dyDescent="0.2">
      <c r="D64" s="22" t="s">
        <v>6</v>
      </c>
      <c r="E64" s="22" t="s">
        <v>6</v>
      </c>
      <c r="F64" s="22" t="s">
        <v>6</v>
      </c>
      <c r="G64" s="22" t="s">
        <v>6</v>
      </c>
      <c r="H64" s="22" t="s">
        <v>6</v>
      </c>
      <c r="I64" s="22" t="s">
        <v>6</v>
      </c>
      <c r="J64" s="22" t="s">
        <v>6</v>
      </c>
      <c r="K64" s="22" t="s">
        <v>6</v>
      </c>
      <c r="L64" s="22" t="s">
        <v>6</v>
      </c>
      <c r="M64" s="22" t="s">
        <v>6</v>
      </c>
      <c r="N64" s="22" t="s">
        <v>6</v>
      </c>
      <c r="O64" s="22" t="s">
        <v>6</v>
      </c>
      <c r="P64" s="22"/>
    </row>
    <row r="65" spans="1:16" s="4" customFormat="1" ht="15" x14ac:dyDescent="0.25">
      <c r="A65" s="3" t="s">
        <v>75</v>
      </c>
      <c r="D65" s="21">
        <f t="shared" ref="D65:M65" si="8">SUM(D66:D70)</f>
        <v>0</v>
      </c>
      <c r="E65" s="21">
        <f t="shared" si="8"/>
        <v>0</v>
      </c>
      <c r="F65" s="21">
        <f t="shared" si="8"/>
        <v>0</v>
      </c>
      <c r="G65" s="21">
        <f t="shared" si="8"/>
        <v>0.16</v>
      </c>
      <c r="H65" s="21">
        <f t="shared" si="8"/>
        <v>0.02</v>
      </c>
      <c r="I65" s="21">
        <f t="shared" si="8"/>
        <v>0.01</v>
      </c>
      <c r="J65" s="21">
        <f t="shared" si="8"/>
        <v>0.01</v>
      </c>
      <c r="K65" s="21">
        <f t="shared" si="8"/>
        <v>0</v>
      </c>
      <c r="L65" s="21">
        <f t="shared" si="8"/>
        <v>5.13</v>
      </c>
      <c r="M65" s="21">
        <f t="shared" si="8"/>
        <v>0</v>
      </c>
      <c r="N65" s="21">
        <v>0</v>
      </c>
      <c r="O65" s="21">
        <f>SUM(O66:O70)</f>
        <v>0.01</v>
      </c>
      <c r="P65" s="21">
        <f t="shared" ref="P65:P70" si="9">SUM(D65:O65)</f>
        <v>5.34</v>
      </c>
    </row>
    <row r="66" spans="1:16" x14ac:dyDescent="0.2">
      <c r="B66" s="2" t="s">
        <v>77</v>
      </c>
      <c r="D66" s="22">
        <v>0</v>
      </c>
      <c r="E66" s="22">
        <v>0</v>
      </c>
      <c r="F66" s="22">
        <v>0</v>
      </c>
      <c r="G66" s="22">
        <v>0.16</v>
      </c>
      <c r="H66" s="22">
        <v>0.02</v>
      </c>
      <c r="I66" s="22">
        <v>0.01</v>
      </c>
      <c r="J66" s="22">
        <v>0.01</v>
      </c>
      <c r="K66" s="22">
        <v>0</v>
      </c>
      <c r="L66" s="22">
        <v>5.13</v>
      </c>
      <c r="M66" s="22">
        <v>0</v>
      </c>
      <c r="N66" s="22">
        <v>0</v>
      </c>
      <c r="O66" s="22">
        <v>0.01</v>
      </c>
      <c r="P66" s="22">
        <f t="shared" si="9"/>
        <v>5.34</v>
      </c>
    </row>
    <row r="67" spans="1:16" x14ac:dyDescent="0.2">
      <c r="B67" s="2" t="s">
        <v>108</v>
      </c>
      <c r="D67" s="22">
        <v>0</v>
      </c>
      <c r="E67" s="22">
        <v>0</v>
      </c>
      <c r="F67" s="22">
        <v>0</v>
      </c>
      <c r="G67" s="22">
        <v>0</v>
      </c>
      <c r="H67" s="22">
        <v>0</v>
      </c>
      <c r="I67" s="22">
        <v>0</v>
      </c>
      <c r="J67" s="22">
        <v>0</v>
      </c>
      <c r="K67" s="22">
        <v>0</v>
      </c>
      <c r="L67" s="22">
        <v>0</v>
      </c>
      <c r="M67" s="22">
        <v>0</v>
      </c>
      <c r="N67" s="22">
        <v>0</v>
      </c>
      <c r="O67" s="22">
        <v>0</v>
      </c>
      <c r="P67" s="22">
        <f t="shared" si="9"/>
        <v>0</v>
      </c>
    </row>
    <row r="68" spans="1:16" x14ac:dyDescent="0.2">
      <c r="B68" s="2" t="s">
        <v>484</v>
      </c>
      <c r="D68" s="22">
        <v>0</v>
      </c>
      <c r="E68" s="22">
        <v>0</v>
      </c>
      <c r="F68" s="22">
        <v>0</v>
      </c>
      <c r="G68" s="22">
        <v>0</v>
      </c>
      <c r="H68" s="22">
        <v>0</v>
      </c>
      <c r="I68" s="22">
        <v>0</v>
      </c>
      <c r="J68" s="22">
        <v>0</v>
      </c>
      <c r="K68" s="22">
        <v>0</v>
      </c>
      <c r="L68" s="22">
        <v>0</v>
      </c>
      <c r="M68" s="22">
        <v>0</v>
      </c>
      <c r="N68" s="22">
        <v>0</v>
      </c>
      <c r="O68" s="22">
        <v>0</v>
      </c>
      <c r="P68" s="22">
        <f t="shared" si="9"/>
        <v>0</v>
      </c>
    </row>
    <row r="69" spans="1:16" x14ac:dyDescent="0.2">
      <c r="B69" s="2" t="s">
        <v>485</v>
      </c>
      <c r="D69" s="22">
        <v>0</v>
      </c>
      <c r="E69" s="22">
        <v>0</v>
      </c>
      <c r="F69" s="22">
        <v>0</v>
      </c>
      <c r="G69" s="22">
        <v>0</v>
      </c>
      <c r="H69" s="22">
        <v>0</v>
      </c>
      <c r="I69" s="22">
        <v>0</v>
      </c>
      <c r="J69" s="22">
        <v>0</v>
      </c>
      <c r="K69" s="22">
        <v>0</v>
      </c>
      <c r="L69" s="22">
        <v>0</v>
      </c>
      <c r="M69" s="22">
        <v>0</v>
      </c>
      <c r="N69" s="22">
        <v>0</v>
      </c>
      <c r="O69" s="22">
        <v>0</v>
      </c>
      <c r="P69" s="22">
        <f t="shared" si="9"/>
        <v>0</v>
      </c>
    </row>
    <row r="70" spans="1:16" x14ac:dyDescent="0.2">
      <c r="B70" s="2" t="s">
        <v>486</v>
      </c>
      <c r="D70" s="22">
        <v>0</v>
      </c>
      <c r="E70" s="22">
        <v>0</v>
      </c>
      <c r="F70" s="22">
        <v>0</v>
      </c>
      <c r="G70" s="22">
        <v>0</v>
      </c>
      <c r="H70" s="22">
        <v>0</v>
      </c>
      <c r="I70" s="22">
        <v>0</v>
      </c>
      <c r="J70" s="22">
        <v>0</v>
      </c>
      <c r="K70" s="22">
        <v>0</v>
      </c>
      <c r="L70" s="22">
        <v>0</v>
      </c>
      <c r="M70" s="22">
        <v>0</v>
      </c>
      <c r="N70" s="22">
        <v>0</v>
      </c>
      <c r="O70" s="22">
        <v>0</v>
      </c>
      <c r="P70" s="22">
        <f t="shared" si="9"/>
        <v>0</v>
      </c>
    </row>
    <row r="71" spans="1:16" x14ac:dyDescent="0.2">
      <c r="D71" s="22"/>
      <c r="E71" s="22"/>
      <c r="F71" s="22"/>
      <c r="G71" s="22"/>
      <c r="H71" s="22"/>
      <c r="I71" s="22"/>
      <c r="J71" s="22"/>
      <c r="K71" s="22"/>
      <c r="L71" s="22"/>
      <c r="M71" s="22"/>
      <c r="N71" s="22"/>
      <c r="O71" s="22"/>
      <c r="P71" s="22"/>
    </row>
    <row r="72" spans="1:16" s="4" customFormat="1" ht="15" x14ac:dyDescent="0.25">
      <c r="A72" s="3" t="s">
        <v>487</v>
      </c>
      <c r="D72" s="21">
        <f t="shared" ref="D72:O72" si="10">SUM(D73:D80)</f>
        <v>76.78</v>
      </c>
      <c r="E72" s="21">
        <f t="shared" si="10"/>
        <v>39.69</v>
      </c>
      <c r="F72" s="21">
        <f t="shared" si="10"/>
        <v>54.42</v>
      </c>
      <c r="G72" s="21">
        <f t="shared" si="10"/>
        <v>45.35</v>
      </c>
      <c r="H72" s="21">
        <f t="shared" si="10"/>
        <v>130.53</v>
      </c>
      <c r="I72" s="21">
        <f t="shared" si="10"/>
        <v>39.370000000000005</v>
      </c>
      <c r="J72" s="21">
        <f t="shared" si="10"/>
        <v>46.800000000000004</v>
      </c>
      <c r="K72" s="21">
        <f t="shared" si="10"/>
        <v>124.74000000000001</v>
      </c>
      <c r="L72" s="21">
        <f t="shared" si="10"/>
        <v>56.52000000000001</v>
      </c>
      <c r="M72" s="21">
        <f t="shared" si="10"/>
        <v>139.10999999999999</v>
      </c>
      <c r="N72" s="21">
        <f t="shared" si="10"/>
        <v>110.06000000000002</v>
      </c>
      <c r="O72" s="21">
        <f t="shared" si="10"/>
        <v>129.63</v>
      </c>
      <c r="P72" s="21">
        <f>SUM(D72:O72)</f>
        <v>993.00000000000011</v>
      </c>
    </row>
    <row r="73" spans="1:16" x14ac:dyDescent="0.2">
      <c r="B73" s="2" t="s">
        <v>79</v>
      </c>
      <c r="D73" s="22">
        <v>26.28</v>
      </c>
      <c r="E73" s="22">
        <v>23.1</v>
      </c>
      <c r="F73" s="22">
        <v>31.44</v>
      </c>
      <c r="G73" s="22">
        <v>21.78</v>
      </c>
      <c r="H73" s="22">
        <v>22.84</v>
      </c>
      <c r="I73" s="22">
        <v>21.78</v>
      </c>
      <c r="J73" s="22">
        <v>19.87</v>
      </c>
      <c r="K73" s="22">
        <v>23.86</v>
      </c>
      <c r="L73" s="22">
        <v>25.05</v>
      </c>
      <c r="M73" s="22">
        <v>18.72</v>
      </c>
      <c r="N73" s="22">
        <v>28.3</v>
      </c>
      <c r="O73" s="22">
        <v>19.760000000000002</v>
      </c>
      <c r="P73" s="22">
        <f t="shared" ref="P73:P80" si="11">SUM(D73:O73)</f>
        <v>282.78000000000003</v>
      </c>
    </row>
    <row r="74" spans="1:16" x14ac:dyDescent="0.2">
      <c r="B74" s="2" t="s">
        <v>80</v>
      </c>
      <c r="D74" s="22">
        <v>0.05</v>
      </c>
      <c r="E74" s="22">
        <v>0.04</v>
      </c>
      <c r="F74" s="22">
        <v>0.01</v>
      </c>
      <c r="G74" s="22">
        <v>0.01</v>
      </c>
      <c r="H74" s="22">
        <v>0.06</v>
      </c>
      <c r="I74" s="22">
        <v>0.02</v>
      </c>
      <c r="J74" s="22">
        <v>0.02</v>
      </c>
      <c r="K74" s="22">
        <v>7.0000000000000007E-2</v>
      </c>
      <c r="L74" s="22">
        <v>0.06</v>
      </c>
      <c r="M74" s="22">
        <v>0.02</v>
      </c>
      <c r="N74" s="22">
        <v>0.02</v>
      </c>
      <c r="O74" s="22">
        <v>0.03</v>
      </c>
      <c r="P74" s="22">
        <f t="shared" si="11"/>
        <v>0.41000000000000003</v>
      </c>
    </row>
    <row r="75" spans="1:16" x14ac:dyDescent="0.2">
      <c r="B75" s="2" t="s">
        <v>81</v>
      </c>
      <c r="D75" s="22">
        <v>0.64</v>
      </c>
      <c r="E75" s="22">
        <v>0.11</v>
      </c>
      <c r="F75" s="22">
        <v>0.61</v>
      </c>
      <c r="G75" s="22">
        <v>0.65</v>
      </c>
      <c r="H75" s="22">
        <v>1.17</v>
      </c>
      <c r="I75" s="22">
        <v>0.1</v>
      </c>
      <c r="J75" s="22">
        <v>0.56000000000000005</v>
      </c>
      <c r="K75" s="22">
        <v>0.21</v>
      </c>
      <c r="L75" s="22">
        <v>0.76</v>
      </c>
      <c r="M75" s="22">
        <v>1.02</v>
      </c>
      <c r="N75" s="22">
        <v>0.27</v>
      </c>
      <c r="O75" s="22">
        <v>0.02</v>
      </c>
      <c r="P75" s="22">
        <f t="shared" si="11"/>
        <v>6.1199999999999992</v>
      </c>
    </row>
    <row r="76" spans="1:16" x14ac:dyDescent="0.2">
      <c r="B76" s="2" t="s">
        <v>82</v>
      </c>
      <c r="D76" s="22">
        <v>5.13</v>
      </c>
      <c r="E76" s="22">
        <v>6.13</v>
      </c>
      <c r="F76" s="22">
        <v>4.92</v>
      </c>
      <c r="G76" s="22">
        <v>5.78</v>
      </c>
      <c r="H76" s="22">
        <v>4.7699999999999996</v>
      </c>
      <c r="I76" s="22">
        <v>5.76</v>
      </c>
      <c r="J76" s="22">
        <v>6.76</v>
      </c>
      <c r="K76" s="22">
        <v>5.62</v>
      </c>
      <c r="L76" s="22">
        <v>5.8</v>
      </c>
      <c r="M76" s="22">
        <v>6.07</v>
      </c>
      <c r="N76" s="22">
        <v>6.49</v>
      </c>
      <c r="O76" s="22">
        <v>6.03</v>
      </c>
      <c r="P76" s="22">
        <f t="shared" si="11"/>
        <v>69.259999999999991</v>
      </c>
    </row>
    <row r="77" spans="1:16" x14ac:dyDescent="0.2">
      <c r="B77" s="2" t="s">
        <v>83</v>
      </c>
      <c r="D77" s="22">
        <v>1</v>
      </c>
      <c r="E77" s="22">
        <v>0.31</v>
      </c>
      <c r="F77" s="22">
        <v>0.53</v>
      </c>
      <c r="G77" s="22">
        <v>0.37</v>
      </c>
      <c r="H77" s="22">
        <v>0.19</v>
      </c>
      <c r="I77" s="22">
        <v>0.47</v>
      </c>
      <c r="J77" s="22">
        <v>1.1499999999999999</v>
      </c>
      <c r="K77" s="22">
        <v>0.08</v>
      </c>
      <c r="L77" s="22">
        <v>0.34</v>
      </c>
      <c r="M77" s="22">
        <v>0.33</v>
      </c>
      <c r="N77" s="22">
        <v>0.1</v>
      </c>
      <c r="O77" s="22">
        <v>0.1</v>
      </c>
      <c r="P77" s="22">
        <f t="shared" si="11"/>
        <v>4.9699999999999989</v>
      </c>
    </row>
    <row r="78" spans="1:16" x14ac:dyDescent="0.2">
      <c r="B78" s="2" t="s">
        <v>84</v>
      </c>
      <c r="D78" s="22">
        <v>42.26</v>
      </c>
      <c r="E78" s="22">
        <v>7.71</v>
      </c>
      <c r="F78" s="22">
        <v>15.52</v>
      </c>
      <c r="G78" s="22">
        <v>15.96</v>
      </c>
      <c r="H78" s="22">
        <v>100.25</v>
      </c>
      <c r="I78" s="22">
        <v>10.06</v>
      </c>
      <c r="J78" s="22">
        <v>17.420000000000002</v>
      </c>
      <c r="K78" s="22">
        <v>93.43</v>
      </c>
      <c r="L78" s="22">
        <v>23.56</v>
      </c>
      <c r="M78" s="22">
        <v>111.67</v>
      </c>
      <c r="N78" s="22">
        <v>73.400000000000006</v>
      </c>
      <c r="O78" s="22">
        <v>103.16</v>
      </c>
      <c r="P78" s="22">
        <f t="shared" si="11"/>
        <v>614.4</v>
      </c>
    </row>
    <row r="79" spans="1:16" x14ac:dyDescent="0.2">
      <c r="B79" s="2" t="s">
        <v>488</v>
      </c>
      <c r="D79" s="22">
        <v>1.3</v>
      </c>
      <c r="E79" s="22">
        <v>0.98</v>
      </c>
      <c r="F79" s="22">
        <v>0.71</v>
      </c>
      <c r="G79" s="22">
        <v>0.55000000000000004</v>
      </c>
      <c r="H79" s="22">
        <v>0.57999999999999996</v>
      </c>
      <c r="I79" s="22">
        <v>0.62</v>
      </c>
      <c r="J79" s="22">
        <v>0.77</v>
      </c>
      <c r="K79" s="22">
        <v>0.64</v>
      </c>
      <c r="L79" s="22">
        <v>0.68</v>
      </c>
      <c r="M79" s="22">
        <v>0.65</v>
      </c>
      <c r="N79" s="22">
        <v>0.59</v>
      </c>
      <c r="O79" s="22">
        <v>0.49</v>
      </c>
      <c r="P79" s="22">
        <f t="shared" si="11"/>
        <v>8.56</v>
      </c>
    </row>
    <row r="80" spans="1:16" x14ac:dyDescent="0.2">
      <c r="B80" s="2" t="s">
        <v>87</v>
      </c>
      <c r="D80" s="22">
        <v>0.12</v>
      </c>
      <c r="E80" s="22">
        <v>1.31</v>
      </c>
      <c r="F80" s="22">
        <v>0.68</v>
      </c>
      <c r="G80" s="22">
        <v>0.25</v>
      </c>
      <c r="H80" s="22">
        <v>0.67</v>
      </c>
      <c r="I80" s="22">
        <v>0.56000000000000005</v>
      </c>
      <c r="J80" s="22">
        <v>0.25</v>
      </c>
      <c r="K80" s="22">
        <v>0.83</v>
      </c>
      <c r="L80" s="22">
        <v>0.27</v>
      </c>
      <c r="M80" s="22">
        <v>0.63</v>
      </c>
      <c r="N80" s="22">
        <v>0.89</v>
      </c>
      <c r="O80" s="22">
        <v>0.04</v>
      </c>
      <c r="P80" s="22">
        <f t="shared" si="11"/>
        <v>6.4999999999999991</v>
      </c>
    </row>
    <row r="81" spans="1:17" x14ac:dyDescent="0.2">
      <c r="D81" s="22"/>
      <c r="E81" s="22"/>
      <c r="F81" s="22"/>
      <c r="G81" s="22"/>
      <c r="H81" s="22"/>
      <c r="I81" s="22"/>
      <c r="J81" s="22"/>
      <c r="K81" s="22"/>
      <c r="L81" s="22"/>
      <c r="M81" s="22"/>
      <c r="N81" s="22"/>
      <c r="O81" s="22"/>
      <c r="P81" s="22"/>
    </row>
    <row r="82" spans="1:17" s="4" customFormat="1" ht="15" x14ac:dyDescent="0.25">
      <c r="A82" s="3" t="s">
        <v>88</v>
      </c>
      <c r="D82" s="21">
        <f t="shared" ref="D82:O82" si="12">SUM(D83:D86)</f>
        <v>157.75</v>
      </c>
      <c r="E82" s="21">
        <f t="shared" si="12"/>
        <v>117.81</v>
      </c>
      <c r="F82" s="21">
        <f t="shared" si="12"/>
        <v>120.51</v>
      </c>
      <c r="G82" s="21">
        <f t="shared" si="12"/>
        <v>158.69999999999999</v>
      </c>
      <c r="H82" s="21">
        <f t="shared" si="12"/>
        <v>100.60999999999999</v>
      </c>
      <c r="I82" s="21">
        <f t="shared" si="12"/>
        <v>77.580000000000013</v>
      </c>
      <c r="J82" s="21">
        <f t="shared" si="12"/>
        <v>145.54</v>
      </c>
      <c r="K82" s="21">
        <f t="shared" si="12"/>
        <v>102</v>
      </c>
      <c r="L82" s="21">
        <f t="shared" si="12"/>
        <v>96.95</v>
      </c>
      <c r="M82" s="21">
        <f t="shared" si="12"/>
        <v>103.34</v>
      </c>
      <c r="N82" s="21">
        <f t="shared" si="12"/>
        <v>95.22</v>
      </c>
      <c r="O82" s="21">
        <f t="shared" si="12"/>
        <v>121.85000000000001</v>
      </c>
      <c r="P82" s="21">
        <f>SUM(D82:O82)</f>
        <v>1397.86</v>
      </c>
      <c r="Q82" s="21"/>
    </row>
    <row r="83" spans="1:17" x14ac:dyDescent="0.2">
      <c r="B83" s="2" t="s">
        <v>89</v>
      </c>
      <c r="D83" s="22">
        <v>6.23</v>
      </c>
      <c r="E83" s="22">
        <v>5.74</v>
      </c>
      <c r="F83" s="22">
        <v>10.11</v>
      </c>
      <c r="G83" s="22">
        <v>9.93</v>
      </c>
      <c r="H83" s="22">
        <v>4.6399999999999997</v>
      </c>
      <c r="I83" s="22">
        <v>6.24</v>
      </c>
      <c r="J83" s="22">
        <v>6.43</v>
      </c>
      <c r="K83" s="22">
        <v>6.64</v>
      </c>
      <c r="L83" s="22">
        <v>4.13</v>
      </c>
      <c r="M83" s="22">
        <v>4.17</v>
      </c>
      <c r="N83" s="22">
        <v>2.34</v>
      </c>
      <c r="O83" s="22">
        <v>3.92</v>
      </c>
      <c r="P83" s="22">
        <f>SUM(D83:O83)</f>
        <v>70.52000000000001</v>
      </c>
    </row>
    <row r="84" spans="1:17" x14ac:dyDescent="0.2">
      <c r="B84" s="2" t="s">
        <v>90</v>
      </c>
      <c r="C84" s="2">
        <v>0.8</v>
      </c>
      <c r="D84" s="22">
        <v>0.76</v>
      </c>
      <c r="E84" s="22">
        <v>1.0900000000000001</v>
      </c>
      <c r="F84" s="22">
        <v>1.52</v>
      </c>
      <c r="G84" s="22">
        <v>3.28</v>
      </c>
      <c r="H84" s="22">
        <v>7.93</v>
      </c>
      <c r="I84" s="22">
        <v>11.67</v>
      </c>
      <c r="J84" s="22">
        <v>15.28</v>
      </c>
      <c r="K84" s="22">
        <v>5.42</v>
      </c>
      <c r="L84" s="22">
        <v>3.68</v>
      </c>
      <c r="M84" s="22">
        <v>4.5599999999999996</v>
      </c>
      <c r="N84" s="22">
        <v>3.44</v>
      </c>
      <c r="O84" s="22">
        <v>5.73</v>
      </c>
      <c r="P84" s="22">
        <f>SUM(D84:O84)</f>
        <v>64.36</v>
      </c>
    </row>
    <row r="85" spans="1:17" x14ac:dyDescent="0.2">
      <c r="B85" s="2" t="s">
        <v>91</v>
      </c>
      <c r="D85" s="22">
        <v>147.12</v>
      </c>
      <c r="E85" s="22">
        <v>109.64</v>
      </c>
      <c r="F85" s="22">
        <v>106.18</v>
      </c>
      <c r="G85" s="22">
        <v>144.26</v>
      </c>
      <c r="H85" s="22">
        <v>84.94</v>
      </c>
      <c r="I85" s="22">
        <v>58.77</v>
      </c>
      <c r="J85" s="22">
        <v>121.82</v>
      </c>
      <c r="K85" s="22">
        <v>75.349999999999994</v>
      </c>
      <c r="L85" s="22">
        <v>87.39</v>
      </c>
      <c r="M85" s="22">
        <v>90.74</v>
      </c>
      <c r="N85" s="22">
        <v>80.91</v>
      </c>
      <c r="O85" s="22">
        <v>109.68</v>
      </c>
      <c r="P85" s="22">
        <f>SUM(D85:O85)</f>
        <v>1216.8000000000002</v>
      </c>
    </row>
    <row r="86" spans="1:17" x14ac:dyDescent="0.2">
      <c r="B86" s="2" t="s">
        <v>489</v>
      </c>
      <c r="D86" s="22">
        <v>3.64</v>
      </c>
      <c r="E86" s="22">
        <v>1.34</v>
      </c>
      <c r="F86" s="22">
        <v>2.7</v>
      </c>
      <c r="G86" s="22">
        <v>1.23</v>
      </c>
      <c r="H86" s="22">
        <v>3.1</v>
      </c>
      <c r="I86" s="22">
        <v>0.9</v>
      </c>
      <c r="J86" s="22">
        <v>2.0099999999999998</v>
      </c>
      <c r="K86" s="22">
        <v>14.59</v>
      </c>
      <c r="L86" s="22">
        <v>1.75</v>
      </c>
      <c r="M86" s="22">
        <v>3.87</v>
      </c>
      <c r="N86" s="22">
        <v>8.5299999999999994</v>
      </c>
      <c r="O86" s="22">
        <v>2.52</v>
      </c>
      <c r="P86" s="22">
        <f>SUM(D86:O86)</f>
        <v>46.18</v>
      </c>
    </row>
    <row r="87" spans="1:17" x14ac:dyDescent="0.2">
      <c r="D87" s="22"/>
      <c r="E87" s="22"/>
      <c r="F87" s="22"/>
      <c r="G87" s="22"/>
      <c r="H87" s="22"/>
      <c r="I87" s="22"/>
      <c r="J87" s="22"/>
      <c r="K87" s="22"/>
      <c r="L87" s="22"/>
      <c r="M87" s="22"/>
      <c r="N87" s="22"/>
      <c r="O87" s="22"/>
      <c r="P87" s="22"/>
    </row>
    <row r="88" spans="1:17" s="4" customFormat="1" ht="15" x14ac:dyDescent="0.25">
      <c r="A88" s="3" t="s">
        <v>92</v>
      </c>
      <c r="D88" s="21">
        <f>SUM(D89:D91)</f>
        <v>132.15</v>
      </c>
      <c r="E88" s="21">
        <f t="shared" ref="E88:P88" si="13">SUM(E89:E91)</f>
        <v>112.26</v>
      </c>
      <c r="F88" s="21">
        <f t="shared" si="13"/>
        <v>118.48</v>
      </c>
      <c r="G88" s="21">
        <f t="shared" si="13"/>
        <v>123.43</v>
      </c>
      <c r="H88" s="21">
        <f t="shared" si="13"/>
        <v>124.78</v>
      </c>
      <c r="I88" s="21">
        <f t="shared" si="13"/>
        <v>139.01</v>
      </c>
      <c r="J88" s="21">
        <f t="shared" si="13"/>
        <v>177.26</v>
      </c>
      <c r="K88" s="21">
        <f t="shared" si="13"/>
        <v>161.37</v>
      </c>
      <c r="L88" s="21">
        <f t="shared" si="13"/>
        <v>185.41</v>
      </c>
      <c r="M88" s="21">
        <f t="shared" si="13"/>
        <v>176.94</v>
      </c>
      <c r="N88" s="21">
        <f t="shared" si="13"/>
        <v>163.22</v>
      </c>
      <c r="O88" s="21">
        <f t="shared" si="13"/>
        <v>154.95000000000002</v>
      </c>
      <c r="P88" s="21">
        <f t="shared" si="13"/>
        <v>1769.2599999999998</v>
      </c>
    </row>
    <row r="89" spans="1:17" x14ac:dyDescent="0.2">
      <c r="B89" s="2" t="s">
        <v>490</v>
      </c>
      <c r="D89" s="22">
        <v>129.28</v>
      </c>
      <c r="E89" s="22">
        <v>109.58</v>
      </c>
      <c r="F89" s="22">
        <v>115.54</v>
      </c>
      <c r="G89" s="22">
        <v>120.54</v>
      </c>
      <c r="H89" s="22">
        <v>121.63</v>
      </c>
      <c r="I89" s="22">
        <v>135.79</v>
      </c>
      <c r="J89" s="22">
        <v>173.73</v>
      </c>
      <c r="K89" s="22">
        <v>158.4</v>
      </c>
      <c r="L89" s="22">
        <v>182.04</v>
      </c>
      <c r="M89" s="22">
        <v>173.57</v>
      </c>
      <c r="N89" s="22">
        <v>160.21</v>
      </c>
      <c r="O89" s="22">
        <v>152.33000000000001</v>
      </c>
      <c r="P89" s="22">
        <f>SUM(D89:O89)</f>
        <v>1732.6399999999999</v>
      </c>
    </row>
    <row r="90" spans="1:17" x14ac:dyDescent="0.2">
      <c r="B90" s="2" t="s">
        <v>94</v>
      </c>
      <c r="D90" s="22">
        <v>2.87</v>
      </c>
      <c r="E90" s="22">
        <v>2.68</v>
      </c>
      <c r="F90" s="22">
        <v>2.94</v>
      </c>
      <c r="G90" s="22">
        <v>2.89</v>
      </c>
      <c r="H90" s="22">
        <v>3.15</v>
      </c>
      <c r="I90" s="22">
        <v>3.22</v>
      </c>
      <c r="J90" s="22">
        <v>3.53</v>
      </c>
      <c r="K90" s="22">
        <v>2.97</v>
      </c>
      <c r="L90" s="22">
        <v>3.37</v>
      </c>
      <c r="M90" s="22">
        <v>3.37</v>
      </c>
      <c r="N90" s="22">
        <v>3.01</v>
      </c>
      <c r="O90" s="22">
        <v>2.62</v>
      </c>
      <c r="P90" s="22">
        <f>SUM(D90:O90)</f>
        <v>36.619999999999997</v>
      </c>
    </row>
    <row r="91" spans="1:17" x14ac:dyDescent="0.2">
      <c r="B91" s="2" t="s">
        <v>491</v>
      </c>
      <c r="D91" s="22">
        <v>0</v>
      </c>
      <c r="E91" s="22">
        <v>0</v>
      </c>
      <c r="F91" s="22">
        <v>0</v>
      </c>
      <c r="G91" s="22">
        <v>0</v>
      </c>
      <c r="H91" s="22">
        <v>0</v>
      </c>
      <c r="I91" s="22">
        <v>0</v>
      </c>
      <c r="J91" s="22">
        <v>0</v>
      </c>
      <c r="K91" s="22">
        <v>0</v>
      </c>
      <c r="L91" s="22">
        <v>0</v>
      </c>
      <c r="M91" s="22">
        <v>0</v>
      </c>
      <c r="N91" s="22">
        <v>0</v>
      </c>
      <c r="O91" s="22">
        <v>0</v>
      </c>
      <c r="P91" s="22">
        <f>SUM(D91:O91)</f>
        <v>0</v>
      </c>
    </row>
    <row r="92" spans="1:17" x14ac:dyDescent="0.2">
      <c r="D92" s="22"/>
      <c r="E92" s="22"/>
      <c r="F92" s="22"/>
      <c r="G92" s="22"/>
      <c r="H92" s="22"/>
      <c r="I92" s="22"/>
      <c r="J92" s="22"/>
      <c r="K92" s="22"/>
      <c r="L92" s="22"/>
      <c r="M92" s="22"/>
      <c r="N92" s="22"/>
      <c r="O92" s="22"/>
      <c r="P92" s="22"/>
    </row>
    <row r="93" spans="1:17" s="4" customFormat="1" ht="15" x14ac:dyDescent="0.25">
      <c r="A93" s="3" t="s">
        <v>96</v>
      </c>
      <c r="D93" s="21">
        <f t="shared" ref="D93:O93" si="14">SUM(D94:D100)</f>
        <v>15.49</v>
      </c>
      <c r="E93" s="21">
        <f t="shared" si="14"/>
        <v>13.64</v>
      </c>
      <c r="F93" s="21">
        <f t="shared" si="14"/>
        <v>17.420000000000002</v>
      </c>
      <c r="G93" s="21">
        <f t="shared" si="14"/>
        <v>11.75</v>
      </c>
      <c r="H93" s="21">
        <f t="shared" si="14"/>
        <v>14.58</v>
      </c>
      <c r="I93" s="21">
        <f t="shared" si="14"/>
        <v>14.21</v>
      </c>
      <c r="J93" s="21">
        <f t="shared" si="14"/>
        <v>16.920000000000002</v>
      </c>
      <c r="K93" s="21">
        <f t="shared" si="14"/>
        <v>15.299999999999999</v>
      </c>
      <c r="L93" s="21">
        <f t="shared" si="14"/>
        <v>21.52</v>
      </c>
      <c r="M93" s="21">
        <f t="shared" si="14"/>
        <v>11.850000000000001</v>
      </c>
      <c r="N93" s="21">
        <f t="shared" si="14"/>
        <v>13.36</v>
      </c>
      <c r="O93" s="21">
        <f t="shared" si="14"/>
        <v>17.760000000000002</v>
      </c>
      <c r="P93" s="21">
        <f>SUM(D93:O93)</f>
        <v>183.8</v>
      </c>
    </row>
    <row r="94" spans="1:17" x14ac:dyDescent="0.2">
      <c r="B94" s="2" t="s">
        <v>97</v>
      </c>
      <c r="D94" s="22">
        <v>14.41</v>
      </c>
      <c r="E94" s="22">
        <v>12.83</v>
      </c>
      <c r="F94" s="22">
        <v>16.350000000000001</v>
      </c>
      <c r="G94" s="22">
        <v>11.11</v>
      </c>
      <c r="H94" s="22">
        <v>12.61</v>
      </c>
      <c r="I94" s="22">
        <v>13.71</v>
      </c>
      <c r="J94" s="22">
        <v>15.71</v>
      </c>
      <c r="K94" s="22">
        <v>14.69</v>
      </c>
      <c r="L94" s="22">
        <v>20.7</v>
      </c>
      <c r="M94" s="22">
        <v>10.97</v>
      </c>
      <c r="N94" s="22">
        <v>12.62</v>
      </c>
      <c r="O94" s="22">
        <v>17.28</v>
      </c>
      <c r="P94" s="22">
        <f>SUM(D94:O94)</f>
        <v>172.99</v>
      </c>
    </row>
    <row r="95" spans="1:17" x14ac:dyDescent="0.2">
      <c r="B95" s="2" t="s">
        <v>98</v>
      </c>
      <c r="D95" s="22">
        <v>0.72</v>
      </c>
      <c r="E95" s="22">
        <v>0.47</v>
      </c>
      <c r="F95" s="22">
        <v>0.64</v>
      </c>
      <c r="G95" s="22">
        <v>0.3</v>
      </c>
      <c r="H95" s="22">
        <v>0.66</v>
      </c>
      <c r="I95" s="22">
        <v>0.22</v>
      </c>
      <c r="J95" s="22">
        <v>0.84</v>
      </c>
      <c r="K95" s="22">
        <v>0.34</v>
      </c>
      <c r="L95" s="22">
        <v>0.42</v>
      </c>
      <c r="M95" s="22">
        <v>0.54</v>
      </c>
      <c r="N95" s="22">
        <v>0.39</v>
      </c>
      <c r="O95" s="22">
        <v>0.22</v>
      </c>
      <c r="P95" s="22">
        <f>SUM(D95:O95)</f>
        <v>5.76</v>
      </c>
    </row>
    <row r="96" spans="1:17" x14ac:dyDescent="0.2">
      <c r="B96" s="2" t="s">
        <v>492</v>
      </c>
      <c r="D96" s="22">
        <v>0</v>
      </c>
      <c r="E96" s="22">
        <v>0</v>
      </c>
      <c r="F96" s="22">
        <v>0</v>
      </c>
      <c r="G96" s="22">
        <v>0</v>
      </c>
      <c r="H96" s="22">
        <v>0</v>
      </c>
      <c r="I96" s="22">
        <v>0</v>
      </c>
      <c r="J96" s="22">
        <v>0</v>
      </c>
      <c r="K96" s="22">
        <v>0</v>
      </c>
      <c r="L96" s="22">
        <v>0</v>
      </c>
      <c r="M96" s="22">
        <v>0</v>
      </c>
      <c r="N96" s="22">
        <v>0</v>
      </c>
      <c r="O96" s="22">
        <v>0</v>
      </c>
      <c r="P96" s="22">
        <f>SUM(D96:O96)</f>
        <v>0</v>
      </c>
    </row>
    <row r="97" spans="1:16" x14ac:dyDescent="0.2">
      <c r="B97" s="2" t="s">
        <v>493</v>
      </c>
      <c r="D97" s="22">
        <v>0</v>
      </c>
      <c r="E97" s="22">
        <v>0</v>
      </c>
      <c r="F97" s="22">
        <v>0</v>
      </c>
      <c r="G97" s="22">
        <v>0</v>
      </c>
      <c r="H97" s="22">
        <v>0</v>
      </c>
      <c r="I97" s="22">
        <v>0</v>
      </c>
      <c r="J97" s="22">
        <v>0</v>
      </c>
      <c r="K97" s="22">
        <v>0</v>
      </c>
      <c r="L97" s="22">
        <v>0</v>
      </c>
      <c r="M97" s="22">
        <v>0</v>
      </c>
      <c r="N97" s="22">
        <v>0</v>
      </c>
      <c r="O97" s="22">
        <v>0</v>
      </c>
      <c r="P97" s="22">
        <f>SUM(D97:O97)</f>
        <v>0</v>
      </c>
    </row>
    <row r="98" spans="1:16" x14ac:dyDescent="0.2">
      <c r="B98" s="2" t="s">
        <v>494</v>
      </c>
      <c r="D98" s="22"/>
      <c r="E98" s="22"/>
      <c r="F98" s="22"/>
      <c r="G98" s="22"/>
      <c r="H98" s="22"/>
      <c r="I98" s="22"/>
      <c r="J98" s="22"/>
      <c r="K98" s="22"/>
      <c r="L98" s="22"/>
      <c r="M98" s="22"/>
      <c r="N98" s="22"/>
      <c r="O98" s="22"/>
      <c r="P98" s="22"/>
    </row>
    <row r="99" spans="1:16" x14ac:dyDescent="0.2">
      <c r="B99" s="2" t="s">
        <v>495</v>
      </c>
      <c r="D99" s="22">
        <v>0.36</v>
      </c>
      <c r="E99" s="22">
        <v>0.34</v>
      </c>
      <c r="F99" s="22">
        <v>0.43</v>
      </c>
      <c r="G99" s="22">
        <v>0.34</v>
      </c>
      <c r="H99" s="22">
        <v>1.31</v>
      </c>
      <c r="I99" s="22">
        <v>0.28000000000000003</v>
      </c>
      <c r="J99" s="22">
        <v>0.37</v>
      </c>
      <c r="K99" s="22">
        <v>0.27</v>
      </c>
      <c r="L99" s="22">
        <v>0.4</v>
      </c>
      <c r="M99" s="22">
        <v>0.34</v>
      </c>
      <c r="N99" s="22">
        <v>0.35</v>
      </c>
      <c r="O99" s="22">
        <v>0.26</v>
      </c>
      <c r="P99" s="22">
        <f>SUM(D99:O99)</f>
        <v>5.05</v>
      </c>
    </row>
    <row r="100" spans="1:16" x14ac:dyDescent="0.2">
      <c r="B100" s="2" t="s">
        <v>496</v>
      </c>
      <c r="D100" s="22">
        <v>0</v>
      </c>
      <c r="E100" s="22">
        <v>0</v>
      </c>
      <c r="F100" s="22">
        <v>0</v>
      </c>
      <c r="G100" s="22">
        <v>0</v>
      </c>
      <c r="H100" s="22">
        <v>0</v>
      </c>
      <c r="I100" s="22">
        <v>0</v>
      </c>
      <c r="J100" s="22">
        <v>0</v>
      </c>
      <c r="K100" s="22">
        <v>0</v>
      </c>
      <c r="L100" s="22">
        <v>0</v>
      </c>
      <c r="M100" s="22">
        <v>0</v>
      </c>
      <c r="N100" s="22">
        <v>0</v>
      </c>
      <c r="O100" s="22">
        <v>0</v>
      </c>
      <c r="P100" s="22">
        <f>SUM(D100:O100)</f>
        <v>0</v>
      </c>
    </row>
    <row r="101" spans="1:16" x14ac:dyDescent="0.2">
      <c r="D101" s="22"/>
      <c r="E101" s="22"/>
      <c r="F101" s="22" t="s">
        <v>6</v>
      </c>
      <c r="G101" s="22"/>
      <c r="H101" s="22"/>
      <c r="I101" s="22"/>
      <c r="J101" s="22"/>
      <c r="K101" s="22"/>
      <c r="L101" s="22"/>
      <c r="M101" s="22"/>
      <c r="N101" s="22"/>
      <c r="O101" s="22"/>
      <c r="P101" s="22"/>
    </row>
    <row r="102" spans="1:16" s="4" customFormat="1" ht="15" x14ac:dyDescent="0.25">
      <c r="A102" s="3" t="s">
        <v>497</v>
      </c>
      <c r="C102" s="3"/>
      <c r="D102" s="21">
        <f t="shared" ref="D102:O102" si="15">SUM(D103:D105)</f>
        <v>18.73</v>
      </c>
      <c r="E102" s="21">
        <f t="shared" si="15"/>
        <v>19.46</v>
      </c>
      <c r="F102" s="21">
        <f t="shared" si="15"/>
        <v>13.52</v>
      </c>
      <c r="G102" s="21">
        <f t="shared" si="15"/>
        <v>4.41</v>
      </c>
      <c r="H102" s="21">
        <f t="shared" si="15"/>
        <v>6.1099999999999994</v>
      </c>
      <c r="I102" s="21">
        <f t="shared" si="15"/>
        <v>10.35</v>
      </c>
      <c r="J102" s="21">
        <f t="shared" si="15"/>
        <v>3.89</v>
      </c>
      <c r="K102" s="21">
        <f t="shared" si="15"/>
        <v>9.8000000000000007</v>
      </c>
      <c r="L102" s="21">
        <f t="shared" si="15"/>
        <v>10.760000000000002</v>
      </c>
      <c r="M102" s="21">
        <f t="shared" si="15"/>
        <v>5.91</v>
      </c>
      <c r="N102" s="21">
        <f t="shared" si="15"/>
        <v>2.4299999999999997</v>
      </c>
      <c r="O102" s="21">
        <f t="shared" si="15"/>
        <v>5.33</v>
      </c>
      <c r="P102" s="21">
        <f>SUM(D102:O102)</f>
        <v>110.69999999999997</v>
      </c>
    </row>
    <row r="103" spans="1:16" x14ac:dyDescent="0.2">
      <c r="B103" s="2" t="s">
        <v>103</v>
      </c>
      <c r="D103" s="22">
        <v>18.04</v>
      </c>
      <c r="E103" s="22">
        <v>13.25</v>
      </c>
      <c r="F103" s="22">
        <v>5.78</v>
      </c>
      <c r="G103" s="22">
        <v>2.93</v>
      </c>
      <c r="H103" s="22">
        <v>5.43</v>
      </c>
      <c r="I103" s="22">
        <v>9.76</v>
      </c>
      <c r="J103" s="22">
        <v>2.14</v>
      </c>
      <c r="K103" s="22">
        <v>4.2</v>
      </c>
      <c r="L103" s="22">
        <v>2.4700000000000002</v>
      </c>
      <c r="M103" s="22">
        <v>2.1</v>
      </c>
      <c r="N103" s="22">
        <v>1.63</v>
      </c>
      <c r="O103" s="22">
        <v>4.29</v>
      </c>
      <c r="P103" s="22">
        <f>SUM(D103:O103)</f>
        <v>72.02</v>
      </c>
    </row>
    <row r="104" spans="1:16" x14ac:dyDescent="0.2">
      <c r="B104" s="2" t="s">
        <v>105</v>
      </c>
      <c r="D104" s="22">
        <v>0.52</v>
      </c>
      <c r="E104" s="22">
        <v>5.95</v>
      </c>
      <c r="F104" s="22">
        <v>7.6</v>
      </c>
      <c r="G104" s="22">
        <v>1.22</v>
      </c>
      <c r="H104" s="22">
        <v>0.64</v>
      </c>
      <c r="I104" s="22">
        <v>0.52</v>
      </c>
      <c r="J104" s="22">
        <v>1.64</v>
      </c>
      <c r="K104" s="22">
        <v>5.14</v>
      </c>
      <c r="L104" s="22">
        <v>8.16</v>
      </c>
      <c r="M104" s="22">
        <v>3.64</v>
      </c>
      <c r="N104" s="22">
        <v>0.73</v>
      </c>
      <c r="O104" s="22">
        <v>0.25</v>
      </c>
      <c r="P104" s="22">
        <f>SUM(D104:O104)</f>
        <v>36.01</v>
      </c>
    </row>
    <row r="105" spans="1:16" x14ac:dyDescent="0.2">
      <c r="B105" s="2" t="s">
        <v>106</v>
      </c>
      <c r="D105" s="22">
        <v>0.17</v>
      </c>
      <c r="E105" s="22">
        <v>0.26</v>
      </c>
      <c r="F105" s="22">
        <v>0.14000000000000001</v>
      </c>
      <c r="G105" s="22">
        <v>0.26</v>
      </c>
      <c r="H105" s="22">
        <v>0.04</v>
      </c>
      <c r="I105" s="22">
        <v>7.0000000000000007E-2</v>
      </c>
      <c r="J105" s="22">
        <v>0.11</v>
      </c>
      <c r="K105" s="22">
        <v>0.46</v>
      </c>
      <c r="L105" s="22">
        <v>0.13</v>
      </c>
      <c r="M105" s="22">
        <v>0.17</v>
      </c>
      <c r="N105" s="22">
        <v>7.0000000000000007E-2</v>
      </c>
      <c r="O105" s="22">
        <v>0.79</v>
      </c>
      <c r="P105" s="22">
        <f>SUM(D105:O105)</f>
        <v>2.67</v>
      </c>
    </row>
    <row r="106" spans="1:16" x14ac:dyDescent="0.2">
      <c r="D106" s="22"/>
      <c r="E106" s="22"/>
      <c r="F106" s="22"/>
      <c r="G106" s="22"/>
      <c r="H106" s="22"/>
      <c r="I106" s="22"/>
      <c r="J106" s="22"/>
      <c r="K106" s="22"/>
      <c r="L106" s="22"/>
      <c r="M106" s="22"/>
      <c r="N106" s="22"/>
      <c r="O106" s="22"/>
      <c r="P106" s="22"/>
    </row>
    <row r="107" spans="1:16" s="4" customFormat="1" ht="15" x14ac:dyDescent="0.25">
      <c r="A107" s="3" t="s">
        <v>107</v>
      </c>
      <c r="D107" s="21">
        <f t="shared" ref="D107:O107" si="16">SUM(D108:D113)</f>
        <v>464.90999999999997</v>
      </c>
      <c r="E107" s="21">
        <f t="shared" si="16"/>
        <v>454.51</v>
      </c>
      <c r="F107" s="21">
        <f t="shared" si="16"/>
        <v>475.65000000000003</v>
      </c>
      <c r="G107" s="21">
        <f t="shared" si="16"/>
        <v>495.90999999999997</v>
      </c>
      <c r="H107" s="21">
        <f t="shared" si="16"/>
        <v>385.51</v>
      </c>
      <c r="I107" s="21">
        <f t="shared" si="16"/>
        <v>473.78</v>
      </c>
      <c r="J107" s="21">
        <f t="shared" si="16"/>
        <v>521.87</v>
      </c>
      <c r="K107" s="21">
        <f t="shared" si="16"/>
        <v>386.06</v>
      </c>
      <c r="L107" s="21">
        <f t="shared" si="16"/>
        <v>437.94</v>
      </c>
      <c r="M107" s="21">
        <f t="shared" si="16"/>
        <v>423.23999999999995</v>
      </c>
      <c r="N107" s="21">
        <f t="shared" si="16"/>
        <v>415.73</v>
      </c>
      <c r="O107" s="21">
        <f t="shared" si="16"/>
        <v>455.18000000000006</v>
      </c>
      <c r="P107" s="21">
        <f>SUM(D107:O107)</f>
        <v>5390.2899999999991</v>
      </c>
    </row>
    <row r="108" spans="1:16" x14ac:dyDescent="0.2">
      <c r="B108" s="2" t="s">
        <v>108</v>
      </c>
      <c r="D108" s="22">
        <v>1.91</v>
      </c>
      <c r="E108" s="22">
        <v>2.96</v>
      </c>
      <c r="F108" s="22">
        <v>2.33</v>
      </c>
      <c r="G108" s="22">
        <v>2.2000000000000002</v>
      </c>
      <c r="H108" s="22">
        <v>3.43</v>
      </c>
      <c r="I108" s="22">
        <v>2.8</v>
      </c>
      <c r="J108" s="22">
        <v>3.01</v>
      </c>
      <c r="K108" s="22">
        <v>1.64</v>
      </c>
      <c r="L108" s="22">
        <v>2.88</v>
      </c>
      <c r="M108" s="22">
        <v>2.2599999999999998</v>
      </c>
      <c r="N108" s="22">
        <v>2.5</v>
      </c>
      <c r="O108" s="22">
        <v>2.16</v>
      </c>
      <c r="P108" s="22">
        <f t="shared" ref="P108:P113" si="17">SUM(D108:O108)</f>
        <v>30.080000000000002</v>
      </c>
    </row>
    <row r="109" spans="1:16" x14ac:dyDescent="0.2">
      <c r="B109" s="2" t="s">
        <v>109</v>
      </c>
      <c r="D109" s="22">
        <v>0.1</v>
      </c>
      <c r="E109" s="22">
        <v>0</v>
      </c>
      <c r="F109" s="22">
        <v>0.12</v>
      </c>
      <c r="G109" s="22">
        <v>0</v>
      </c>
      <c r="H109" s="22">
        <v>0.03</v>
      </c>
      <c r="I109" s="22">
        <v>0</v>
      </c>
      <c r="J109" s="22">
        <v>0.1</v>
      </c>
      <c r="K109" s="22">
        <v>0</v>
      </c>
      <c r="L109" s="22">
        <v>0.06</v>
      </c>
      <c r="M109" s="22">
        <v>0.01</v>
      </c>
      <c r="N109" s="22">
        <v>0.05</v>
      </c>
      <c r="O109" s="22">
        <v>0</v>
      </c>
      <c r="P109" s="22">
        <f t="shared" si="17"/>
        <v>0.47</v>
      </c>
    </row>
    <row r="110" spans="1:16" x14ac:dyDescent="0.2">
      <c r="B110" s="2" t="s">
        <v>110</v>
      </c>
      <c r="D110" s="22">
        <v>202.08</v>
      </c>
      <c r="E110" s="22">
        <v>157.08000000000001</v>
      </c>
      <c r="F110" s="22">
        <v>144.22</v>
      </c>
      <c r="G110" s="22">
        <v>161.91999999999999</v>
      </c>
      <c r="H110" s="22">
        <v>129.22</v>
      </c>
      <c r="I110" s="22">
        <v>163.19999999999999</v>
      </c>
      <c r="J110" s="22">
        <v>197.4</v>
      </c>
      <c r="K110" s="22">
        <v>121.63</v>
      </c>
      <c r="L110" s="22">
        <v>133.58000000000001</v>
      </c>
      <c r="M110" s="22">
        <v>128.56</v>
      </c>
      <c r="N110" s="22">
        <v>142.56</v>
      </c>
      <c r="O110" s="22">
        <v>144.86000000000001</v>
      </c>
      <c r="P110" s="22">
        <f t="shared" si="17"/>
        <v>1826.31</v>
      </c>
    </row>
    <row r="111" spans="1:16" x14ac:dyDescent="0.2">
      <c r="B111" s="2" t="s">
        <v>111</v>
      </c>
      <c r="D111" s="22">
        <v>211.41</v>
      </c>
      <c r="E111" s="22">
        <v>244.88</v>
      </c>
      <c r="F111" s="22">
        <v>283.81</v>
      </c>
      <c r="G111" s="22">
        <v>288.7</v>
      </c>
      <c r="H111" s="22">
        <v>216.47</v>
      </c>
      <c r="I111" s="22">
        <v>268.31</v>
      </c>
      <c r="J111" s="22">
        <v>271.49</v>
      </c>
      <c r="K111" s="22">
        <v>230.35</v>
      </c>
      <c r="L111" s="22">
        <v>259.10000000000002</v>
      </c>
      <c r="M111" s="22">
        <v>252.2</v>
      </c>
      <c r="N111" s="22">
        <v>233.76</v>
      </c>
      <c r="O111" s="22">
        <v>280.79000000000002</v>
      </c>
      <c r="P111" s="22">
        <f t="shared" si="17"/>
        <v>3041.2699999999995</v>
      </c>
    </row>
    <row r="112" spans="1:16" x14ac:dyDescent="0.2">
      <c r="B112" s="2" t="s">
        <v>112</v>
      </c>
      <c r="D112" s="22">
        <v>49.41</v>
      </c>
      <c r="E112" s="22">
        <v>49.59</v>
      </c>
      <c r="F112" s="22">
        <v>45.17</v>
      </c>
      <c r="G112" s="22">
        <v>43.09</v>
      </c>
      <c r="H112" s="22">
        <v>36.36</v>
      </c>
      <c r="I112" s="22">
        <v>39.47</v>
      </c>
      <c r="J112" s="22">
        <v>49.87</v>
      </c>
      <c r="K112" s="22">
        <v>32.44</v>
      </c>
      <c r="L112" s="22">
        <v>42.32</v>
      </c>
      <c r="M112" s="22">
        <v>40.21</v>
      </c>
      <c r="N112" s="22">
        <v>36.86</v>
      </c>
      <c r="O112" s="22">
        <v>27.37</v>
      </c>
      <c r="P112" s="22">
        <f t="shared" si="17"/>
        <v>492.16</v>
      </c>
    </row>
    <row r="113" spans="1:16" x14ac:dyDescent="0.2">
      <c r="B113" s="2" t="s">
        <v>498</v>
      </c>
      <c r="D113" s="22">
        <v>0</v>
      </c>
      <c r="E113" s="22">
        <v>0</v>
      </c>
      <c r="F113" s="22">
        <v>0</v>
      </c>
      <c r="G113" s="22">
        <v>0</v>
      </c>
      <c r="H113" s="22">
        <v>0</v>
      </c>
      <c r="I113" s="22">
        <v>0</v>
      </c>
      <c r="J113" s="22">
        <v>0</v>
      </c>
      <c r="K113" s="22">
        <v>0</v>
      </c>
      <c r="L113" s="22">
        <v>0</v>
      </c>
      <c r="M113" s="22">
        <v>0</v>
      </c>
      <c r="N113" s="22">
        <v>0</v>
      </c>
      <c r="O113" s="22">
        <v>0</v>
      </c>
      <c r="P113" s="22">
        <f t="shared" si="17"/>
        <v>0</v>
      </c>
    </row>
    <row r="114" spans="1:16" x14ac:dyDescent="0.2">
      <c r="D114" s="22"/>
      <c r="E114" s="22"/>
      <c r="F114" s="22"/>
      <c r="G114" s="22"/>
      <c r="H114" s="22"/>
      <c r="I114" s="22"/>
      <c r="J114" s="22"/>
      <c r="K114" s="22"/>
      <c r="L114" s="22"/>
      <c r="M114" s="22"/>
      <c r="N114" s="22"/>
      <c r="O114" s="22"/>
      <c r="P114" s="22"/>
    </row>
    <row r="115" spans="1:16" s="4" customFormat="1" ht="15" x14ac:dyDescent="0.25">
      <c r="A115" s="3" t="s">
        <v>499</v>
      </c>
      <c r="D115" s="21">
        <f t="shared" ref="D115:O115" si="18">SUM(D116:D128)</f>
        <v>45.26</v>
      </c>
      <c r="E115" s="21">
        <f t="shared" si="18"/>
        <v>36.6</v>
      </c>
      <c r="F115" s="21">
        <f t="shared" si="18"/>
        <v>37.200000000000003</v>
      </c>
      <c r="G115" s="21">
        <f t="shared" si="18"/>
        <v>39.76</v>
      </c>
      <c r="H115" s="21">
        <f t="shared" si="18"/>
        <v>41.940000000000005</v>
      </c>
      <c r="I115" s="21">
        <f t="shared" si="18"/>
        <v>38.79</v>
      </c>
      <c r="J115" s="21">
        <f t="shared" si="18"/>
        <v>41.199999999999996</v>
      </c>
      <c r="K115" s="21">
        <f t="shared" si="18"/>
        <v>38.14</v>
      </c>
      <c r="L115" s="21">
        <f t="shared" si="18"/>
        <v>40.32</v>
      </c>
      <c r="M115" s="21">
        <f t="shared" si="18"/>
        <v>39.130000000000003</v>
      </c>
      <c r="N115" s="21">
        <f t="shared" si="18"/>
        <v>37.440000000000005</v>
      </c>
      <c r="O115" s="21">
        <f t="shared" si="18"/>
        <v>33.43</v>
      </c>
      <c r="P115" s="21">
        <f>SUM(D115:O115)</f>
        <v>469.21</v>
      </c>
    </row>
    <row r="116" spans="1:16" x14ac:dyDescent="0.2">
      <c r="B116" s="2" t="s">
        <v>108</v>
      </c>
      <c r="D116" s="22">
        <v>8.7899999999999991</v>
      </c>
      <c r="E116" s="22">
        <v>9.82</v>
      </c>
      <c r="F116" s="22">
        <v>10.1</v>
      </c>
      <c r="G116" s="22">
        <v>9.33</v>
      </c>
      <c r="H116" s="22">
        <v>9.61</v>
      </c>
      <c r="I116" s="22">
        <v>9.24</v>
      </c>
      <c r="J116" s="22">
        <v>10.11</v>
      </c>
      <c r="K116" s="22">
        <v>8.75</v>
      </c>
      <c r="L116" s="22">
        <v>9.3000000000000007</v>
      </c>
      <c r="M116" s="22">
        <v>9.0500000000000007</v>
      </c>
      <c r="N116" s="22">
        <v>8.82</v>
      </c>
      <c r="O116" s="22">
        <v>8.3699999999999992</v>
      </c>
      <c r="P116" s="22">
        <f t="shared" ref="P116:P128" si="19">SUM(D116:O116)</f>
        <v>111.28999999999999</v>
      </c>
    </row>
    <row r="117" spans="1:16" x14ac:dyDescent="0.2">
      <c r="B117" s="2" t="s">
        <v>500</v>
      </c>
      <c r="D117" s="22">
        <v>0</v>
      </c>
      <c r="E117" s="22">
        <v>0</v>
      </c>
      <c r="F117" s="22">
        <v>0</v>
      </c>
      <c r="G117" s="22">
        <v>0</v>
      </c>
      <c r="H117" s="22">
        <v>0</v>
      </c>
      <c r="I117" s="22">
        <v>0</v>
      </c>
      <c r="J117" s="22">
        <v>0</v>
      </c>
      <c r="K117" s="22">
        <v>0</v>
      </c>
      <c r="L117" s="22">
        <v>0</v>
      </c>
      <c r="M117" s="22">
        <v>0</v>
      </c>
      <c r="N117" s="22">
        <v>0</v>
      </c>
      <c r="O117" s="22">
        <v>0.13</v>
      </c>
      <c r="P117" s="22">
        <f t="shared" si="19"/>
        <v>0.13</v>
      </c>
    </row>
    <row r="118" spans="1:16" x14ac:dyDescent="0.2">
      <c r="B118" s="2" t="s">
        <v>501</v>
      </c>
      <c r="D118" s="22">
        <v>0</v>
      </c>
      <c r="E118" s="22">
        <v>0</v>
      </c>
      <c r="F118" s="22">
        <v>0</v>
      </c>
      <c r="G118" s="22">
        <v>0</v>
      </c>
      <c r="H118" s="22">
        <v>0</v>
      </c>
      <c r="I118" s="22">
        <v>0</v>
      </c>
      <c r="J118" s="22">
        <v>0</v>
      </c>
      <c r="K118" s="22">
        <v>0</v>
      </c>
      <c r="L118" s="22">
        <v>0</v>
      </c>
      <c r="M118" s="22">
        <v>0</v>
      </c>
      <c r="N118" s="22">
        <v>0</v>
      </c>
      <c r="O118" s="22">
        <v>24.11</v>
      </c>
      <c r="P118" s="22">
        <f t="shared" si="19"/>
        <v>24.11</v>
      </c>
    </row>
    <row r="119" spans="1:16" x14ac:dyDescent="0.2">
      <c r="B119" s="2" t="s">
        <v>502</v>
      </c>
      <c r="D119" s="22">
        <v>0</v>
      </c>
      <c r="E119" s="22">
        <v>0</v>
      </c>
      <c r="F119" s="22">
        <v>0</v>
      </c>
      <c r="G119" s="22">
        <v>0</v>
      </c>
      <c r="H119" s="22">
        <v>0</v>
      </c>
      <c r="I119" s="22">
        <v>0</v>
      </c>
      <c r="J119" s="22">
        <v>0</v>
      </c>
      <c r="K119" s="22">
        <v>0</v>
      </c>
      <c r="L119" s="22">
        <v>0</v>
      </c>
      <c r="M119" s="22">
        <v>0</v>
      </c>
      <c r="N119" s="22">
        <v>0</v>
      </c>
      <c r="O119" s="22">
        <v>0</v>
      </c>
      <c r="P119" s="22">
        <f t="shared" si="19"/>
        <v>0</v>
      </c>
    </row>
    <row r="120" spans="1:16" x14ac:dyDescent="0.2">
      <c r="B120" s="2" t="s">
        <v>503</v>
      </c>
      <c r="D120" s="22">
        <v>0</v>
      </c>
      <c r="E120" s="22">
        <v>0</v>
      </c>
      <c r="F120" s="22">
        <v>0</v>
      </c>
      <c r="G120" s="22">
        <v>0</v>
      </c>
      <c r="H120" s="22">
        <v>0</v>
      </c>
      <c r="I120" s="22">
        <v>0</v>
      </c>
      <c r="J120" s="22">
        <v>0</v>
      </c>
      <c r="K120" s="22">
        <v>0</v>
      </c>
      <c r="L120" s="22">
        <v>0</v>
      </c>
      <c r="M120" s="22">
        <v>0</v>
      </c>
      <c r="N120" s="22">
        <v>0</v>
      </c>
      <c r="O120" s="22">
        <v>0</v>
      </c>
      <c r="P120" s="22">
        <f t="shared" si="19"/>
        <v>0</v>
      </c>
    </row>
    <row r="121" spans="1:16" x14ac:dyDescent="0.2">
      <c r="B121" s="2" t="s">
        <v>504</v>
      </c>
      <c r="D121" s="22">
        <v>0</v>
      </c>
      <c r="E121" s="22">
        <v>0</v>
      </c>
      <c r="F121" s="22">
        <v>0</v>
      </c>
      <c r="G121" s="22">
        <v>0</v>
      </c>
      <c r="H121" s="22">
        <v>0</v>
      </c>
      <c r="I121" s="22">
        <v>0</v>
      </c>
      <c r="J121" s="22">
        <v>0</v>
      </c>
      <c r="K121" s="22">
        <v>0</v>
      </c>
      <c r="L121" s="22">
        <v>0</v>
      </c>
      <c r="M121" s="22">
        <v>0</v>
      </c>
      <c r="N121" s="22">
        <v>0</v>
      </c>
      <c r="O121" s="22">
        <v>0</v>
      </c>
      <c r="P121" s="22">
        <f t="shared" si="19"/>
        <v>0</v>
      </c>
    </row>
    <row r="122" spans="1:16" x14ac:dyDescent="0.2">
      <c r="B122" s="2" t="s">
        <v>116</v>
      </c>
      <c r="D122" s="22">
        <v>0</v>
      </c>
      <c r="E122" s="22">
        <v>0</v>
      </c>
      <c r="F122" s="22">
        <v>0</v>
      </c>
      <c r="G122" s="22">
        <v>0</v>
      </c>
      <c r="H122" s="22">
        <v>0</v>
      </c>
      <c r="I122" s="22">
        <v>0</v>
      </c>
      <c r="J122" s="22">
        <v>0</v>
      </c>
      <c r="K122" s="22">
        <v>0</v>
      </c>
      <c r="L122" s="22">
        <v>0</v>
      </c>
      <c r="M122" s="22">
        <v>0</v>
      </c>
      <c r="N122" s="22">
        <v>0</v>
      </c>
      <c r="O122" s="22">
        <v>0</v>
      </c>
      <c r="P122" s="22">
        <f t="shared" si="19"/>
        <v>0</v>
      </c>
    </row>
    <row r="123" spans="1:16" x14ac:dyDescent="0.2">
      <c r="B123" s="2" t="s">
        <v>505</v>
      </c>
      <c r="D123" s="22">
        <v>0</v>
      </c>
      <c r="E123" s="22">
        <v>0</v>
      </c>
      <c r="F123" s="22">
        <v>0</v>
      </c>
      <c r="G123" s="22">
        <v>0</v>
      </c>
      <c r="H123" s="22">
        <v>0</v>
      </c>
      <c r="I123" s="22">
        <v>0</v>
      </c>
      <c r="J123" s="22">
        <v>0</v>
      </c>
      <c r="K123" s="22">
        <v>0</v>
      </c>
      <c r="L123" s="22">
        <v>0</v>
      </c>
      <c r="M123" s="22">
        <v>0</v>
      </c>
      <c r="N123" s="22">
        <v>0</v>
      </c>
      <c r="O123" s="22">
        <v>0</v>
      </c>
      <c r="P123" s="22">
        <f t="shared" si="19"/>
        <v>0</v>
      </c>
    </row>
    <row r="124" spans="1:16" x14ac:dyDescent="0.2">
      <c r="B124" s="2" t="s">
        <v>114</v>
      </c>
      <c r="D124" s="22">
        <v>0.01</v>
      </c>
      <c r="E124" s="22">
        <v>0</v>
      </c>
      <c r="F124" s="22">
        <v>0</v>
      </c>
      <c r="G124" s="22">
        <v>0</v>
      </c>
      <c r="H124" s="22">
        <v>0</v>
      </c>
      <c r="I124" s="22">
        <v>0.01</v>
      </c>
      <c r="J124" s="22">
        <v>0.02</v>
      </c>
      <c r="K124" s="22">
        <v>0</v>
      </c>
      <c r="L124" s="22">
        <v>0</v>
      </c>
      <c r="M124" s="22">
        <v>0</v>
      </c>
      <c r="N124" s="22">
        <v>0.01</v>
      </c>
      <c r="O124" s="22">
        <v>0</v>
      </c>
      <c r="P124" s="22">
        <f t="shared" si="19"/>
        <v>0.05</v>
      </c>
    </row>
    <row r="125" spans="1:16" x14ac:dyDescent="0.2">
      <c r="B125" s="2" t="s">
        <v>115</v>
      </c>
      <c r="D125" s="22">
        <v>0.18</v>
      </c>
      <c r="E125" s="22">
        <v>0.44</v>
      </c>
      <c r="F125" s="22">
        <v>0.13</v>
      </c>
      <c r="G125" s="22">
        <v>0.11</v>
      </c>
      <c r="H125" s="22">
        <v>0.08</v>
      </c>
      <c r="I125" s="22">
        <v>0.11</v>
      </c>
      <c r="J125" s="22">
        <v>0.14000000000000001</v>
      </c>
      <c r="K125" s="22">
        <v>0.32</v>
      </c>
      <c r="L125" s="22">
        <v>0.32</v>
      </c>
      <c r="M125" s="22">
        <v>0.1</v>
      </c>
      <c r="N125" s="22">
        <v>7.0000000000000007E-2</v>
      </c>
      <c r="O125" s="22">
        <v>0</v>
      </c>
      <c r="P125" s="22">
        <f t="shared" si="19"/>
        <v>2</v>
      </c>
    </row>
    <row r="126" spans="1:16" x14ac:dyDescent="0.2">
      <c r="B126" s="2" t="s">
        <v>506</v>
      </c>
      <c r="D126" s="22">
        <v>0</v>
      </c>
      <c r="E126" s="22">
        <v>0</v>
      </c>
      <c r="F126" s="22">
        <v>0</v>
      </c>
      <c r="G126" s="22">
        <v>0</v>
      </c>
      <c r="H126" s="22">
        <v>0</v>
      </c>
      <c r="I126" s="22">
        <v>0</v>
      </c>
      <c r="J126" s="22">
        <v>0</v>
      </c>
      <c r="K126" s="22">
        <v>0</v>
      </c>
      <c r="L126" s="22">
        <v>0</v>
      </c>
      <c r="M126" s="22">
        <v>0</v>
      </c>
      <c r="N126" s="22">
        <v>0</v>
      </c>
      <c r="O126" s="22">
        <v>0</v>
      </c>
      <c r="P126" s="22">
        <f t="shared" si="19"/>
        <v>0</v>
      </c>
    </row>
    <row r="127" spans="1:16" x14ac:dyDescent="0.2">
      <c r="B127" s="2" t="s">
        <v>118</v>
      </c>
      <c r="D127" s="22">
        <v>34.04</v>
      </c>
      <c r="E127" s="22">
        <v>25.57</v>
      </c>
      <c r="F127" s="22">
        <v>26.3</v>
      </c>
      <c r="G127" s="22">
        <v>29.74</v>
      </c>
      <c r="H127" s="22">
        <v>31.66</v>
      </c>
      <c r="I127" s="22">
        <v>28.53</v>
      </c>
      <c r="J127" s="22">
        <v>30.02</v>
      </c>
      <c r="K127" s="22">
        <v>28.35</v>
      </c>
      <c r="L127" s="22">
        <v>29.57</v>
      </c>
      <c r="M127" s="22">
        <v>29.23</v>
      </c>
      <c r="N127" s="22">
        <v>25.02</v>
      </c>
      <c r="O127" s="22">
        <v>0</v>
      </c>
      <c r="P127" s="22">
        <f t="shared" si="19"/>
        <v>318.03000000000003</v>
      </c>
    </row>
    <row r="128" spans="1:16" x14ac:dyDescent="0.2">
      <c r="B128" s="2" t="s">
        <v>507</v>
      </c>
      <c r="D128" s="22">
        <v>2.2400000000000002</v>
      </c>
      <c r="E128" s="22">
        <v>0.77</v>
      </c>
      <c r="F128" s="22">
        <v>0.67</v>
      </c>
      <c r="G128" s="22">
        <v>0.57999999999999996</v>
      </c>
      <c r="H128" s="22">
        <v>0.59</v>
      </c>
      <c r="I128" s="22">
        <v>0.9</v>
      </c>
      <c r="J128" s="22">
        <v>0.91</v>
      </c>
      <c r="K128" s="22">
        <v>0.72</v>
      </c>
      <c r="L128" s="22">
        <v>1.1299999999999999</v>
      </c>
      <c r="M128" s="22">
        <v>0.75</v>
      </c>
      <c r="N128" s="22">
        <v>3.52</v>
      </c>
      <c r="O128" s="22">
        <v>0.82</v>
      </c>
      <c r="P128" s="22">
        <f t="shared" si="19"/>
        <v>13.6</v>
      </c>
    </row>
    <row r="129" spans="1:16" x14ac:dyDescent="0.2">
      <c r="D129" s="22"/>
      <c r="E129" s="22"/>
      <c r="F129" s="22"/>
      <c r="G129" s="22"/>
      <c r="H129" s="22"/>
      <c r="I129" s="22"/>
      <c r="J129" s="22"/>
      <c r="K129" s="22"/>
      <c r="L129" s="22"/>
      <c r="M129" s="22"/>
      <c r="N129" s="22"/>
      <c r="O129" s="22"/>
      <c r="P129" s="22"/>
    </row>
    <row r="130" spans="1:16" s="4" customFormat="1" ht="15" x14ac:dyDescent="0.25">
      <c r="A130" s="3" t="s">
        <v>508</v>
      </c>
      <c r="D130" s="21">
        <f t="shared" ref="D130:O130" si="20">SUM(D131:D132)</f>
        <v>1</v>
      </c>
      <c r="E130" s="21">
        <f t="shared" si="20"/>
        <v>1.55</v>
      </c>
      <c r="F130" s="21">
        <f t="shared" si="20"/>
        <v>1.24</v>
      </c>
      <c r="G130" s="21">
        <f t="shared" si="20"/>
        <v>2.02</v>
      </c>
      <c r="H130" s="21">
        <f t="shared" si="20"/>
        <v>1.52</v>
      </c>
      <c r="I130" s="21">
        <f t="shared" si="20"/>
        <v>1.35</v>
      </c>
      <c r="J130" s="21">
        <f t="shared" si="20"/>
        <v>2.08</v>
      </c>
      <c r="K130" s="21">
        <f t="shared" si="20"/>
        <v>1</v>
      </c>
      <c r="L130" s="21">
        <f t="shared" si="20"/>
        <v>1.19</v>
      </c>
      <c r="M130" s="21">
        <f t="shared" si="20"/>
        <v>0.81</v>
      </c>
      <c r="N130" s="21">
        <f t="shared" si="20"/>
        <v>1.1599999999999999</v>
      </c>
      <c r="O130" s="21">
        <f t="shared" si="20"/>
        <v>2.14</v>
      </c>
      <c r="P130" s="21">
        <f>SUM(D130:O130)</f>
        <v>17.059999999999999</v>
      </c>
    </row>
    <row r="131" spans="1:16" x14ac:dyDescent="0.2">
      <c r="B131" s="2" t="s">
        <v>108</v>
      </c>
      <c r="D131" s="22">
        <v>0.95</v>
      </c>
      <c r="E131" s="22">
        <v>1.54</v>
      </c>
      <c r="F131" s="22">
        <v>1.24</v>
      </c>
      <c r="G131" s="22">
        <v>2.02</v>
      </c>
      <c r="H131" s="22">
        <v>1.52</v>
      </c>
      <c r="I131" s="22">
        <v>1.35</v>
      </c>
      <c r="J131" s="22">
        <v>2.08</v>
      </c>
      <c r="K131" s="22">
        <v>1</v>
      </c>
      <c r="L131" s="22">
        <v>1.19</v>
      </c>
      <c r="M131" s="22">
        <v>0.79</v>
      </c>
      <c r="N131" s="22">
        <v>1.1599999999999999</v>
      </c>
      <c r="O131" s="22">
        <v>2.14</v>
      </c>
      <c r="P131" s="22">
        <f>SUM(D131:O131)</f>
        <v>16.98</v>
      </c>
    </row>
    <row r="132" spans="1:16" x14ac:dyDescent="0.2">
      <c r="B132" s="2" t="s">
        <v>509</v>
      </c>
      <c r="D132" s="22">
        <v>0.05</v>
      </c>
      <c r="E132" s="22">
        <v>0.01</v>
      </c>
      <c r="F132" s="22">
        <v>0</v>
      </c>
      <c r="G132" s="22">
        <v>0</v>
      </c>
      <c r="H132" s="22">
        <v>0</v>
      </c>
      <c r="I132" s="22">
        <v>0</v>
      </c>
      <c r="J132" s="22">
        <v>0</v>
      </c>
      <c r="K132" s="22">
        <v>0</v>
      </c>
      <c r="L132" s="22">
        <v>0</v>
      </c>
      <c r="M132" s="22">
        <v>0.02</v>
      </c>
      <c r="N132" s="22">
        <v>0</v>
      </c>
      <c r="O132" s="22">
        <v>0</v>
      </c>
      <c r="P132" s="22">
        <f>SUM(D132:O132)</f>
        <v>0.08</v>
      </c>
    </row>
    <row r="133" spans="1:16" x14ac:dyDescent="0.2">
      <c r="D133" s="22"/>
      <c r="E133" s="22"/>
      <c r="F133" s="22"/>
      <c r="G133" s="22"/>
      <c r="H133" s="22"/>
      <c r="I133" s="22"/>
      <c r="J133" s="22"/>
      <c r="K133" s="22"/>
      <c r="L133" s="22"/>
      <c r="M133" s="22"/>
      <c r="N133" s="22"/>
      <c r="O133" s="22"/>
      <c r="P133" s="22"/>
    </row>
    <row r="134" spans="1:16" s="4" customFormat="1" ht="15" x14ac:dyDescent="0.25">
      <c r="A134" s="3" t="s">
        <v>510</v>
      </c>
      <c r="D134" s="21">
        <f>SUM(D135:D137)</f>
        <v>0.31</v>
      </c>
      <c r="E134" s="21">
        <f t="shared" ref="E134:P134" si="21">SUM(E135:E137)</f>
        <v>0.78</v>
      </c>
      <c r="F134" s="21">
        <f t="shared" si="21"/>
        <v>0.31</v>
      </c>
      <c r="G134" s="21">
        <f t="shared" si="21"/>
        <v>0.53</v>
      </c>
      <c r="H134" s="21">
        <f t="shared" si="21"/>
        <v>0.41000000000000003</v>
      </c>
      <c r="I134" s="21">
        <f t="shared" si="21"/>
        <v>0.14000000000000001</v>
      </c>
      <c r="J134" s="21">
        <f t="shared" si="21"/>
        <v>0.15</v>
      </c>
      <c r="K134" s="21">
        <f t="shared" si="21"/>
        <v>0.04</v>
      </c>
      <c r="L134" s="21">
        <f t="shared" si="21"/>
        <v>0.09</v>
      </c>
      <c r="M134" s="21">
        <f t="shared" si="21"/>
        <v>0.27</v>
      </c>
      <c r="N134" s="21">
        <f t="shared" si="21"/>
        <v>0.12</v>
      </c>
      <c r="O134" s="21">
        <f t="shared" si="21"/>
        <v>0.08</v>
      </c>
      <c r="P134" s="21">
        <f t="shared" si="21"/>
        <v>3.23</v>
      </c>
    </row>
    <row r="135" spans="1:16" x14ac:dyDescent="0.2">
      <c r="B135" s="2" t="s">
        <v>511</v>
      </c>
      <c r="D135" s="22">
        <v>0</v>
      </c>
      <c r="E135" s="22">
        <v>0</v>
      </c>
      <c r="F135" s="22">
        <v>0</v>
      </c>
      <c r="G135" s="22">
        <v>0</v>
      </c>
      <c r="H135" s="22">
        <v>0.01</v>
      </c>
      <c r="I135" s="22">
        <v>0</v>
      </c>
      <c r="J135" s="22">
        <v>0</v>
      </c>
      <c r="K135" s="22">
        <v>0</v>
      </c>
      <c r="L135" s="22">
        <v>0</v>
      </c>
      <c r="M135" s="22">
        <v>0</v>
      </c>
      <c r="N135" s="22">
        <v>0</v>
      </c>
      <c r="O135" s="22">
        <v>0</v>
      </c>
      <c r="P135" s="22">
        <f>SUM(D135:O135)</f>
        <v>0.01</v>
      </c>
    </row>
    <row r="136" spans="1:16" x14ac:dyDescent="0.2">
      <c r="B136" s="2" t="s">
        <v>512</v>
      </c>
      <c r="D136" s="22">
        <v>0.31</v>
      </c>
      <c r="E136" s="22">
        <v>0.78</v>
      </c>
      <c r="F136" s="22">
        <v>0.31</v>
      </c>
      <c r="G136" s="22">
        <v>0.53</v>
      </c>
      <c r="H136" s="22">
        <v>0.4</v>
      </c>
      <c r="I136" s="22">
        <v>0.14000000000000001</v>
      </c>
      <c r="J136" s="22">
        <v>0.15</v>
      </c>
      <c r="K136" s="22">
        <v>0.04</v>
      </c>
      <c r="L136" s="22">
        <v>0.09</v>
      </c>
      <c r="M136" s="22">
        <v>0.27</v>
      </c>
      <c r="N136" s="22">
        <v>0.12</v>
      </c>
      <c r="O136" s="22">
        <v>0.08</v>
      </c>
      <c r="P136" s="22">
        <f>SUM(D136:O136)</f>
        <v>3.22</v>
      </c>
    </row>
    <row r="137" spans="1:16" x14ac:dyDescent="0.2">
      <c r="A137" s="2" t="s">
        <v>6</v>
      </c>
      <c r="B137" s="2" t="s">
        <v>513</v>
      </c>
      <c r="D137" s="22">
        <v>0</v>
      </c>
      <c r="E137" s="22">
        <v>0</v>
      </c>
      <c r="F137" s="22">
        <v>0</v>
      </c>
      <c r="G137" s="22">
        <v>0</v>
      </c>
      <c r="H137" s="22">
        <v>0</v>
      </c>
      <c r="I137" s="22">
        <v>0</v>
      </c>
      <c r="J137" s="22">
        <v>0</v>
      </c>
      <c r="K137" s="22">
        <v>0</v>
      </c>
      <c r="L137" s="22">
        <v>0</v>
      </c>
      <c r="M137" s="22">
        <v>0</v>
      </c>
      <c r="N137" s="22">
        <v>0</v>
      </c>
      <c r="O137" s="22">
        <v>0</v>
      </c>
      <c r="P137" s="22">
        <f>SUM(D137:O137)</f>
        <v>0</v>
      </c>
    </row>
    <row r="138" spans="1:16" x14ac:dyDescent="0.2">
      <c r="D138" s="22"/>
      <c r="E138" s="22"/>
      <c r="F138" s="22"/>
      <c r="G138" s="22"/>
      <c r="H138" s="22"/>
      <c r="I138" s="22"/>
      <c r="J138" s="22"/>
      <c r="K138" s="22"/>
      <c r="L138" s="22"/>
      <c r="M138" s="22"/>
      <c r="N138" s="22"/>
      <c r="O138" s="22"/>
      <c r="P138" s="22"/>
    </row>
    <row r="139" spans="1:16" s="4" customFormat="1" ht="15" x14ac:dyDescent="0.25">
      <c r="A139" s="3" t="s">
        <v>514</v>
      </c>
      <c r="D139" s="21">
        <f t="shared" ref="D139:O139" si="22">SUM(D140:D144)</f>
        <v>34.649999999999991</v>
      </c>
      <c r="E139" s="21">
        <f t="shared" si="22"/>
        <v>48.739999999999995</v>
      </c>
      <c r="F139" s="21">
        <f t="shared" si="22"/>
        <v>51.87</v>
      </c>
      <c r="G139" s="21">
        <f t="shared" si="22"/>
        <v>60.25</v>
      </c>
      <c r="H139" s="21">
        <f t="shared" si="22"/>
        <v>65.390000000000015</v>
      </c>
      <c r="I139" s="21">
        <f t="shared" si="22"/>
        <v>30.59</v>
      </c>
      <c r="J139" s="21">
        <f t="shared" si="22"/>
        <v>50.17</v>
      </c>
      <c r="K139" s="21">
        <f t="shared" si="22"/>
        <v>29.07</v>
      </c>
      <c r="L139" s="21">
        <f t="shared" si="22"/>
        <v>39.67</v>
      </c>
      <c r="M139" s="21">
        <f t="shared" si="22"/>
        <v>35.97</v>
      </c>
      <c r="N139" s="21">
        <f t="shared" si="22"/>
        <v>65.58</v>
      </c>
      <c r="O139" s="21">
        <f t="shared" si="22"/>
        <v>11.719999999999999</v>
      </c>
      <c r="P139" s="21">
        <f t="shared" ref="P139:P144" si="23">SUM(D139:O139)</f>
        <v>523.66999999999996</v>
      </c>
    </row>
    <row r="140" spans="1:16" x14ac:dyDescent="0.2">
      <c r="B140" s="2" t="s">
        <v>123</v>
      </c>
      <c r="D140" s="22">
        <v>0.12</v>
      </c>
      <c r="E140" s="22">
        <v>0.04</v>
      </c>
      <c r="F140" s="22">
        <v>0.01</v>
      </c>
      <c r="G140" s="22">
        <v>0.04</v>
      </c>
      <c r="H140" s="22">
        <v>0.09</v>
      </c>
      <c r="I140" s="22">
        <v>0.04</v>
      </c>
      <c r="J140" s="22">
        <v>0.08</v>
      </c>
      <c r="K140" s="22">
        <v>0.01</v>
      </c>
      <c r="L140" s="22">
        <v>0.13</v>
      </c>
      <c r="M140" s="22">
        <v>7.0000000000000007E-2</v>
      </c>
      <c r="N140" s="22">
        <v>0.11</v>
      </c>
      <c r="O140" s="22">
        <v>0</v>
      </c>
      <c r="P140" s="22">
        <f t="shared" si="23"/>
        <v>0.7400000000000001</v>
      </c>
    </row>
    <row r="141" spans="1:16" x14ac:dyDescent="0.2">
      <c r="B141" s="2" t="s">
        <v>515</v>
      </c>
      <c r="D141" s="22">
        <v>0</v>
      </c>
      <c r="E141" s="22">
        <v>0</v>
      </c>
      <c r="F141" s="22">
        <v>0</v>
      </c>
      <c r="G141" s="22">
        <v>0</v>
      </c>
      <c r="H141" s="22">
        <v>0</v>
      </c>
      <c r="I141" s="22">
        <v>0</v>
      </c>
      <c r="J141" s="22">
        <v>0</v>
      </c>
      <c r="K141" s="22">
        <v>0</v>
      </c>
      <c r="L141" s="22">
        <v>0</v>
      </c>
      <c r="M141" s="22">
        <v>0</v>
      </c>
      <c r="N141" s="22">
        <v>0</v>
      </c>
      <c r="O141" s="22">
        <v>0.01</v>
      </c>
      <c r="P141" s="22">
        <f t="shared" si="23"/>
        <v>0.01</v>
      </c>
    </row>
    <row r="142" spans="1:16" x14ac:dyDescent="0.2">
      <c r="B142" s="2" t="s">
        <v>124</v>
      </c>
      <c r="D142" s="22">
        <v>34.409999999999997</v>
      </c>
      <c r="E142" s="22">
        <v>48.57</v>
      </c>
      <c r="F142" s="22">
        <v>51.83</v>
      </c>
      <c r="G142" s="22">
        <v>60.19</v>
      </c>
      <c r="H142" s="22">
        <v>65.290000000000006</v>
      </c>
      <c r="I142" s="22">
        <v>30.53</v>
      </c>
      <c r="J142" s="22">
        <v>50.07</v>
      </c>
      <c r="K142" s="22">
        <v>29.06</v>
      </c>
      <c r="L142" s="22">
        <v>39.53</v>
      </c>
      <c r="M142" s="22">
        <v>35.89</v>
      </c>
      <c r="N142" s="22">
        <v>65.459999999999994</v>
      </c>
      <c r="O142" s="22">
        <v>11.59</v>
      </c>
      <c r="P142" s="22">
        <f t="shared" si="23"/>
        <v>522.41999999999996</v>
      </c>
    </row>
    <row r="143" spans="1:16" x14ac:dyDescent="0.2">
      <c r="B143" s="2" t="s">
        <v>127</v>
      </c>
      <c r="D143" s="22">
        <v>0</v>
      </c>
      <c r="E143" s="22">
        <v>0.12</v>
      </c>
      <c r="F143" s="22">
        <v>0</v>
      </c>
      <c r="G143" s="22">
        <v>0</v>
      </c>
      <c r="H143" s="22">
        <v>0</v>
      </c>
      <c r="I143" s="22">
        <v>0</v>
      </c>
      <c r="J143" s="22">
        <v>0</v>
      </c>
      <c r="K143" s="22">
        <v>0</v>
      </c>
      <c r="L143" s="22">
        <v>0</v>
      </c>
      <c r="M143" s="22">
        <v>0</v>
      </c>
      <c r="N143" s="22">
        <v>0</v>
      </c>
      <c r="O143" s="22">
        <v>0</v>
      </c>
      <c r="P143" s="22">
        <f t="shared" si="23"/>
        <v>0.12</v>
      </c>
    </row>
    <row r="144" spans="1:16" x14ac:dyDescent="0.2">
      <c r="B144" s="2" t="s">
        <v>126</v>
      </c>
      <c r="D144" s="22">
        <v>0.12</v>
      </c>
      <c r="E144" s="22">
        <v>0.01</v>
      </c>
      <c r="F144" s="22">
        <v>0.03</v>
      </c>
      <c r="G144" s="22">
        <v>0.02</v>
      </c>
      <c r="H144" s="22">
        <v>0.01</v>
      </c>
      <c r="I144" s="22">
        <v>0.02</v>
      </c>
      <c r="J144" s="22">
        <v>0.02</v>
      </c>
      <c r="K144" s="22">
        <v>0</v>
      </c>
      <c r="L144" s="22">
        <v>0.01</v>
      </c>
      <c r="M144" s="22">
        <v>0.01</v>
      </c>
      <c r="N144" s="22">
        <v>0.01</v>
      </c>
      <c r="O144" s="22">
        <v>0.12</v>
      </c>
      <c r="P144" s="22">
        <f t="shared" si="23"/>
        <v>0.38</v>
      </c>
    </row>
    <row r="145" spans="1:16" x14ac:dyDescent="0.2">
      <c r="D145" s="22"/>
      <c r="E145" s="22"/>
      <c r="F145" s="22"/>
      <c r="G145" s="22"/>
      <c r="H145" s="22"/>
      <c r="I145" s="22"/>
      <c r="J145" s="22"/>
      <c r="K145" s="22"/>
      <c r="L145" s="22"/>
      <c r="M145" s="22"/>
      <c r="N145" s="22"/>
      <c r="O145" s="22"/>
      <c r="P145" s="22"/>
    </row>
    <row r="146" spans="1:16" s="4" customFormat="1" ht="15" x14ac:dyDescent="0.25">
      <c r="A146" s="3" t="s">
        <v>516</v>
      </c>
      <c r="D146" s="21">
        <f t="shared" ref="D146:P146" si="24">SUM(D147:D149)</f>
        <v>72.64</v>
      </c>
      <c r="E146" s="21">
        <f t="shared" si="24"/>
        <v>32.1</v>
      </c>
      <c r="F146" s="21">
        <f t="shared" si="24"/>
        <v>30</v>
      </c>
      <c r="G146" s="21">
        <f t="shared" si="24"/>
        <v>24.45</v>
      </c>
      <c r="H146" s="21">
        <f t="shared" si="24"/>
        <v>20.75</v>
      </c>
      <c r="I146" s="21">
        <f t="shared" si="24"/>
        <v>31.57</v>
      </c>
      <c r="J146" s="21">
        <f t="shared" si="24"/>
        <v>40.379999999999995</v>
      </c>
      <c r="K146" s="21">
        <f t="shared" si="24"/>
        <v>22.99</v>
      </c>
      <c r="L146" s="21">
        <f t="shared" si="24"/>
        <v>32.159999999999997</v>
      </c>
      <c r="M146" s="21">
        <f t="shared" si="24"/>
        <v>35.54</v>
      </c>
      <c r="N146" s="21">
        <f t="shared" si="24"/>
        <v>24.15</v>
      </c>
      <c r="O146" s="21">
        <f t="shared" si="24"/>
        <v>25.79</v>
      </c>
      <c r="P146" s="21">
        <f t="shared" si="24"/>
        <v>392.52</v>
      </c>
    </row>
    <row r="147" spans="1:16" x14ac:dyDescent="0.2">
      <c r="B147" s="2" t="s">
        <v>129</v>
      </c>
      <c r="D147" s="22">
        <v>67.95</v>
      </c>
      <c r="E147" s="22">
        <v>27.3</v>
      </c>
      <c r="F147" s="22">
        <v>25.28</v>
      </c>
      <c r="G147" s="22">
        <v>18.829999999999998</v>
      </c>
      <c r="H147" s="22">
        <v>18.23</v>
      </c>
      <c r="I147" s="22">
        <v>28.08</v>
      </c>
      <c r="J147" s="22">
        <v>36.909999999999997</v>
      </c>
      <c r="K147" s="22">
        <v>18.36</v>
      </c>
      <c r="L147" s="22">
        <v>25.56</v>
      </c>
      <c r="M147" s="22">
        <v>19.78</v>
      </c>
      <c r="N147" s="22">
        <v>18.22</v>
      </c>
      <c r="O147" s="22">
        <v>23.09</v>
      </c>
      <c r="P147" s="22">
        <f>SUM(D147:O147)</f>
        <v>327.58999999999997</v>
      </c>
    </row>
    <row r="148" spans="1:16" x14ac:dyDescent="0.2">
      <c r="B148" s="2" t="s">
        <v>131</v>
      </c>
      <c r="D148" s="22">
        <v>4.6900000000000004</v>
      </c>
      <c r="E148" s="22">
        <v>4.8</v>
      </c>
      <c r="F148" s="22">
        <v>4.72</v>
      </c>
      <c r="G148" s="22">
        <v>5.62</v>
      </c>
      <c r="H148" s="22">
        <v>2.52</v>
      </c>
      <c r="I148" s="22">
        <v>3.49</v>
      </c>
      <c r="J148" s="22">
        <v>3.47</v>
      </c>
      <c r="K148" s="22">
        <v>4.63</v>
      </c>
      <c r="L148" s="22">
        <v>6.6</v>
      </c>
      <c r="M148" s="22">
        <v>15.76</v>
      </c>
      <c r="N148" s="22">
        <v>5.93</v>
      </c>
      <c r="O148" s="22">
        <v>2.7</v>
      </c>
      <c r="P148" s="22">
        <f>SUM(D148:O148)</f>
        <v>64.930000000000007</v>
      </c>
    </row>
    <row r="149" spans="1:16" x14ac:dyDescent="0.2">
      <c r="B149" s="2" t="s">
        <v>133</v>
      </c>
      <c r="D149" s="22">
        <v>0</v>
      </c>
      <c r="E149" s="22">
        <v>0</v>
      </c>
      <c r="F149" s="22">
        <v>0</v>
      </c>
      <c r="G149" s="22">
        <v>0</v>
      </c>
      <c r="H149" s="22">
        <v>0</v>
      </c>
      <c r="I149" s="22">
        <v>0</v>
      </c>
      <c r="J149" s="22">
        <v>0</v>
      </c>
      <c r="K149" s="22">
        <v>0</v>
      </c>
      <c r="L149" s="22">
        <v>0</v>
      </c>
      <c r="M149" s="22">
        <v>0</v>
      </c>
      <c r="N149" s="22">
        <v>0</v>
      </c>
      <c r="O149" s="22">
        <v>0</v>
      </c>
      <c r="P149" s="22">
        <f>SUM(D149:O149)</f>
        <v>0</v>
      </c>
    </row>
    <row r="150" spans="1:16" x14ac:dyDescent="0.2">
      <c r="D150" s="22"/>
      <c r="E150" s="22"/>
      <c r="F150" s="22"/>
      <c r="G150" s="22"/>
      <c r="H150" s="22"/>
      <c r="I150" s="22"/>
      <c r="J150" s="22"/>
      <c r="K150" s="22"/>
      <c r="L150" s="22"/>
      <c r="M150" s="22"/>
      <c r="N150" s="22"/>
      <c r="O150" s="22"/>
      <c r="P150" s="22"/>
    </row>
    <row r="151" spans="1:16" s="4" customFormat="1" ht="15" x14ac:dyDescent="0.25">
      <c r="A151" s="3" t="s">
        <v>517</v>
      </c>
      <c r="D151" s="21">
        <f t="shared" ref="D151:O151" si="25">SUM(D152:D170)</f>
        <v>9.93</v>
      </c>
      <c r="E151" s="21">
        <f t="shared" si="25"/>
        <v>9.2200000000000024</v>
      </c>
      <c r="F151" s="21">
        <f t="shared" si="25"/>
        <v>8.67</v>
      </c>
      <c r="G151" s="21">
        <f t="shared" si="25"/>
        <v>9.8000000000000007</v>
      </c>
      <c r="H151" s="21">
        <f t="shared" si="25"/>
        <v>12.51</v>
      </c>
      <c r="I151" s="21">
        <f t="shared" si="25"/>
        <v>7.29</v>
      </c>
      <c r="J151" s="21">
        <f t="shared" si="25"/>
        <v>9.35</v>
      </c>
      <c r="K151" s="21">
        <f t="shared" si="25"/>
        <v>10.35</v>
      </c>
      <c r="L151" s="21">
        <f t="shared" si="25"/>
        <v>10.44</v>
      </c>
      <c r="M151" s="21">
        <f t="shared" si="25"/>
        <v>13.069999999999999</v>
      </c>
      <c r="N151" s="21">
        <f t="shared" si="25"/>
        <v>9.34</v>
      </c>
      <c r="O151" s="21">
        <f t="shared" si="25"/>
        <v>8.52</v>
      </c>
      <c r="P151" s="21">
        <f>SUM(D151:O151)</f>
        <v>118.48999999999998</v>
      </c>
    </row>
    <row r="152" spans="1:16" x14ac:dyDescent="0.2">
      <c r="B152" s="2" t="s">
        <v>141</v>
      </c>
      <c r="D152" s="22">
        <v>1.1299999999999999</v>
      </c>
      <c r="E152" s="22">
        <v>1.01</v>
      </c>
      <c r="F152" s="22">
        <v>0.85</v>
      </c>
      <c r="G152" s="22">
        <v>0.68</v>
      </c>
      <c r="H152" s="22">
        <v>1.22</v>
      </c>
      <c r="I152" s="22">
        <v>1.42</v>
      </c>
      <c r="J152" s="22">
        <v>1.87</v>
      </c>
      <c r="K152" s="22">
        <v>4.6900000000000004</v>
      </c>
      <c r="L152" s="22">
        <v>2.4500000000000002</v>
      </c>
      <c r="M152" s="22">
        <v>2.94</v>
      </c>
      <c r="N152" s="22">
        <v>1.88</v>
      </c>
      <c r="O152" s="22">
        <v>1.84</v>
      </c>
      <c r="P152" s="22">
        <f t="shared" ref="P152:P170" si="26">SUM(D152:O152)</f>
        <v>21.98</v>
      </c>
    </row>
    <row r="153" spans="1:16" x14ac:dyDescent="0.2">
      <c r="B153" s="2" t="s">
        <v>142</v>
      </c>
      <c r="D153" s="22">
        <v>0</v>
      </c>
      <c r="E153" s="22">
        <v>0</v>
      </c>
      <c r="F153" s="22">
        <v>0</v>
      </c>
      <c r="G153" s="22">
        <v>0</v>
      </c>
      <c r="H153" s="22">
        <v>0</v>
      </c>
      <c r="I153" s="22">
        <v>0</v>
      </c>
      <c r="J153" s="22">
        <v>0</v>
      </c>
      <c r="K153" s="22">
        <v>0</v>
      </c>
      <c r="L153" s="22">
        <v>0</v>
      </c>
      <c r="M153" s="22">
        <v>0</v>
      </c>
      <c r="N153" s="22">
        <v>0</v>
      </c>
      <c r="O153" s="22">
        <v>0</v>
      </c>
      <c r="P153" s="22">
        <f t="shared" si="26"/>
        <v>0</v>
      </c>
    </row>
    <row r="154" spans="1:16" x14ac:dyDescent="0.2">
      <c r="B154" s="2" t="s">
        <v>143</v>
      </c>
      <c r="D154" s="22">
        <v>0.2</v>
      </c>
      <c r="E154" s="22">
        <v>0.11</v>
      </c>
      <c r="F154" s="22">
        <v>0.19</v>
      </c>
      <c r="G154" s="22">
        <v>0.16</v>
      </c>
      <c r="H154" s="22">
        <v>0.13</v>
      </c>
      <c r="I154" s="22">
        <v>0.13</v>
      </c>
      <c r="J154" s="22">
        <v>0.28999999999999998</v>
      </c>
      <c r="K154" s="22">
        <v>0.13</v>
      </c>
      <c r="L154" s="22">
        <v>0.32</v>
      </c>
      <c r="M154" s="22">
        <v>0.26</v>
      </c>
      <c r="N154" s="22">
        <v>0.13</v>
      </c>
      <c r="O154" s="22">
        <v>0.01</v>
      </c>
      <c r="P154" s="22">
        <f t="shared" si="26"/>
        <v>2.0599999999999996</v>
      </c>
    </row>
    <row r="155" spans="1:16" x14ac:dyDescent="0.2">
      <c r="B155" s="2" t="s">
        <v>144</v>
      </c>
      <c r="D155" s="22">
        <v>0.13</v>
      </c>
      <c r="E155" s="22">
        <v>0.1</v>
      </c>
      <c r="F155" s="22">
        <v>0.09</v>
      </c>
      <c r="G155" s="22">
        <v>0.13</v>
      </c>
      <c r="H155" s="22">
        <v>0.11</v>
      </c>
      <c r="I155" s="22">
        <v>0.14000000000000001</v>
      </c>
      <c r="J155" s="22">
        <v>7.0000000000000007E-2</v>
      </c>
      <c r="K155" s="22">
        <v>0.15</v>
      </c>
      <c r="L155" s="22">
        <v>0.16</v>
      </c>
      <c r="M155" s="22">
        <v>0.17</v>
      </c>
      <c r="N155" s="22">
        <v>0.08</v>
      </c>
      <c r="O155" s="22">
        <v>0.28999999999999998</v>
      </c>
      <c r="P155" s="22">
        <f t="shared" si="26"/>
        <v>1.62</v>
      </c>
    </row>
    <row r="156" spans="1:16" x14ac:dyDescent="0.2">
      <c r="B156" s="2" t="s">
        <v>145</v>
      </c>
      <c r="D156" s="22">
        <v>2.6</v>
      </c>
      <c r="E156" s="22">
        <v>1.26</v>
      </c>
      <c r="F156" s="22">
        <v>1.45</v>
      </c>
      <c r="G156" s="22">
        <v>1.05</v>
      </c>
      <c r="H156" s="22">
        <v>1.32</v>
      </c>
      <c r="I156" s="22">
        <v>0.94</v>
      </c>
      <c r="J156" s="22">
        <v>1.42</v>
      </c>
      <c r="K156" s="22">
        <v>0.98</v>
      </c>
      <c r="L156" s="22">
        <v>1.1299999999999999</v>
      </c>
      <c r="M156" s="22">
        <v>1.1399999999999999</v>
      </c>
      <c r="N156" s="22">
        <v>1.17</v>
      </c>
      <c r="O156" s="22">
        <v>0.72</v>
      </c>
      <c r="P156" s="22">
        <f t="shared" si="26"/>
        <v>15.180000000000003</v>
      </c>
    </row>
    <row r="157" spans="1:16" x14ac:dyDescent="0.2">
      <c r="B157" s="2" t="s">
        <v>146</v>
      </c>
      <c r="D157" s="22">
        <v>2.12</v>
      </c>
      <c r="E157" s="22">
        <v>2.15</v>
      </c>
      <c r="F157" s="22">
        <v>2.8</v>
      </c>
      <c r="G157" s="22">
        <v>2.06</v>
      </c>
      <c r="H157" s="22">
        <v>2.8</v>
      </c>
      <c r="I157" s="22">
        <v>2.7</v>
      </c>
      <c r="J157" s="22">
        <v>3.64</v>
      </c>
      <c r="K157" s="22">
        <v>2.54</v>
      </c>
      <c r="L157" s="22">
        <v>3.42</v>
      </c>
      <c r="M157" s="22">
        <v>2.88</v>
      </c>
      <c r="N157" s="22">
        <v>2.4700000000000002</v>
      </c>
      <c r="O157" s="22">
        <v>2.31</v>
      </c>
      <c r="P157" s="22">
        <f t="shared" si="26"/>
        <v>31.889999999999993</v>
      </c>
    </row>
    <row r="158" spans="1:16" x14ac:dyDescent="0.2">
      <c r="B158" s="2" t="s">
        <v>147</v>
      </c>
      <c r="D158" s="22">
        <v>0</v>
      </c>
      <c r="E158" s="22">
        <v>0</v>
      </c>
      <c r="F158" s="22">
        <v>0</v>
      </c>
      <c r="G158" s="22">
        <v>0</v>
      </c>
      <c r="H158" s="22">
        <v>0</v>
      </c>
      <c r="I158" s="22">
        <v>0</v>
      </c>
      <c r="J158" s="22">
        <v>0</v>
      </c>
      <c r="K158" s="22">
        <v>0.02</v>
      </c>
      <c r="L158" s="22">
        <v>0.02</v>
      </c>
      <c r="M158" s="22">
        <v>0.02</v>
      </c>
      <c r="N158" s="22">
        <v>0.01</v>
      </c>
      <c r="O158" s="22">
        <v>0.04</v>
      </c>
      <c r="P158" s="22">
        <f t="shared" si="26"/>
        <v>0.10999999999999999</v>
      </c>
    </row>
    <row r="159" spans="1:16" x14ac:dyDescent="0.2">
      <c r="B159" s="2" t="s">
        <v>518</v>
      </c>
      <c r="D159" s="22">
        <v>0</v>
      </c>
      <c r="E159" s="22">
        <v>0</v>
      </c>
      <c r="F159" s="22">
        <v>0</v>
      </c>
      <c r="G159" s="22">
        <v>0</v>
      </c>
      <c r="H159" s="22">
        <v>0</v>
      </c>
      <c r="I159" s="22">
        <v>0</v>
      </c>
      <c r="J159" s="22">
        <v>0</v>
      </c>
      <c r="K159" s="22">
        <v>0</v>
      </c>
      <c r="L159" s="22">
        <v>7.0000000000000007E-2</v>
      </c>
      <c r="M159" s="22">
        <v>0</v>
      </c>
      <c r="N159" s="22">
        <v>0</v>
      </c>
      <c r="O159" s="22">
        <v>0</v>
      </c>
      <c r="P159" s="22">
        <f t="shared" si="26"/>
        <v>7.0000000000000007E-2</v>
      </c>
    </row>
    <row r="160" spans="1:16" x14ac:dyDescent="0.2">
      <c r="B160" s="2" t="s">
        <v>148</v>
      </c>
      <c r="D160" s="22">
        <v>0.47</v>
      </c>
      <c r="E160" s="22">
        <v>0.34</v>
      </c>
      <c r="F160" s="22">
        <v>0.23</v>
      </c>
      <c r="G160" s="22">
        <v>0.22</v>
      </c>
      <c r="H160" s="22">
        <v>0.17</v>
      </c>
      <c r="I160" s="22">
        <v>0.16</v>
      </c>
      <c r="J160" s="22">
        <v>0.14000000000000001</v>
      </c>
      <c r="K160" s="22">
        <v>0.11</v>
      </c>
      <c r="L160" s="22">
        <v>0.22</v>
      </c>
      <c r="M160" s="22">
        <v>0.2</v>
      </c>
      <c r="N160" s="22">
        <v>0.28000000000000003</v>
      </c>
      <c r="O160" s="22">
        <v>0.4</v>
      </c>
      <c r="P160" s="22">
        <f t="shared" si="26"/>
        <v>2.94</v>
      </c>
    </row>
    <row r="161" spans="1:16" x14ac:dyDescent="0.2">
      <c r="B161" s="2" t="s">
        <v>519</v>
      </c>
      <c r="D161" s="22">
        <v>0</v>
      </c>
      <c r="E161" s="22">
        <v>0</v>
      </c>
      <c r="F161" s="22">
        <v>0</v>
      </c>
      <c r="G161" s="22">
        <v>0</v>
      </c>
      <c r="H161" s="22">
        <v>0</v>
      </c>
      <c r="I161" s="22">
        <v>0</v>
      </c>
      <c r="J161" s="22">
        <v>0</v>
      </c>
      <c r="K161" s="22">
        <v>0</v>
      </c>
      <c r="L161" s="22">
        <v>0</v>
      </c>
      <c r="M161" s="22">
        <v>0</v>
      </c>
      <c r="N161" s="22">
        <v>0</v>
      </c>
      <c r="O161" s="22">
        <v>0</v>
      </c>
      <c r="P161" s="22">
        <f t="shared" si="26"/>
        <v>0</v>
      </c>
    </row>
    <row r="162" spans="1:16" x14ac:dyDescent="0.2">
      <c r="B162" s="2" t="s">
        <v>520</v>
      </c>
      <c r="D162" s="22">
        <v>0</v>
      </c>
      <c r="E162" s="22">
        <v>0</v>
      </c>
      <c r="F162" s="22">
        <v>0</v>
      </c>
      <c r="G162" s="22">
        <v>0</v>
      </c>
      <c r="H162" s="22">
        <v>0</v>
      </c>
      <c r="I162" s="22">
        <v>0</v>
      </c>
      <c r="J162" s="22">
        <v>0</v>
      </c>
      <c r="K162" s="22">
        <v>0</v>
      </c>
      <c r="L162" s="22">
        <v>0</v>
      </c>
      <c r="M162" s="22">
        <v>0</v>
      </c>
      <c r="N162" s="22">
        <v>0</v>
      </c>
      <c r="O162" s="22">
        <v>0</v>
      </c>
      <c r="P162" s="22">
        <f t="shared" si="26"/>
        <v>0</v>
      </c>
    </row>
    <row r="163" spans="1:16" x14ac:dyDescent="0.2">
      <c r="B163" s="2" t="s">
        <v>521</v>
      </c>
      <c r="D163" s="22">
        <v>0</v>
      </c>
      <c r="E163" s="22">
        <v>0</v>
      </c>
      <c r="F163" s="22">
        <v>0</v>
      </c>
      <c r="G163" s="22">
        <v>0</v>
      </c>
      <c r="H163" s="22">
        <v>0</v>
      </c>
      <c r="I163" s="22">
        <v>0</v>
      </c>
      <c r="J163" s="22">
        <v>0</v>
      </c>
      <c r="K163" s="22">
        <v>0</v>
      </c>
      <c r="L163" s="22">
        <v>0</v>
      </c>
      <c r="M163" s="22">
        <v>0</v>
      </c>
      <c r="N163" s="22">
        <v>0</v>
      </c>
      <c r="O163" s="22">
        <v>0</v>
      </c>
      <c r="P163" s="22">
        <f t="shared" si="26"/>
        <v>0</v>
      </c>
    </row>
    <row r="164" spans="1:16" x14ac:dyDescent="0.2">
      <c r="B164" s="2" t="s">
        <v>522</v>
      </c>
      <c r="D164" s="22">
        <v>0</v>
      </c>
      <c r="E164" s="22">
        <v>0</v>
      </c>
      <c r="F164" s="22">
        <v>0.1</v>
      </c>
      <c r="G164" s="22">
        <v>3.02</v>
      </c>
      <c r="H164" s="22">
        <v>0</v>
      </c>
      <c r="I164" s="22">
        <v>0.1</v>
      </c>
      <c r="J164" s="22">
        <v>0</v>
      </c>
      <c r="K164" s="22">
        <v>0</v>
      </c>
      <c r="L164" s="22">
        <v>0.21</v>
      </c>
      <c r="M164" s="22">
        <v>2.58</v>
      </c>
      <c r="N164" s="22">
        <v>0</v>
      </c>
      <c r="O164" s="22">
        <v>0</v>
      </c>
      <c r="P164" s="22">
        <f t="shared" si="26"/>
        <v>6.01</v>
      </c>
    </row>
    <row r="165" spans="1:16" x14ac:dyDescent="0.2">
      <c r="B165" s="2" t="s">
        <v>523</v>
      </c>
      <c r="D165" s="22">
        <v>0.03</v>
      </c>
      <c r="E165" s="22">
        <v>0.03</v>
      </c>
      <c r="F165" s="22">
        <v>0.02</v>
      </c>
      <c r="G165" s="22">
        <v>0.02</v>
      </c>
      <c r="H165" s="22">
        <v>0.01</v>
      </c>
      <c r="I165" s="22">
        <v>0.01</v>
      </c>
      <c r="J165" s="22">
        <v>0.03</v>
      </c>
      <c r="K165" s="22">
        <v>0.02</v>
      </c>
      <c r="L165" s="22">
        <v>0.04</v>
      </c>
      <c r="M165" s="22">
        <v>0.04</v>
      </c>
      <c r="N165" s="22">
        <v>0</v>
      </c>
      <c r="O165" s="22">
        <v>0</v>
      </c>
      <c r="P165" s="22">
        <f t="shared" si="26"/>
        <v>0.25</v>
      </c>
    </row>
    <row r="166" spans="1:16" x14ac:dyDescent="0.2">
      <c r="B166" s="2" t="s">
        <v>150</v>
      </c>
      <c r="D166" s="22">
        <v>2.31</v>
      </c>
      <c r="E166" s="22">
        <v>2.44</v>
      </c>
      <c r="F166" s="22">
        <v>2.68</v>
      </c>
      <c r="G166" s="22">
        <v>1.46</v>
      </c>
      <c r="H166" s="22">
        <v>6.43</v>
      </c>
      <c r="I166" s="22">
        <v>1.4</v>
      </c>
      <c r="J166" s="22">
        <v>1.46</v>
      </c>
      <c r="K166" s="22">
        <v>1.38</v>
      </c>
      <c r="L166" s="22">
        <v>1.64</v>
      </c>
      <c r="M166" s="22">
        <v>2.2400000000000002</v>
      </c>
      <c r="N166" s="22">
        <v>2.63</v>
      </c>
      <c r="O166" s="22">
        <v>2.4</v>
      </c>
      <c r="P166" s="22">
        <f t="shared" si="26"/>
        <v>28.469999999999995</v>
      </c>
    </row>
    <row r="167" spans="1:16" x14ac:dyDescent="0.2">
      <c r="B167" s="2" t="s">
        <v>151</v>
      </c>
      <c r="D167" s="22">
        <v>0.31</v>
      </c>
      <c r="E167" s="22">
        <v>0.44</v>
      </c>
      <c r="F167" s="22">
        <v>0.26</v>
      </c>
      <c r="G167" s="22">
        <v>0.93</v>
      </c>
      <c r="H167" s="22">
        <v>0.32</v>
      </c>
      <c r="I167" s="22">
        <v>0.28000000000000003</v>
      </c>
      <c r="J167" s="22">
        <v>0.43</v>
      </c>
      <c r="K167" s="22">
        <v>0.27</v>
      </c>
      <c r="L167" s="22">
        <v>0.61</v>
      </c>
      <c r="M167" s="22">
        <v>0.45</v>
      </c>
      <c r="N167" s="22">
        <v>0.43</v>
      </c>
      <c r="O167" s="22">
        <v>0.5</v>
      </c>
      <c r="P167" s="22">
        <f t="shared" si="26"/>
        <v>5.2299999999999995</v>
      </c>
    </row>
    <row r="168" spans="1:16" x14ac:dyDescent="0.2">
      <c r="B168" s="2" t="s">
        <v>158</v>
      </c>
      <c r="D168" s="22">
        <v>0.01</v>
      </c>
      <c r="E168" s="22">
        <v>0</v>
      </c>
      <c r="F168" s="22">
        <v>0</v>
      </c>
      <c r="G168" s="22">
        <v>0</v>
      </c>
      <c r="H168" s="22">
        <v>0</v>
      </c>
      <c r="I168" s="22">
        <v>0</v>
      </c>
      <c r="J168" s="22">
        <v>0</v>
      </c>
      <c r="K168" s="22">
        <v>0.01</v>
      </c>
      <c r="L168" s="22">
        <v>0</v>
      </c>
      <c r="M168" s="22">
        <v>0</v>
      </c>
      <c r="N168" s="22">
        <v>0</v>
      </c>
      <c r="O168" s="22">
        <v>0</v>
      </c>
      <c r="P168" s="22">
        <f t="shared" si="26"/>
        <v>0.02</v>
      </c>
    </row>
    <row r="169" spans="1:16" x14ac:dyDescent="0.2">
      <c r="B169" s="2" t="s">
        <v>152</v>
      </c>
      <c r="D169" s="22">
        <v>0.28999999999999998</v>
      </c>
      <c r="E169" s="22">
        <v>0.19</v>
      </c>
      <c r="F169" s="22">
        <v>0</v>
      </c>
      <c r="G169" s="22">
        <v>7.0000000000000007E-2</v>
      </c>
      <c r="H169" s="22">
        <v>0</v>
      </c>
      <c r="I169" s="22">
        <v>0.01</v>
      </c>
      <c r="J169" s="22">
        <v>0</v>
      </c>
      <c r="K169" s="22">
        <v>0.05</v>
      </c>
      <c r="L169" s="22">
        <v>0.15</v>
      </c>
      <c r="M169" s="22">
        <v>0.15</v>
      </c>
      <c r="N169" s="22">
        <v>0.26</v>
      </c>
      <c r="O169" s="22">
        <v>0.01</v>
      </c>
      <c r="P169" s="22">
        <f t="shared" si="26"/>
        <v>1.1800000000000002</v>
      </c>
    </row>
    <row r="170" spans="1:16" x14ac:dyDescent="0.2">
      <c r="B170" s="2" t="s">
        <v>524</v>
      </c>
      <c r="D170" s="22">
        <v>0.33</v>
      </c>
      <c r="E170" s="22">
        <v>1.1499999999999999</v>
      </c>
      <c r="F170" s="22">
        <v>0</v>
      </c>
      <c r="G170" s="22">
        <v>0</v>
      </c>
      <c r="H170" s="22">
        <v>0</v>
      </c>
      <c r="I170" s="22">
        <v>0</v>
      </c>
      <c r="J170" s="22">
        <v>0</v>
      </c>
      <c r="K170" s="22">
        <v>0</v>
      </c>
      <c r="L170" s="22">
        <v>0</v>
      </c>
      <c r="M170" s="22">
        <v>0</v>
      </c>
      <c r="N170" s="22">
        <v>0</v>
      </c>
      <c r="O170" s="22">
        <v>0</v>
      </c>
      <c r="P170" s="22">
        <f t="shared" si="26"/>
        <v>1.48</v>
      </c>
    </row>
    <row r="171" spans="1:16" x14ac:dyDescent="0.2">
      <c r="D171" s="22"/>
      <c r="E171" s="22"/>
      <c r="F171" s="22"/>
      <c r="G171" s="22"/>
      <c r="H171" s="22"/>
      <c r="I171" s="22"/>
      <c r="J171" s="22"/>
      <c r="K171" s="22"/>
      <c r="L171" s="22"/>
      <c r="M171" s="22"/>
      <c r="N171" s="22"/>
      <c r="O171" s="22"/>
      <c r="P171" s="22"/>
    </row>
    <row r="172" spans="1:16" s="4" customFormat="1" ht="15" x14ac:dyDescent="0.25">
      <c r="A172" s="3" t="s">
        <v>525</v>
      </c>
      <c r="C172" s="3"/>
      <c r="D172" s="21">
        <f t="shared" ref="D172:O172" si="27">SUM(D173:D174)</f>
        <v>4.0599999999999996</v>
      </c>
      <c r="E172" s="21">
        <f t="shared" si="27"/>
        <v>0.9</v>
      </c>
      <c r="F172" s="21">
        <f t="shared" si="27"/>
        <v>1.36</v>
      </c>
      <c r="G172" s="21">
        <f t="shared" si="27"/>
        <v>1.47</v>
      </c>
      <c r="H172" s="21">
        <f t="shared" si="27"/>
        <v>1.48</v>
      </c>
      <c r="I172" s="21">
        <f t="shared" si="27"/>
        <v>1.67</v>
      </c>
      <c r="J172" s="21">
        <f t="shared" si="27"/>
        <v>1.74</v>
      </c>
      <c r="K172" s="21">
        <f t="shared" si="27"/>
        <v>0.93</v>
      </c>
      <c r="L172" s="21">
        <f t="shared" si="27"/>
        <v>1.02</v>
      </c>
      <c r="M172" s="21">
        <f t="shared" si="27"/>
        <v>0.72</v>
      </c>
      <c r="N172" s="21">
        <f t="shared" si="27"/>
        <v>0.66</v>
      </c>
      <c r="O172" s="21">
        <f t="shared" si="27"/>
        <v>0.85</v>
      </c>
      <c r="P172" s="21">
        <f>SUM(D172:O172)</f>
        <v>16.86</v>
      </c>
    </row>
    <row r="173" spans="1:16" x14ac:dyDescent="0.2">
      <c r="B173" s="2" t="s">
        <v>526</v>
      </c>
      <c r="D173" s="22">
        <v>4.0599999999999996</v>
      </c>
      <c r="E173" s="22">
        <v>0.9</v>
      </c>
      <c r="F173" s="22">
        <v>1.36</v>
      </c>
      <c r="G173" s="22">
        <v>1.47</v>
      </c>
      <c r="H173" s="22">
        <v>1.48</v>
      </c>
      <c r="I173" s="22">
        <v>1.67</v>
      </c>
      <c r="J173" s="22">
        <v>1.74</v>
      </c>
      <c r="K173" s="22">
        <v>0.93</v>
      </c>
      <c r="L173" s="22">
        <v>1.02</v>
      </c>
      <c r="M173" s="22">
        <v>0.72</v>
      </c>
      <c r="N173" s="22">
        <v>0.66</v>
      </c>
      <c r="O173" s="22">
        <v>0.85</v>
      </c>
      <c r="P173" s="22">
        <f>SUM(D173:O173)</f>
        <v>16.86</v>
      </c>
    </row>
    <row r="174" spans="1:16" x14ac:dyDescent="0.2">
      <c r="B174" s="2" t="s">
        <v>527</v>
      </c>
      <c r="D174" s="22">
        <v>0</v>
      </c>
      <c r="E174" s="22">
        <v>0</v>
      </c>
      <c r="F174" s="22">
        <v>0</v>
      </c>
      <c r="G174" s="22">
        <v>0</v>
      </c>
      <c r="H174" s="22">
        <v>0</v>
      </c>
      <c r="I174" s="22">
        <v>0</v>
      </c>
      <c r="J174" s="22">
        <v>0</v>
      </c>
      <c r="K174" s="22">
        <v>0</v>
      </c>
      <c r="L174" s="22">
        <v>0</v>
      </c>
      <c r="M174" s="22">
        <v>0</v>
      </c>
      <c r="N174" s="22">
        <v>0</v>
      </c>
      <c r="O174" s="22">
        <v>0</v>
      </c>
      <c r="P174" s="22">
        <f>SUM(D174:O174)</f>
        <v>0</v>
      </c>
    </row>
    <row r="175" spans="1:16" x14ac:dyDescent="0.2">
      <c r="D175" s="22"/>
      <c r="E175" s="22"/>
      <c r="F175" s="22"/>
      <c r="G175" s="22"/>
      <c r="H175" s="22"/>
      <c r="I175" s="22"/>
      <c r="J175" s="22"/>
      <c r="K175" s="22"/>
      <c r="L175" s="22"/>
      <c r="M175" s="22"/>
      <c r="N175" s="22"/>
      <c r="O175" s="22"/>
      <c r="P175" s="22"/>
    </row>
    <row r="176" spans="1:16" x14ac:dyDescent="0.2">
      <c r="D176" s="22"/>
      <c r="E176" s="22"/>
      <c r="F176" s="22"/>
      <c r="G176" s="22"/>
      <c r="H176" s="22"/>
      <c r="I176" s="22"/>
      <c r="J176" s="22"/>
      <c r="K176" s="22"/>
      <c r="L176" s="22"/>
      <c r="M176" s="22"/>
      <c r="N176" s="22"/>
      <c r="O176" s="22"/>
      <c r="P176" s="22"/>
    </row>
    <row r="177" spans="1:16" s="4" customFormat="1" ht="15" x14ac:dyDescent="0.25">
      <c r="A177" s="3" t="s">
        <v>161</v>
      </c>
      <c r="D177" s="21">
        <f t="shared" ref="D177:O177" si="28">SUM(D178:D180)</f>
        <v>3.12</v>
      </c>
      <c r="E177" s="21">
        <f t="shared" si="28"/>
        <v>2.61</v>
      </c>
      <c r="F177" s="21">
        <f t="shared" si="28"/>
        <v>9.5400000000000009</v>
      </c>
      <c r="G177" s="21">
        <f t="shared" si="28"/>
        <v>3.62</v>
      </c>
      <c r="H177" s="21">
        <f t="shared" si="28"/>
        <v>3.59</v>
      </c>
      <c r="I177" s="21">
        <f t="shared" si="28"/>
        <v>1.94</v>
      </c>
      <c r="J177" s="21">
        <f t="shared" si="28"/>
        <v>3.56</v>
      </c>
      <c r="K177" s="21">
        <f t="shared" si="28"/>
        <v>3.44</v>
      </c>
      <c r="L177" s="21">
        <f t="shared" si="28"/>
        <v>2.4000000000000004</v>
      </c>
      <c r="M177" s="21">
        <f t="shared" si="28"/>
        <v>9.6</v>
      </c>
      <c r="N177" s="21">
        <f t="shared" si="28"/>
        <v>4.46</v>
      </c>
      <c r="O177" s="21">
        <f t="shared" si="28"/>
        <v>3.93</v>
      </c>
      <c r="P177" s="21">
        <f>SUM(D177:O177)</f>
        <v>51.81</v>
      </c>
    </row>
    <row r="178" spans="1:16" x14ac:dyDescent="0.2">
      <c r="B178" s="2" t="s">
        <v>528</v>
      </c>
      <c r="D178" s="22">
        <v>0.44</v>
      </c>
      <c r="E178" s="22">
        <v>0.17</v>
      </c>
      <c r="F178" s="22">
        <v>0.31</v>
      </c>
      <c r="G178" s="22">
        <v>0.13</v>
      </c>
      <c r="H178" s="22">
        <v>1.76</v>
      </c>
      <c r="I178" s="22">
        <v>0.3</v>
      </c>
      <c r="J178" s="22">
        <v>0.31</v>
      </c>
      <c r="K178" s="22">
        <v>0.1</v>
      </c>
      <c r="L178" s="22">
        <v>0.16</v>
      </c>
      <c r="M178" s="22">
        <v>0.49</v>
      </c>
      <c r="N178" s="22">
        <v>0.18</v>
      </c>
      <c r="O178" s="22">
        <v>0.27</v>
      </c>
      <c r="P178" s="22">
        <f>SUM(D178:O178)</f>
        <v>4.6199999999999992</v>
      </c>
    </row>
    <row r="179" spans="1:16" x14ac:dyDescent="0.2">
      <c r="B179" s="2" t="s">
        <v>163</v>
      </c>
      <c r="D179" s="22">
        <v>0.01</v>
      </c>
      <c r="E179" s="22">
        <v>0</v>
      </c>
      <c r="F179" s="22">
        <v>0</v>
      </c>
      <c r="G179" s="22">
        <v>0</v>
      </c>
      <c r="H179" s="22">
        <v>0</v>
      </c>
      <c r="I179" s="22">
        <v>0</v>
      </c>
      <c r="J179" s="22">
        <v>0</v>
      </c>
      <c r="K179" s="22">
        <v>0</v>
      </c>
      <c r="L179" s="22">
        <v>0</v>
      </c>
      <c r="M179" s="22">
        <v>0</v>
      </c>
      <c r="N179" s="22">
        <v>0</v>
      </c>
      <c r="O179" s="22">
        <v>0</v>
      </c>
      <c r="P179" s="22">
        <f>SUM(D179:O179)</f>
        <v>0.01</v>
      </c>
    </row>
    <row r="180" spans="1:16" x14ac:dyDescent="0.2">
      <c r="B180" s="2" t="s">
        <v>165</v>
      </c>
      <c r="D180" s="22">
        <v>2.67</v>
      </c>
      <c r="E180" s="22">
        <v>2.44</v>
      </c>
      <c r="F180" s="22">
        <v>9.23</v>
      </c>
      <c r="G180" s="22">
        <v>3.49</v>
      </c>
      <c r="H180" s="22">
        <v>1.83</v>
      </c>
      <c r="I180" s="22">
        <v>1.64</v>
      </c>
      <c r="J180" s="22">
        <v>3.25</v>
      </c>
      <c r="K180" s="22">
        <v>3.34</v>
      </c>
      <c r="L180" s="22">
        <v>2.2400000000000002</v>
      </c>
      <c r="M180" s="22">
        <v>9.11</v>
      </c>
      <c r="N180" s="22">
        <v>4.28</v>
      </c>
      <c r="O180" s="22">
        <v>3.66</v>
      </c>
      <c r="P180" s="22">
        <f>SUM(D180:O180)</f>
        <v>47.179999999999993</v>
      </c>
    </row>
    <row r="181" spans="1:16" x14ac:dyDescent="0.2">
      <c r="D181" s="22"/>
      <c r="E181" s="22"/>
      <c r="F181" s="22"/>
      <c r="G181" s="22"/>
      <c r="H181" s="22"/>
      <c r="I181" s="22"/>
      <c r="J181" s="22"/>
      <c r="K181" s="22"/>
      <c r="L181" s="22"/>
      <c r="M181" s="22"/>
      <c r="N181" s="22"/>
      <c r="O181" s="22"/>
      <c r="P181" s="22"/>
    </row>
    <row r="182" spans="1:16" s="4" customFormat="1" ht="15" x14ac:dyDescent="0.25">
      <c r="A182" s="3" t="s">
        <v>166</v>
      </c>
      <c r="D182" s="21">
        <f t="shared" ref="D182:O182" si="29">SUM(D183:D197)</f>
        <v>23.79</v>
      </c>
      <c r="E182" s="21">
        <f t="shared" si="29"/>
        <v>22.23</v>
      </c>
      <c r="F182" s="21">
        <f t="shared" si="29"/>
        <v>17.700000000000003</v>
      </c>
      <c r="G182" s="21">
        <f t="shared" si="29"/>
        <v>28.810000000000002</v>
      </c>
      <c r="H182" s="21">
        <f t="shared" si="29"/>
        <v>15.439999999999998</v>
      </c>
      <c r="I182" s="21">
        <f t="shared" si="29"/>
        <v>19.079999999999998</v>
      </c>
      <c r="J182" s="21">
        <f t="shared" si="29"/>
        <v>20.130000000000003</v>
      </c>
      <c r="K182" s="21">
        <f t="shared" si="29"/>
        <v>17.259999999999998</v>
      </c>
      <c r="L182" s="21">
        <f t="shared" si="29"/>
        <v>21.400000000000002</v>
      </c>
      <c r="M182" s="21">
        <f t="shared" si="29"/>
        <v>22.07</v>
      </c>
      <c r="N182" s="21">
        <f t="shared" si="29"/>
        <v>19.629999999999995</v>
      </c>
      <c r="O182" s="21">
        <f t="shared" si="29"/>
        <v>16.900000000000002</v>
      </c>
      <c r="P182" s="21">
        <f>SUM(D182:O182)</f>
        <v>244.44</v>
      </c>
    </row>
    <row r="183" spans="1:16" x14ac:dyDescent="0.2">
      <c r="B183" s="2" t="s">
        <v>167</v>
      </c>
      <c r="D183" s="22">
        <v>16.55</v>
      </c>
      <c r="E183" s="22">
        <v>19.09</v>
      </c>
      <c r="F183" s="22">
        <v>13.44</v>
      </c>
      <c r="G183" s="22">
        <v>25.25</v>
      </c>
      <c r="H183" s="22">
        <v>13.54</v>
      </c>
      <c r="I183" s="22">
        <v>15.78</v>
      </c>
      <c r="J183" s="22">
        <v>15.91</v>
      </c>
      <c r="K183" s="22">
        <v>14.23</v>
      </c>
      <c r="L183" s="22">
        <v>18.55</v>
      </c>
      <c r="M183" s="22">
        <v>19.45</v>
      </c>
      <c r="N183" s="22">
        <v>16.829999999999998</v>
      </c>
      <c r="O183" s="22">
        <v>13.96</v>
      </c>
      <c r="P183" s="22">
        <f t="shared" ref="P183:P197" si="30">SUM(D183:O183)</f>
        <v>202.58</v>
      </c>
    </row>
    <row r="184" spans="1:16" x14ac:dyDescent="0.2">
      <c r="B184" s="2" t="s">
        <v>168</v>
      </c>
      <c r="D184" s="22">
        <v>6.18</v>
      </c>
      <c r="E184" s="22">
        <v>2.4</v>
      </c>
      <c r="F184" s="22">
        <v>2.59</v>
      </c>
      <c r="G184" s="22">
        <v>2.99</v>
      </c>
      <c r="H184" s="22">
        <v>1.68</v>
      </c>
      <c r="I184" s="22">
        <v>2.91</v>
      </c>
      <c r="J184" s="22">
        <v>2.79</v>
      </c>
      <c r="K184" s="22">
        <v>1.79</v>
      </c>
      <c r="L184" s="22">
        <v>2.12</v>
      </c>
      <c r="M184" s="22">
        <v>1.98</v>
      </c>
      <c r="N184" s="22">
        <v>1.77</v>
      </c>
      <c r="O184" s="22">
        <v>1.76</v>
      </c>
      <c r="P184" s="22">
        <f t="shared" si="30"/>
        <v>30.96</v>
      </c>
    </row>
    <row r="185" spans="1:16" x14ac:dyDescent="0.2">
      <c r="B185" s="2" t="s">
        <v>529</v>
      </c>
      <c r="D185" s="22">
        <v>0</v>
      </c>
      <c r="E185" s="22">
        <v>0</v>
      </c>
      <c r="F185" s="22">
        <v>0</v>
      </c>
      <c r="G185" s="22">
        <v>0</v>
      </c>
      <c r="H185" s="22">
        <v>0</v>
      </c>
      <c r="I185" s="22">
        <v>0</v>
      </c>
      <c r="J185" s="22">
        <v>0</v>
      </c>
      <c r="K185" s="22">
        <v>0</v>
      </c>
      <c r="L185" s="22">
        <v>0</v>
      </c>
      <c r="M185" s="22">
        <v>0</v>
      </c>
      <c r="N185" s="22">
        <v>0</v>
      </c>
      <c r="O185" s="22">
        <v>0</v>
      </c>
      <c r="P185" s="22">
        <f t="shared" si="30"/>
        <v>0</v>
      </c>
    </row>
    <row r="186" spans="1:16" x14ac:dyDescent="0.2">
      <c r="B186" s="2" t="s">
        <v>530</v>
      </c>
      <c r="D186" s="22">
        <v>0</v>
      </c>
      <c r="E186" s="22">
        <v>0</v>
      </c>
      <c r="F186" s="22">
        <v>0</v>
      </c>
      <c r="G186" s="22">
        <v>0</v>
      </c>
      <c r="H186" s="22">
        <v>0</v>
      </c>
      <c r="I186" s="22">
        <v>0</v>
      </c>
      <c r="J186" s="22">
        <v>0</v>
      </c>
      <c r="K186" s="22">
        <v>0</v>
      </c>
      <c r="L186" s="22">
        <v>0</v>
      </c>
      <c r="M186" s="22">
        <v>0</v>
      </c>
      <c r="N186" s="22">
        <v>0</v>
      </c>
      <c r="O186" s="22">
        <v>0</v>
      </c>
      <c r="P186" s="22">
        <f t="shared" si="30"/>
        <v>0</v>
      </c>
    </row>
    <row r="187" spans="1:16" x14ac:dyDescent="0.2">
      <c r="B187" s="2" t="s">
        <v>169</v>
      </c>
      <c r="D187" s="22">
        <v>0.09</v>
      </c>
      <c r="E187" s="22">
        <v>0.12</v>
      </c>
      <c r="F187" s="22">
        <v>7.0000000000000007E-2</v>
      </c>
      <c r="G187" s="22">
        <v>0.05</v>
      </c>
      <c r="H187" s="22">
        <v>0.1</v>
      </c>
      <c r="I187" s="22">
        <v>0.04</v>
      </c>
      <c r="J187" s="22">
        <v>0.1</v>
      </c>
      <c r="K187" s="22">
        <v>0.09</v>
      </c>
      <c r="L187" s="22">
        <v>0.06</v>
      </c>
      <c r="M187" s="22">
        <v>0.05</v>
      </c>
      <c r="N187" s="22">
        <v>0.04</v>
      </c>
      <c r="O187" s="22">
        <v>0.04</v>
      </c>
      <c r="P187" s="22">
        <f t="shared" si="30"/>
        <v>0.85000000000000009</v>
      </c>
    </row>
    <row r="188" spans="1:16" x14ac:dyDescent="0.2">
      <c r="B188" s="2" t="s">
        <v>531</v>
      </c>
      <c r="D188" s="22">
        <v>0</v>
      </c>
      <c r="E188" s="22">
        <v>0</v>
      </c>
      <c r="F188" s="22">
        <v>0</v>
      </c>
      <c r="G188" s="22">
        <v>0</v>
      </c>
      <c r="H188" s="22">
        <v>0</v>
      </c>
      <c r="I188" s="22">
        <v>0</v>
      </c>
      <c r="J188" s="22">
        <v>0</v>
      </c>
      <c r="K188" s="22">
        <v>0</v>
      </c>
      <c r="L188" s="22">
        <v>0</v>
      </c>
      <c r="M188" s="22">
        <v>0</v>
      </c>
      <c r="N188" s="22">
        <v>0</v>
      </c>
      <c r="O188" s="22">
        <v>0</v>
      </c>
      <c r="P188" s="22">
        <f t="shared" si="30"/>
        <v>0</v>
      </c>
    </row>
    <row r="189" spans="1:16" x14ac:dyDescent="0.2">
      <c r="B189" s="2" t="s">
        <v>532</v>
      </c>
      <c r="D189" s="22">
        <v>0</v>
      </c>
      <c r="E189" s="22">
        <v>0</v>
      </c>
      <c r="F189" s="22">
        <v>0</v>
      </c>
      <c r="G189" s="22">
        <v>0</v>
      </c>
      <c r="H189" s="22">
        <v>0</v>
      </c>
      <c r="I189" s="22">
        <v>0</v>
      </c>
      <c r="J189" s="22">
        <v>0</v>
      </c>
      <c r="K189" s="22">
        <v>0</v>
      </c>
      <c r="L189" s="22">
        <v>0</v>
      </c>
      <c r="M189" s="22">
        <v>0</v>
      </c>
      <c r="N189" s="22">
        <v>0</v>
      </c>
      <c r="O189" s="22">
        <v>0</v>
      </c>
      <c r="P189" s="22">
        <f t="shared" si="30"/>
        <v>0</v>
      </c>
    </row>
    <row r="190" spans="1:16" x14ac:dyDescent="0.2">
      <c r="B190" s="2" t="s">
        <v>533</v>
      </c>
      <c r="D190" s="22">
        <v>0</v>
      </c>
      <c r="E190" s="22">
        <v>0</v>
      </c>
      <c r="F190" s="22">
        <v>0.01</v>
      </c>
      <c r="G190" s="22">
        <v>0</v>
      </c>
      <c r="H190" s="22">
        <v>0</v>
      </c>
      <c r="I190" s="22">
        <v>0</v>
      </c>
      <c r="J190" s="22">
        <v>0</v>
      </c>
      <c r="K190" s="22">
        <v>0</v>
      </c>
      <c r="L190" s="22">
        <v>0</v>
      </c>
      <c r="M190" s="22">
        <v>0</v>
      </c>
      <c r="N190" s="22">
        <v>0</v>
      </c>
      <c r="O190" s="22">
        <v>0</v>
      </c>
      <c r="P190" s="22">
        <f t="shared" si="30"/>
        <v>0.01</v>
      </c>
    </row>
    <row r="191" spans="1:16" x14ac:dyDescent="0.2">
      <c r="B191" s="2" t="s">
        <v>534</v>
      </c>
      <c r="D191" s="22">
        <v>0</v>
      </c>
      <c r="E191" s="22">
        <v>0</v>
      </c>
      <c r="F191" s="22">
        <v>0</v>
      </c>
      <c r="G191" s="22">
        <v>0</v>
      </c>
      <c r="H191" s="22">
        <v>0</v>
      </c>
      <c r="I191" s="22">
        <v>0</v>
      </c>
      <c r="J191" s="22">
        <v>0</v>
      </c>
      <c r="K191" s="22">
        <v>0</v>
      </c>
      <c r="L191" s="22">
        <v>0</v>
      </c>
      <c r="M191" s="22">
        <v>0</v>
      </c>
      <c r="N191" s="22">
        <v>0</v>
      </c>
      <c r="O191" s="22">
        <v>0</v>
      </c>
      <c r="P191" s="22">
        <f t="shared" si="30"/>
        <v>0</v>
      </c>
    </row>
    <row r="192" spans="1:16" x14ac:dyDescent="0.2">
      <c r="B192" s="2" t="s">
        <v>535</v>
      </c>
      <c r="D192" s="22">
        <v>0</v>
      </c>
      <c r="E192" s="22">
        <v>0</v>
      </c>
      <c r="F192" s="22">
        <v>0</v>
      </c>
      <c r="G192" s="22">
        <v>0</v>
      </c>
      <c r="H192" s="22">
        <v>0</v>
      </c>
      <c r="I192" s="22">
        <v>0</v>
      </c>
      <c r="J192" s="22">
        <v>0</v>
      </c>
      <c r="K192" s="22">
        <v>0</v>
      </c>
      <c r="L192" s="22">
        <v>0</v>
      </c>
      <c r="M192" s="22">
        <v>0</v>
      </c>
      <c r="N192" s="22">
        <v>0</v>
      </c>
      <c r="O192" s="22">
        <v>0</v>
      </c>
      <c r="P192" s="22">
        <f t="shared" si="30"/>
        <v>0</v>
      </c>
    </row>
    <row r="193" spans="1:16" x14ac:dyDescent="0.2">
      <c r="B193" s="2" t="s">
        <v>173</v>
      </c>
      <c r="D193" s="22">
        <v>0.95</v>
      </c>
      <c r="E193" s="22">
        <v>0.62</v>
      </c>
      <c r="F193" s="22">
        <v>1.59</v>
      </c>
      <c r="G193" s="22">
        <v>0.52</v>
      </c>
      <c r="H193" s="22">
        <v>0.12</v>
      </c>
      <c r="I193" s="22">
        <v>0.35</v>
      </c>
      <c r="J193" s="22">
        <v>1.32</v>
      </c>
      <c r="K193" s="22">
        <v>1.1499999999999999</v>
      </c>
      <c r="L193" s="22">
        <v>0.67</v>
      </c>
      <c r="M193" s="22">
        <v>0.57999999999999996</v>
      </c>
      <c r="N193" s="22">
        <v>0.99</v>
      </c>
      <c r="O193" s="22">
        <v>1.0900000000000001</v>
      </c>
      <c r="P193" s="22">
        <f t="shared" si="30"/>
        <v>9.9500000000000011</v>
      </c>
    </row>
    <row r="194" spans="1:16" x14ac:dyDescent="0.2">
      <c r="B194" s="2" t="s">
        <v>536</v>
      </c>
      <c r="D194" s="22">
        <v>0.02</v>
      </c>
      <c r="E194" s="22">
        <v>0</v>
      </c>
      <c r="F194" s="22">
        <v>0</v>
      </c>
      <c r="G194" s="22">
        <v>0</v>
      </c>
      <c r="H194" s="22">
        <v>0</v>
      </c>
      <c r="I194" s="22">
        <v>0</v>
      </c>
      <c r="J194" s="22">
        <v>0.01</v>
      </c>
      <c r="K194" s="22">
        <v>0</v>
      </c>
      <c r="L194" s="22">
        <v>0</v>
      </c>
      <c r="M194" s="22">
        <v>0.01</v>
      </c>
      <c r="N194" s="22">
        <v>0</v>
      </c>
      <c r="O194" s="22">
        <v>0.05</v>
      </c>
      <c r="P194" s="22">
        <f t="shared" si="30"/>
        <v>0.09</v>
      </c>
    </row>
    <row r="195" spans="1:16" x14ac:dyDescent="0.2">
      <c r="B195" s="2" t="s">
        <v>537</v>
      </c>
      <c r="D195" s="22">
        <v>0</v>
      </c>
      <c r="E195" s="22">
        <v>0</v>
      </c>
      <c r="F195" s="22">
        <v>0</v>
      </c>
      <c r="G195" s="22">
        <v>0</v>
      </c>
      <c r="H195" s="22">
        <v>0</v>
      </c>
      <c r="I195" s="22">
        <v>0</v>
      </c>
      <c r="J195" s="22">
        <v>0</v>
      </c>
      <c r="K195" s="22">
        <v>0</v>
      </c>
      <c r="L195" s="22">
        <v>0</v>
      </c>
      <c r="M195" s="22">
        <v>0</v>
      </c>
      <c r="N195" s="22">
        <v>0</v>
      </c>
      <c r="O195" s="22">
        <v>0</v>
      </c>
      <c r="P195" s="22">
        <f t="shared" si="30"/>
        <v>0</v>
      </c>
    </row>
    <row r="196" spans="1:16" x14ac:dyDescent="0.2">
      <c r="B196" s="2" t="s">
        <v>538</v>
      </c>
      <c r="D196" s="22">
        <v>0</v>
      </c>
      <c r="E196" s="22">
        <v>0</v>
      </c>
      <c r="F196" s="22">
        <v>0</v>
      </c>
      <c r="G196" s="22">
        <v>0</v>
      </c>
      <c r="H196" s="22">
        <v>0</v>
      </c>
      <c r="I196" s="22">
        <v>0</v>
      </c>
      <c r="J196" s="22">
        <v>0</v>
      </c>
      <c r="K196" s="22">
        <v>0</v>
      </c>
      <c r="L196" s="22">
        <v>0</v>
      </c>
      <c r="M196" s="22">
        <v>0</v>
      </c>
      <c r="N196" s="22">
        <v>0</v>
      </c>
      <c r="O196" s="22">
        <v>0</v>
      </c>
      <c r="P196" s="22">
        <f t="shared" si="30"/>
        <v>0</v>
      </c>
    </row>
    <row r="197" spans="1:16" x14ac:dyDescent="0.2">
      <c r="B197" s="2" t="s">
        <v>539</v>
      </c>
      <c r="D197" s="22">
        <v>0</v>
      </c>
      <c r="E197" s="22">
        <v>0</v>
      </c>
      <c r="F197" s="22">
        <v>0</v>
      </c>
      <c r="G197" s="22">
        <v>0</v>
      </c>
      <c r="H197" s="22">
        <v>0</v>
      </c>
      <c r="I197" s="22">
        <v>0</v>
      </c>
      <c r="J197" s="22">
        <v>0</v>
      </c>
      <c r="K197" s="22">
        <v>0</v>
      </c>
      <c r="L197" s="22">
        <v>0</v>
      </c>
      <c r="M197" s="22">
        <v>0</v>
      </c>
      <c r="N197" s="22">
        <v>0</v>
      </c>
      <c r="O197" s="22">
        <v>0</v>
      </c>
      <c r="P197" s="22">
        <f t="shared" si="30"/>
        <v>0</v>
      </c>
    </row>
    <row r="198" spans="1:16" x14ac:dyDescent="0.2">
      <c r="D198" s="22"/>
      <c r="E198" s="22"/>
      <c r="F198" s="22"/>
      <c r="G198" s="22"/>
      <c r="H198" s="22"/>
      <c r="I198" s="22"/>
      <c r="J198" s="22"/>
      <c r="K198" s="22"/>
      <c r="L198" s="22"/>
      <c r="M198" s="22"/>
      <c r="N198" s="22"/>
      <c r="O198" s="22"/>
      <c r="P198" s="22"/>
    </row>
    <row r="199" spans="1:16" s="4" customFormat="1" ht="15" x14ac:dyDescent="0.25">
      <c r="A199" s="3" t="s">
        <v>174</v>
      </c>
      <c r="C199" s="3"/>
      <c r="D199" s="21">
        <f t="shared" ref="D199:O199" si="31">SUM(D200:D207)</f>
        <v>368.97999999999996</v>
      </c>
      <c r="E199" s="21">
        <f t="shared" si="31"/>
        <v>371.45000000000005</v>
      </c>
      <c r="F199" s="21">
        <f t="shared" si="31"/>
        <v>385.44</v>
      </c>
      <c r="G199" s="21">
        <f t="shared" si="31"/>
        <v>348.71999999999997</v>
      </c>
      <c r="H199" s="21">
        <f t="shared" si="31"/>
        <v>334.57</v>
      </c>
      <c r="I199" s="21">
        <f t="shared" si="31"/>
        <v>382.77</v>
      </c>
      <c r="J199" s="21">
        <f t="shared" si="31"/>
        <v>423.6</v>
      </c>
      <c r="K199" s="21">
        <f t="shared" si="31"/>
        <v>331.11</v>
      </c>
      <c r="L199" s="21">
        <f t="shared" si="31"/>
        <v>369.66</v>
      </c>
      <c r="M199" s="21">
        <f t="shared" si="31"/>
        <v>367.58</v>
      </c>
      <c r="N199" s="21">
        <f t="shared" si="31"/>
        <v>295.56</v>
      </c>
      <c r="O199" s="21">
        <f t="shared" si="31"/>
        <v>262.83</v>
      </c>
      <c r="P199" s="21">
        <f>SUM(D199:O199)</f>
        <v>4242.2700000000004</v>
      </c>
    </row>
    <row r="200" spans="1:16" x14ac:dyDescent="0.2">
      <c r="B200" s="2" t="s">
        <v>175</v>
      </c>
      <c r="D200" s="22">
        <v>32.86</v>
      </c>
      <c r="E200" s="22">
        <v>34.9</v>
      </c>
      <c r="F200" s="22">
        <v>46.74</v>
      </c>
      <c r="G200" s="22">
        <v>29.12</v>
      </c>
      <c r="H200" s="22">
        <v>30.57</v>
      </c>
      <c r="I200" s="22">
        <v>35.619999999999997</v>
      </c>
      <c r="J200" s="22">
        <v>32.4</v>
      </c>
      <c r="K200" s="22">
        <v>36.92</v>
      </c>
      <c r="L200" s="22">
        <v>33.130000000000003</v>
      </c>
      <c r="M200" s="22">
        <v>36.24</v>
      </c>
      <c r="N200" s="22">
        <v>31.82</v>
      </c>
      <c r="O200" s="22">
        <v>26.89</v>
      </c>
      <c r="P200" s="22">
        <f t="shared" ref="P200:P207" si="32">SUM(D200:O200)</f>
        <v>407.21</v>
      </c>
    </row>
    <row r="201" spans="1:16" x14ac:dyDescent="0.2">
      <c r="B201" s="2" t="s">
        <v>540</v>
      </c>
      <c r="D201" s="22">
        <v>0</v>
      </c>
      <c r="E201" s="22">
        <v>0</v>
      </c>
      <c r="F201" s="22">
        <v>0</v>
      </c>
      <c r="G201" s="22">
        <v>0</v>
      </c>
      <c r="H201" s="22">
        <v>0</v>
      </c>
      <c r="I201" s="22">
        <v>0</v>
      </c>
      <c r="J201" s="22">
        <v>0</v>
      </c>
      <c r="K201" s="22">
        <v>0</v>
      </c>
      <c r="L201" s="22">
        <v>0</v>
      </c>
      <c r="M201" s="22">
        <v>0</v>
      </c>
      <c r="N201" s="22">
        <v>0</v>
      </c>
      <c r="O201" s="22">
        <v>0</v>
      </c>
      <c r="P201" s="22">
        <f t="shared" si="32"/>
        <v>0</v>
      </c>
    </row>
    <row r="202" spans="1:16" x14ac:dyDescent="0.2">
      <c r="B202" s="2" t="s">
        <v>179</v>
      </c>
      <c r="D202" s="22">
        <v>0</v>
      </c>
      <c r="E202" s="22">
        <v>0.78</v>
      </c>
      <c r="F202" s="22">
        <v>0</v>
      </c>
      <c r="G202" s="22">
        <v>0.01</v>
      </c>
      <c r="H202" s="22">
        <v>0</v>
      </c>
      <c r="I202" s="22">
        <v>0</v>
      </c>
      <c r="J202" s="22">
        <v>0</v>
      </c>
      <c r="K202" s="22">
        <v>0</v>
      </c>
      <c r="L202" s="22">
        <v>0</v>
      </c>
      <c r="M202" s="22">
        <v>0</v>
      </c>
      <c r="N202" s="22">
        <v>0</v>
      </c>
      <c r="O202" s="22">
        <v>0</v>
      </c>
      <c r="P202" s="22">
        <f t="shared" si="32"/>
        <v>0.79</v>
      </c>
    </row>
    <row r="203" spans="1:16" x14ac:dyDescent="0.2">
      <c r="B203" s="2" t="s">
        <v>176</v>
      </c>
      <c r="D203" s="22">
        <v>4.51</v>
      </c>
      <c r="E203" s="22">
        <v>4.4000000000000004</v>
      </c>
      <c r="F203" s="22">
        <v>4.82</v>
      </c>
      <c r="G203" s="22">
        <v>4.84</v>
      </c>
      <c r="H203" s="22">
        <v>4.22</v>
      </c>
      <c r="I203" s="22">
        <v>5.52</v>
      </c>
      <c r="J203" s="22">
        <v>7.64</v>
      </c>
      <c r="K203" s="22">
        <v>5</v>
      </c>
      <c r="L203" s="22">
        <v>5.16</v>
      </c>
      <c r="M203" s="22">
        <v>8.81</v>
      </c>
      <c r="N203" s="22">
        <v>4.7</v>
      </c>
      <c r="O203" s="22">
        <v>2.15</v>
      </c>
      <c r="P203" s="22">
        <f t="shared" si="32"/>
        <v>61.77</v>
      </c>
    </row>
    <row r="204" spans="1:16" x14ac:dyDescent="0.2">
      <c r="B204" s="2" t="s">
        <v>177</v>
      </c>
      <c r="D204" s="22">
        <v>63.32</v>
      </c>
      <c r="E204" s="22">
        <v>60.92</v>
      </c>
      <c r="F204" s="22">
        <v>67.290000000000006</v>
      </c>
      <c r="G204" s="22">
        <v>59.29</v>
      </c>
      <c r="H204" s="22">
        <v>56.48</v>
      </c>
      <c r="I204" s="22">
        <v>72.069999999999993</v>
      </c>
      <c r="J204" s="22">
        <v>86.56</v>
      </c>
      <c r="K204" s="22">
        <v>41.93</v>
      </c>
      <c r="L204" s="22">
        <v>62.03</v>
      </c>
      <c r="M204" s="22">
        <v>63.13</v>
      </c>
      <c r="N204" s="22">
        <v>31.45</v>
      </c>
      <c r="O204" s="22">
        <v>26.02</v>
      </c>
      <c r="P204" s="22">
        <f t="shared" si="32"/>
        <v>690.49</v>
      </c>
    </row>
    <row r="205" spans="1:16" x14ac:dyDescent="0.2">
      <c r="B205" s="2" t="s">
        <v>178</v>
      </c>
      <c r="D205" s="22">
        <v>226.58</v>
      </c>
      <c r="E205" s="22">
        <v>232.08</v>
      </c>
      <c r="F205" s="22">
        <v>227.2</v>
      </c>
      <c r="G205" s="22">
        <v>217.73</v>
      </c>
      <c r="H205" s="22">
        <v>210.04</v>
      </c>
      <c r="I205" s="22">
        <v>225.51</v>
      </c>
      <c r="J205" s="22">
        <v>251.09</v>
      </c>
      <c r="K205" s="22">
        <v>215.13</v>
      </c>
      <c r="L205" s="22">
        <v>236.71</v>
      </c>
      <c r="M205" s="22">
        <v>223.1</v>
      </c>
      <c r="N205" s="22">
        <v>198.78</v>
      </c>
      <c r="O205" s="22">
        <v>180.28</v>
      </c>
      <c r="P205" s="22">
        <f t="shared" si="32"/>
        <v>2644.2300000000005</v>
      </c>
    </row>
    <row r="206" spans="1:16" x14ac:dyDescent="0.2">
      <c r="B206" s="2" t="s">
        <v>180</v>
      </c>
      <c r="D206" s="22">
        <v>41.7</v>
      </c>
      <c r="E206" s="22">
        <v>38.369999999999997</v>
      </c>
      <c r="F206" s="22">
        <v>39.380000000000003</v>
      </c>
      <c r="G206" s="22">
        <v>37.700000000000003</v>
      </c>
      <c r="H206" s="22">
        <v>33.26</v>
      </c>
      <c r="I206" s="22">
        <v>44.05</v>
      </c>
      <c r="J206" s="22">
        <v>45.91</v>
      </c>
      <c r="K206" s="22">
        <v>32.130000000000003</v>
      </c>
      <c r="L206" s="22">
        <v>32.619999999999997</v>
      </c>
      <c r="M206" s="22">
        <v>36.299999999999997</v>
      </c>
      <c r="N206" s="22">
        <v>28.81</v>
      </c>
      <c r="O206" s="22">
        <v>27.49</v>
      </c>
      <c r="P206" s="22">
        <f t="shared" si="32"/>
        <v>437.72</v>
      </c>
    </row>
    <row r="207" spans="1:16" x14ac:dyDescent="0.2">
      <c r="B207" s="2" t="s">
        <v>181</v>
      </c>
      <c r="D207" s="22">
        <v>0.01</v>
      </c>
      <c r="E207" s="22">
        <v>0</v>
      </c>
      <c r="F207" s="22">
        <v>0.01</v>
      </c>
      <c r="G207" s="22">
        <v>0.03</v>
      </c>
      <c r="H207" s="22">
        <v>0</v>
      </c>
      <c r="I207" s="22">
        <v>0</v>
      </c>
      <c r="J207" s="22">
        <v>0</v>
      </c>
      <c r="K207" s="22">
        <v>0</v>
      </c>
      <c r="L207" s="22">
        <v>0.01</v>
      </c>
      <c r="M207" s="22">
        <v>0</v>
      </c>
      <c r="N207" s="22">
        <v>0</v>
      </c>
      <c r="O207" s="22">
        <v>0</v>
      </c>
      <c r="P207" s="22">
        <f t="shared" si="32"/>
        <v>6.0000000000000005E-2</v>
      </c>
    </row>
    <row r="208" spans="1:16" x14ac:dyDescent="0.2">
      <c r="D208" s="22"/>
      <c r="E208" s="22"/>
      <c r="F208" s="22"/>
      <c r="G208" s="22"/>
      <c r="H208" s="22"/>
      <c r="I208" s="22"/>
      <c r="J208" s="22"/>
      <c r="K208" s="22"/>
      <c r="L208" s="22"/>
      <c r="M208" s="22"/>
      <c r="N208" s="22"/>
      <c r="O208" s="22"/>
      <c r="P208" s="22"/>
    </row>
    <row r="209" spans="1:16" s="4" customFormat="1" ht="15" x14ac:dyDescent="0.25">
      <c r="A209" s="3" t="s">
        <v>182</v>
      </c>
      <c r="D209" s="21">
        <f>SUM(D210:D236)</f>
        <v>50.86</v>
      </c>
      <c r="E209" s="21">
        <f t="shared" ref="E209:P209" si="33">SUM(E210:E236)</f>
        <v>63.439999999999991</v>
      </c>
      <c r="F209" s="21">
        <f t="shared" si="33"/>
        <v>18.12</v>
      </c>
      <c r="G209" s="21">
        <f t="shared" si="33"/>
        <v>12.259999999999998</v>
      </c>
      <c r="H209" s="21">
        <f t="shared" si="33"/>
        <v>6.5599999999999987</v>
      </c>
      <c r="I209" s="21">
        <f t="shared" si="33"/>
        <v>10.23</v>
      </c>
      <c r="J209" s="21">
        <f t="shared" si="33"/>
        <v>72.709999999999994</v>
      </c>
      <c r="K209" s="21">
        <f t="shared" si="33"/>
        <v>10.159999999999998</v>
      </c>
      <c r="L209" s="21">
        <f t="shared" si="33"/>
        <v>22.790000000000003</v>
      </c>
      <c r="M209" s="21">
        <f t="shared" si="33"/>
        <v>81.510000000000005</v>
      </c>
      <c r="N209" s="21">
        <f t="shared" si="33"/>
        <v>25.540000000000003</v>
      </c>
      <c r="O209" s="21">
        <f t="shared" si="33"/>
        <v>19.010000000000002</v>
      </c>
      <c r="P209" s="21">
        <f t="shared" si="33"/>
        <v>393.18999999999994</v>
      </c>
    </row>
    <row r="210" spans="1:16" x14ac:dyDescent="0.2">
      <c r="B210" s="2" t="s">
        <v>221</v>
      </c>
      <c r="D210" s="22">
        <v>0.65</v>
      </c>
      <c r="E210" s="22">
        <v>5.33</v>
      </c>
      <c r="F210" s="22">
        <v>1.25</v>
      </c>
      <c r="G210" s="22">
        <v>2.2599999999999998</v>
      </c>
      <c r="H210" s="22">
        <v>0.86</v>
      </c>
      <c r="I210" s="22">
        <v>0.9</v>
      </c>
      <c r="J210" s="22">
        <v>0.39</v>
      </c>
      <c r="K210" s="22">
        <v>0.78</v>
      </c>
      <c r="L210" s="22">
        <v>1.02</v>
      </c>
      <c r="M210" s="22">
        <v>1.1000000000000001</v>
      </c>
      <c r="N210" s="22">
        <v>1.04</v>
      </c>
      <c r="O210" s="22">
        <v>1.31</v>
      </c>
      <c r="P210" s="22">
        <f t="shared" ref="P210:P235" si="34">SUM(D210:O210)</f>
        <v>16.889999999999997</v>
      </c>
    </row>
    <row r="211" spans="1:16" x14ac:dyDescent="0.2">
      <c r="B211" s="2" t="s">
        <v>217</v>
      </c>
      <c r="D211" s="22">
        <v>5.64</v>
      </c>
      <c r="E211" s="22">
        <v>2.75</v>
      </c>
      <c r="F211" s="22">
        <v>8.3000000000000007</v>
      </c>
      <c r="G211" s="22">
        <v>3.21</v>
      </c>
      <c r="H211" s="22">
        <v>1.87</v>
      </c>
      <c r="I211" s="22">
        <v>1.58</v>
      </c>
      <c r="J211" s="22">
        <v>3.37</v>
      </c>
      <c r="K211" s="22">
        <v>2.68</v>
      </c>
      <c r="L211" s="22">
        <v>2.4500000000000002</v>
      </c>
      <c r="M211" s="22">
        <v>1.66</v>
      </c>
      <c r="N211" s="22">
        <v>2.34</v>
      </c>
      <c r="O211" s="22">
        <v>1.95</v>
      </c>
      <c r="P211" s="22">
        <f t="shared" si="34"/>
        <v>37.799999999999997</v>
      </c>
    </row>
    <row r="212" spans="1:16" x14ac:dyDescent="0.2">
      <c r="B212" s="2" t="s">
        <v>187</v>
      </c>
      <c r="D212" s="22">
        <v>34.15</v>
      </c>
      <c r="E212" s="22">
        <v>51.8</v>
      </c>
      <c r="F212" s="22">
        <v>4.3899999999999997</v>
      </c>
      <c r="G212" s="22">
        <v>3.59</v>
      </c>
      <c r="H212" s="22">
        <v>0.33</v>
      </c>
      <c r="I212" s="22">
        <v>3.07</v>
      </c>
      <c r="J212" s="22">
        <v>60.51</v>
      </c>
      <c r="K212" s="22">
        <v>0</v>
      </c>
      <c r="L212" s="22">
        <v>15.06</v>
      </c>
      <c r="M212" s="22">
        <v>73.53</v>
      </c>
      <c r="N212" s="22">
        <v>15.09</v>
      </c>
      <c r="O212" s="22">
        <v>12.22</v>
      </c>
      <c r="P212" s="22">
        <f t="shared" si="34"/>
        <v>273.74</v>
      </c>
    </row>
    <row r="213" spans="1:16" x14ac:dyDescent="0.2">
      <c r="B213" s="2" t="s">
        <v>188</v>
      </c>
      <c r="D213" s="22">
        <v>0</v>
      </c>
      <c r="E213" s="22">
        <v>0</v>
      </c>
      <c r="F213" s="22">
        <v>0</v>
      </c>
      <c r="G213" s="22">
        <v>0.01</v>
      </c>
      <c r="H213" s="22">
        <v>0</v>
      </c>
      <c r="I213" s="22">
        <v>0</v>
      </c>
      <c r="J213" s="22">
        <v>0.01</v>
      </c>
      <c r="K213" s="22">
        <v>0</v>
      </c>
      <c r="L213" s="22">
        <v>0.04</v>
      </c>
      <c r="M213" s="22">
        <v>0</v>
      </c>
      <c r="N213" s="22">
        <v>0</v>
      </c>
      <c r="O213" s="22">
        <v>0.02</v>
      </c>
      <c r="P213" s="22">
        <f t="shared" si="34"/>
        <v>0.08</v>
      </c>
    </row>
    <row r="214" spans="1:16" x14ac:dyDescent="0.2">
      <c r="B214" s="2" t="s">
        <v>190</v>
      </c>
      <c r="D214" s="22">
        <v>2.85</v>
      </c>
      <c r="E214" s="22">
        <v>2.0699999999999998</v>
      </c>
      <c r="F214" s="22">
        <v>2.67</v>
      </c>
      <c r="G214" s="22">
        <v>1.97</v>
      </c>
      <c r="H214" s="22">
        <v>1.9</v>
      </c>
      <c r="I214" s="22">
        <v>2.98</v>
      </c>
      <c r="J214" s="22">
        <v>5.24</v>
      </c>
      <c r="K214" s="22">
        <v>4.76</v>
      </c>
      <c r="L214" s="22">
        <v>2.44</v>
      </c>
      <c r="M214" s="22">
        <v>2.72</v>
      </c>
      <c r="N214" s="22">
        <v>0.62</v>
      </c>
      <c r="O214" s="22">
        <v>0.66</v>
      </c>
      <c r="P214" s="22">
        <f t="shared" si="34"/>
        <v>30.88</v>
      </c>
    </row>
    <row r="215" spans="1:16" x14ac:dyDescent="0.2">
      <c r="B215" s="2" t="s">
        <v>541</v>
      </c>
      <c r="D215" s="22">
        <v>0</v>
      </c>
      <c r="E215" s="22">
        <v>0</v>
      </c>
      <c r="F215" s="22">
        <v>0</v>
      </c>
      <c r="G215" s="22">
        <v>0</v>
      </c>
      <c r="H215" s="22">
        <v>0</v>
      </c>
      <c r="I215" s="22">
        <v>0</v>
      </c>
      <c r="J215" s="22">
        <v>0</v>
      </c>
      <c r="K215" s="22">
        <v>0</v>
      </c>
      <c r="L215" s="22">
        <v>0</v>
      </c>
      <c r="M215" s="22">
        <v>0.62</v>
      </c>
      <c r="N215" s="22">
        <v>0.05</v>
      </c>
      <c r="O215" s="22">
        <v>0.04</v>
      </c>
      <c r="P215" s="22">
        <f t="shared" si="34"/>
        <v>0.71000000000000008</v>
      </c>
    </row>
    <row r="216" spans="1:16" x14ac:dyDescent="0.2">
      <c r="B216" s="2" t="s">
        <v>218</v>
      </c>
      <c r="D216" s="22">
        <v>0.17</v>
      </c>
      <c r="E216" s="22">
        <v>0.2</v>
      </c>
      <c r="F216" s="22">
        <v>0.12</v>
      </c>
      <c r="G216" s="22">
        <v>0.05</v>
      </c>
      <c r="H216" s="22">
        <v>0.1</v>
      </c>
      <c r="I216" s="22">
        <v>0.06</v>
      </c>
      <c r="J216" s="22">
        <v>7.0000000000000007E-2</v>
      </c>
      <c r="K216" s="22">
        <v>0.09</v>
      </c>
      <c r="L216" s="22">
        <v>0.21</v>
      </c>
      <c r="M216" s="22">
        <v>0.08</v>
      </c>
      <c r="N216" s="22">
        <v>0.12</v>
      </c>
      <c r="O216" s="22">
        <v>0.19</v>
      </c>
      <c r="P216" s="22">
        <f t="shared" si="34"/>
        <v>1.46</v>
      </c>
    </row>
    <row r="217" spans="1:16" x14ac:dyDescent="0.2">
      <c r="B217" s="2" t="s">
        <v>195</v>
      </c>
      <c r="D217" s="22">
        <v>0.79</v>
      </c>
      <c r="E217" s="22">
        <v>7.0000000000000007E-2</v>
      </c>
      <c r="F217" s="22">
        <v>0.12</v>
      </c>
      <c r="G217" s="22">
        <v>7.0000000000000007E-2</v>
      </c>
      <c r="H217" s="22">
        <v>0.66</v>
      </c>
      <c r="I217" s="22">
        <v>0.17</v>
      </c>
      <c r="J217" s="22">
        <v>0.24</v>
      </c>
      <c r="K217" s="22">
        <v>0.13</v>
      </c>
      <c r="L217" s="22">
        <v>0.45</v>
      </c>
      <c r="M217" s="22">
        <v>0.15</v>
      </c>
      <c r="N217" s="22">
        <v>0.4</v>
      </c>
      <c r="O217" s="22">
        <v>0.35</v>
      </c>
      <c r="P217" s="22">
        <f>SUM(D217:O217)</f>
        <v>3.6</v>
      </c>
    </row>
    <row r="218" spans="1:16" x14ac:dyDescent="0.2">
      <c r="B218" s="2" t="s">
        <v>191</v>
      </c>
      <c r="D218" s="22">
        <v>0</v>
      </c>
      <c r="E218" s="22">
        <v>0</v>
      </c>
      <c r="F218" s="22">
        <v>0.01</v>
      </c>
      <c r="G218" s="22">
        <v>0.01</v>
      </c>
      <c r="H218" s="22">
        <v>0.01</v>
      </c>
      <c r="I218" s="22">
        <v>0</v>
      </c>
      <c r="J218" s="22">
        <v>0</v>
      </c>
      <c r="K218" s="22">
        <v>0</v>
      </c>
      <c r="L218" s="22">
        <v>0</v>
      </c>
      <c r="M218" s="22">
        <v>0</v>
      </c>
      <c r="N218" s="22">
        <v>0.01</v>
      </c>
      <c r="O218" s="22">
        <v>0</v>
      </c>
      <c r="P218" s="22">
        <f t="shared" si="34"/>
        <v>0.04</v>
      </c>
    </row>
    <row r="219" spans="1:16" x14ac:dyDescent="0.2">
      <c r="B219" s="2" t="s">
        <v>206</v>
      </c>
      <c r="D219" s="22">
        <v>0</v>
      </c>
      <c r="E219" s="22">
        <v>0.01</v>
      </c>
      <c r="F219" s="22">
        <v>0.15</v>
      </c>
      <c r="G219" s="22">
        <v>0.11</v>
      </c>
      <c r="H219" s="22">
        <v>0.09</v>
      </c>
      <c r="I219" s="22">
        <v>7.0000000000000007E-2</v>
      </c>
      <c r="J219" s="22">
        <v>0.08</v>
      </c>
      <c r="K219" s="22">
        <v>0.11</v>
      </c>
      <c r="L219" s="22">
        <v>0.05</v>
      </c>
      <c r="M219" s="22">
        <v>0.21</v>
      </c>
      <c r="N219" s="22">
        <v>0.11</v>
      </c>
      <c r="O219" s="22">
        <v>0</v>
      </c>
      <c r="P219" s="22">
        <f t="shared" si="34"/>
        <v>0.99</v>
      </c>
    </row>
    <row r="220" spans="1:16" x14ac:dyDescent="0.2">
      <c r="B220" s="2" t="s">
        <v>205</v>
      </c>
      <c r="D220" s="22">
        <v>0</v>
      </c>
      <c r="E220" s="22">
        <v>0.49</v>
      </c>
      <c r="F220" s="22">
        <v>0.23</v>
      </c>
      <c r="G220" s="22">
        <v>0.02</v>
      </c>
      <c r="H220" s="22">
        <v>0</v>
      </c>
      <c r="I220" s="22">
        <v>0.01</v>
      </c>
      <c r="J220" s="22">
        <v>0</v>
      </c>
      <c r="K220" s="22">
        <v>0</v>
      </c>
      <c r="L220" s="22">
        <v>0</v>
      </c>
      <c r="M220" s="22">
        <v>0</v>
      </c>
      <c r="N220" s="22">
        <v>0</v>
      </c>
      <c r="O220" s="22">
        <v>0</v>
      </c>
      <c r="P220" s="22">
        <f t="shared" si="34"/>
        <v>0.75</v>
      </c>
    </row>
    <row r="221" spans="1:16" x14ac:dyDescent="0.2">
      <c r="B221" s="2" t="s">
        <v>542</v>
      </c>
      <c r="D221" s="22">
        <v>0</v>
      </c>
      <c r="E221" s="22">
        <v>0.01</v>
      </c>
      <c r="F221" s="22">
        <v>0</v>
      </c>
      <c r="G221" s="22">
        <v>0</v>
      </c>
      <c r="H221" s="22">
        <v>0</v>
      </c>
      <c r="I221" s="22">
        <v>0</v>
      </c>
      <c r="J221" s="22">
        <v>0</v>
      </c>
      <c r="K221" s="22">
        <v>0</v>
      </c>
      <c r="L221" s="22">
        <v>0</v>
      </c>
      <c r="M221" s="22">
        <v>0</v>
      </c>
      <c r="N221" s="22">
        <v>0</v>
      </c>
      <c r="O221" s="22">
        <v>0</v>
      </c>
      <c r="P221" s="22">
        <f t="shared" si="34"/>
        <v>0.01</v>
      </c>
    </row>
    <row r="222" spans="1:16" x14ac:dyDescent="0.2">
      <c r="B222" s="2" t="s">
        <v>543</v>
      </c>
      <c r="D222" s="22">
        <v>0</v>
      </c>
      <c r="E222" s="22">
        <v>0</v>
      </c>
      <c r="F222" s="22">
        <v>0</v>
      </c>
      <c r="G222" s="22">
        <v>0.01</v>
      </c>
      <c r="H222" s="22">
        <v>0.01</v>
      </c>
      <c r="I222" s="22">
        <v>0</v>
      </c>
      <c r="J222" s="22">
        <v>0</v>
      </c>
      <c r="K222" s="22">
        <v>0</v>
      </c>
      <c r="L222" s="22">
        <v>0</v>
      </c>
      <c r="M222" s="22">
        <v>0</v>
      </c>
      <c r="N222" s="22">
        <v>0</v>
      </c>
      <c r="O222" s="22">
        <v>0</v>
      </c>
      <c r="P222" s="22">
        <f t="shared" si="34"/>
        <v>0.02</v>
      </c>
    </row>
    <row r="223" spans="1:16" x14ac:dyDescent="0.2">
      <c r="B223" s="2" t="s">
        <v>544</v>
      </c>
      <c r="D223" s="22">
        <v>0</v>
      </c>
      <c r="E223" s="22">
        <v>0</v>
      </c>
      <c r="F223" s="22">
        <v>0</v>
      </c>
      <c r="G223" s="22">
        <v>0</v>
      </c>
      <c r="H223" s="22">
        <v>0</v>
      </c>
      <c r="I223" s="22">
        <v>0</v>
      </c>
      <c r="J223" s="22">
        <v>0</v>
      </c>
      <c r="K223" s="22">
        <v>0</v>
      </c>
      <c r="L223" s="22">
        <v>0</v>
      </c>
      <c r="M223" s="22">
        <v>0</v>
      </c>
      <c r="N223" s="22">
        <v>0</v>
      </c>
      <c r="O223" s="22">
        <v>0</v>
      </c>
      <c r="P223" s="22">
        <f t="shared" si="34"/>
        <v>0</v>
      </c>
    </row>
    <row r="224" spans="1:16" x14ac:dyDescent="0.2">
      <c r="B224" s="2" t="s">
        <v>545</v>
      </c>
      <c r="D224" s="22">
        <v>0</v>
      </c>
      <c r="E224" s="22">
        <v>0</v>
      </c>
      <c r="F224" s="22">
        <v>0</v>
      </c>
      <c r="G224" s="22">
        <v>0.01</v>
      </c>
      <c r="H224" s="22">
        <v>0</v>
      </c>
      <c r="I224" s="22">
        <v>0</v>
      </c>
      <c r="J224" s="22">
        <v>0.04</v>
      </c>
      <c r="K224" s="22">
        <v>0.01</v>
      </c>
      <c r="L224" s="22">
        <v>0</v>
      </c>
      <c r="M224" s="22">
        <v>0</v>
      </c>
      <c r="N224" s="22">
        <v>0</v>
      </c>
      <c r="O224" s="22">
        <v>0</v>
      </c>
      <c r="P224" s="22">
        <f t="shared" si="34"/>
        <v>6.0000000000000005E-2</v>
      </c>
    </row>
    <row r="225" spans="2:16" x14ac:dyDescent="0.2">
      <c r="B225" s="2" t="s">
        <v>546</v>
      </c>
      <c r="D225" s="22">
        <v>0</v>
      </c>
      <c r="E225" s="22">
        <v>0</v>
      </c>
      <c r="F225" s="22">
        <v>0</v>
      </c>
      <c r="G225" s="22">
        <v>0</v>
      </c>
      <c r="H225" s="22">
        <v>0</v>
      </c>
      <c r="I225" s="22">
        <v>0</v>
      </c>
      <c r="J225" s="22">
        <v>0</v>
      </c>
      <c r="K225" s="22">
        <v>0</v>
      </c>
      <c r="L225" s="22">
        <v>0</v>
      </c>
      <c r="M225" s="22">
        <v>0</v>
      </c>
      <c r="N225" s="22">
        <v>0</v>
      </c>
      <c r="O225" s="22">
        <v>0</v>
      </c>
      <c r="P225" s="22">
        <f t="shared" si="34"/>
        <v>0</v>
      </c>
    </row>
    <row r="226" spans="2:16" x14ac:dyDescent="0.2">
      <c r="B226" s="2" t="s">
        <v>547</v>
      </c>
      <c r="D226" s="22">
        <v>0</v>
      </c>
      <c r="E226" s="22">
        <v>0.01</v>
      </c>
      <c r="F226" s="22">
        <v>0.02</v>
      </c>
      <c r="G226" s="22">
        <v>0</v>
      </c>
      <c r="H226" s="22">
        <v>0.01</v>
      </c>
      <c r="I226" s="22">
        <v>0</v>
      </c>
      <c r="J226" s="22">
        <v>0</v>
      </c>
      <c r="K226" s="22">
        <v>0.01</v>
      </c>
      <c r="L226" s="22">
        <v>0</v>
      </c>
      <c r="M226" s="22">
        <v>0</v>
      </c>
      <c r="N226" s="22">
        <v>0.01</v>
      </c>
      <c r="O226" s="22">
        <v>0</v>
      </c>
      <c r="P226" s="22">
        <f t="shared" si="34"/>
        <v>6.0000000000000005E-2</v>
      </c>
    </row>
    <row r="227" spans="2:16" x14ac:dyDescent="0.2">
      <c r="B227" s="2" t="s">
        <v>199</v>
      </c>
      <c r="D227" s="22">
        <v>0</v>
      </c>
      <c r="E227" s="22">
        <v>0</v>
      </c>
      <c r="F227" s="22">
        <v>0</v>
      </c>
      <c r="G227" s="22">
        <v>0</v>
      </c>
      <c r="H227" s="22">
        <v>0</v>
      </c>
      <c r="I227" s="22">
        <v>0</v>
      </c>
      <c r="J227" s="22">
        <v>0</v>
      </c>
      <c r="K227" s="22">
        <v>0</v>
      </c>
      <c r="L227" s="22">
        <v>0</v>
      </c>
      <c r="M227" s="22">
        <v>0</v>
      </c>
      <c r="N227" s="22">
        <v>0.06</v>
      </c>
      <c r="O227" s="22">
        <v>0.18</v>
      </c>
      <c r="P227" s="22">
        <f t="shared" si="34"/>
        <v>0.24</v>
      </c>
    </row>
    <row r="228" spans="2:16" x14ac:dyDescent="0.2">
      <c r="B228" s="2" t="s">
        <v>198</v>
      </c>
      <c r="D228" s="22">
        <v>0</v>
      </c>
      <c r="E228" s="22">
        <v>0</v>
      </c>
      <c r="F228" s="22">
        <v>0</v>
      </c>
      <c r="G228" s="22">
        <v>0</v>
      </c>
      <c r="H228" s="22">
        <v>0</v>
      </c>
      <c r="I228" s="22">
        <v>0</v>
      </c>
      <c r="J228" s="22">
        <v>0</v>
      </c>
      <c r="K228" s="22">
        <v>0</v>
      </c>
      <c r="L228" s="22">
        <v>0</v>
      </c>
      <c r="M228" s="22">
        <v>0</v>
      </c>
      <c r="N228" s="22">
        <v>0</v>
      </c>
      <c r="O228" s="22">
        <v>0</v>
      </c>
      <c r="P228" s="22">
        <f t="shared" si="34"/>
        <v>0</v>
      </c>
    </row>
    <row r="229" spans="2:16" x14ac:dyDescent="0.2">
      <c r="B229" s="2" t="s">
        <v>203</v>
      </c>
      <c r="D229" s="22">
        <v>0</v>
      </c>
      <c r="E229" s="22">
        <v>0</v>
      </c>
      <c r="F229" s="22">
        <v>0</v>
      </c>
      <c r="G229" s="22">
        <v>0</v>
      </c>
      <c r="H229" s="22">
        <v>0</v>
      </c>
      <c r="I229" s="22">
        <v>0</v>
      </c>
      <c r="J229" s="22">
        <v>0</v>
      </c>
      <c r="K229" s="22">
        <v>0</v>
      </c>
      <c r="L229" s="22">
        <v>0</v>
      </c>
      <c r="M229" s="22">
        <v>0</v>
      </c>
      <c r="N229" s="22">
        <v>0</v>
      </c>
      <c r="O229" s="22">
        <v>0</v>
      </c>
      <c r="P229" s="22">
        <f t="shared" si="34"/>
        <v>0</v>
      </c>
    </row>
    <row r="230" spans="2:16" x14ac:dyDescent="0.2">
      <c r="B230" s="2" t="s">
        <v>183</v>
      </c>
      <c r="D230" s="22">
        <v>0</v>
      </c>
      <c r="E230" s="22">
        <v>0</v>
      </c>
      <c r="F230" s="22">
        <v>0</v>
      </c>
      <c r="G230" s="22">
        <v>0</v>
      </c>
      <c r="H230" s="22">
        <v>0</v>
      </c>
      <c r="I230" s="22">
        <v>0</v>
      </c>
      <c r="J230" s="22">
        <v>0</v>
      </c>
      <c r="K230" s="22">
        <v>0</v>
      </c>
      <c r="L230" s="22">
        <v>0</v>
      </c>
      <c r="M230" s="22">
        <v>0.01</v>
      </c>
      <c r="N230" s="22">
        <v>0</v>
      </c>
      <c r="O230" s="22">
        <v>0</v>
      </c>
      <c r="P230" s="22">
        <f t="shared" si="34"/>
        <v>0.01</v>
      </c>
    </row>
    <row r="231" spans="2:16" x14ac:dyDescent="0.2">
      <c r="B231" s="2" t="s">
        <v>548</v>
      </c>
      <c r="D231" s="22">
        <v>0</v>
      </c>
      <c r="E231" s="22">
        <v>0</v>
      </c>
      <c r="F231" s="22">
        <v>0</v>
      </c>
      <c r="G231" s="22">
        <v>0</v>
      </c>
      <c r="H231" s="22">
        <v>0</v>
      </c>
      <c r="I231" s="22">
        <v>0</v>
      </c>
      <c r="J231" s="22">
        <v>0</v>
      </c>
      <c r="K231" s="22">
        <v>0</v>
      </c>
      <c r="L231" s="22">
        <v>0</v>
      </c>
      <c r="M231" s="22">
        <v>0</v>
      </c>
      <c r="N231" s="22">
        <v>0</v>
      </c>
      <c r="O231" s="22">
        <v>0</v>
      </c>
      <c r="P231" s="22">
        <f t="shared" si="34"/>
        <v>0</v>
      </c>
    </row>
    <row r="232" spans="2:16" x14ac:dyDescent="0.2">
      <c r="B232" s="2" t="s">
        <v>549</v>
      </c>
      <c r="D232" s="22">
        <v>2.4</v>
      </c>
      <c r="E232" s="22">
        <v>0.05</v>
      </c>
      <c r="F232" s="22">
        <v>0.03</v>
      </c>
      <c r="G232" s="22">
        <v>7.0000000000000007E-2</v>
      </c>
      <c r="H232" s="22">
        <v>0</v>
      </c>
      <c r="I232" s="22">
        <v>0.01</v>
      </c>
      <c r="J232" s="22">
        <v>0.06</v>
      </c>
      <c r="K232" s="22">
        <v>0.02</v>
      </c>
      <c r="L232" s="22">
        <v>0.02</v>
      </c>
      <c r="M232" s="22">
        <v>0.08</v>
      </c>
      <c r="N232" s="22">
        <v>0</v>
      </c>
      <c r="O232" s="22">
        <v>0.04</v>
      </c>
      <c r="P232" s="22">
        <f t="shared" si="34"/>
        <v>2.7799999999999994</v>
      </c>
    </row>
    <row r="233" spans="2:16" x14ac:dyDescent="0.2">
      <c r="B233" s="2" t="s">
        <v>550</v>
      </c>
      <c r="D233" s="22">
        <v>0</v>
      </c>
      <c r="E233" s="22">
        <v>0</v>
      </c>
      <c r="F233" s="22">
        <v>0</v>
      </c>
      <c r="G233" s="22">
        <v>0</v>
      </c>
      <c r="H233" s="22">
        <v>0</v>
      </c>
      <c r="I233" s="22">
        <v>0</v>
      </c>
      <c r="J233" s="22">
        <v>0</v>
      </c>
      <c r="K233" s="22">
        <v>0.74</v>
      </c>
      <c r="L233" s="22">
        <v>0</v>
      </c>
      <c r="M233" s="22">
        <v>0</v>
      </c>
      <c r="N233" s="22">
        <v>0</v>
      </c>
      <c r="O233" s="22">
        <v>0</v>
      </c>
      <c r="P233" s="22">
        <f t="shared" si="34"/>
        <v>0.74</v>
      </c>
    </row>
    <row r="234" spans="2:16" x14ac:dyDescent="0.2">
      <c r="B234" s="2" t="s">
        <v>551</v>
      </c>
      <c r="D234" s="22">
        <v>0</v>
      </c>
      <c r="E234" s="22">
        <v>0</v>
      </c>
      <c r="F234" s="22">
        <v>0</v>
      </c>
      <c r="G234" s="22">
        <v>0</v>
      </c>
      <c r="H234" s="22">
        <v>0</v>
      </c>
      <c r="I234" s="22">
        <v>0</v>
      </c>
      <c r="J234" s="22">
        <v>0</v>
      </c>
      <c r="K234" s="22">
        <v>0</v>
      </c>
      <c r="L234" s="22">
        <v>0.01</v>
      </c>
      <c r="M234" s="22">
        <v>0</v>
      </c>
      <c r="N234" s="22">
        <v>0</v>
      </c>
      <c r="O234" s="22">
        <v>0</v>
      </c>
      <c r="P234" s="22">
        <f t="shared" si="34"/>
        <v>0.01</v>
      </c>
    </row>
    <row r="235" spans="2:16" x14ac:dyDescent="0.2">
      <c r="B235" s="2" t="s">
        <v>220</v>
      </c>
      <c r="D235" s="22">
        <v>4.21</v>
      </c>
      <c r="E235" s="22">
        <v>0.65</v>
      </c>
      <c r="F235" s="22">
        <v>0.83</v>
      </c>
      <c r="G235" s="22">
        <v>0.87</v>
      </c>
      <c r="H235" s="22">
        <v>0.72</v>
      </c>
      <c r="I235" s="22">
        <v>1.38</v>
      </c>
      <c r="J235" s="22">
        <v>2.7</v>
      </c>
      <c r="K235" s="22">
        <v>0.83</v>
      </c>
      <c r="L235" s="22">
        <v>1.04</v>
      </c>
      <c r="M235" s="22">
        <v>1.35</v>
      </c>
      <c r="N235" s="22">
        <v>5.69</v>
      </c>
      <c r="O235" s="22">
        <v>2.0499999999999998</v>
      </c>
      <c r="P235" s="22">
        <f t="shared" si="34"/>
        <v>22.32</v>
      </c>
    </row>
    <row r="236" spans="2:16" x14ac:dyDescent="0.2">
      <c r="D236" s="7" t="s">
        <v>6</v>
      </c>
      <c r="E236" s="7" t="s">
        <v>6</v>
      </c>
      <c r="F236" s="7" t="s">
        <v>6</v>
      </c>
      <c r="G236" s="7" t="s">
        <v>6</v>
      </c>
      <c r="H236" s="7" t="s">
        <v>6</v>
      </c>
      <c r="I236" s="7" t="s">
        <v>6</v>
      </c>
      <c r="J236" s="7" t="s">
        <v>6</v>
      </c>
      <c r="K236" s="7" t="s">
        <v>6</v>
      </c>
      <c r="L236" s="7" t="s">
        <v>6</v>
      </c>
      <c r="M236" s="7" t="s">
        <v>6</v>
      </c>
      <c r="N236" s="7" t="s">
        <v>6</v>
      </c>
      <c r="O236" s="22"/>
      <c r="P236" s="22" t="s">
        <v>6</v>
      </c>
    </row>
    <row r="237" spans="2:16" ht="15" x14ac:dyDescent="0.25">
      <c r="C237" s="1" t="s">
        <v>552</v>
      </c>
      <c r="D237" s="23">
        <f t="shared" ref="D237:P237" si="35">D10+D33+D40+D57+D61+D65+D72+D82+D88+D93+D102+D107+D115+D130+D134+D139+D146+D151+D172+D177+D182+D199+D209</f>
        <v>1766.1499999999999</v>
      </c>
      <c r="E237" s="23">
        <f t="shared" si="35"/>
        <v>2303.6699999999996</v>
      </c>
      <c r="F237" s="23">
        <f t="shared" si="35"/>
        <v>1631.2299999999998</v>
      </c>
      <c r="G237" s="23">
        <f t="shared" si="35"/>
        <v>1634.3299999999997</v>
      </c>
      <c r="H237" s="23">
        <f t="shared" si="35"/>
        <v>1563.34</v>
      </c>
      <c r="I237" s="23">
        <f t="shared" si="35"/>
        <v>1579.2899999999997</v>
      </c>
      <c r="J237" s="23">
        <f t="shared" si="35"/>
        <v>1904.5100000000002</v>
      </c>
      <c r="K237" s="23">
        <f t="shared" si="35"/>
        <v>1687.2900000000002</v>
      </c>
      <c r="L237" s="23">
        <f t="shared" si="35"/>
        <v>1745.9800000000002</v>
      </c>
      <c r="M237" s="23">
        <f t="shared" si="35"/>
        <v>3793.5899999999997</v>
      </c>
      <c r="N237" s="23">
        <f t="shared" si="35"/>
        <v>1535.3899999999999</v>
      </c>
      <c r="O237" s="23">
        <f t="shared" si="35"/>
        <v>1675.42</v>
      </c>
      <c r="P237" s="23">
        <f t="shared" si="35"/>
        <v>22820.19</v>
      </c>
    </row>
    <row r="238" spans="2:16" ht="15" x14ac:dyDescent="0.25">
      <c r="B238" s="2" t="s">
        <v>6</v>
      </c>
      <c r="C238" s="1"/>
      <c r="D238" s="18"/>
      <c r="E238" s="18"/>
      <c r="F238" s="18"/>
      <c r="G238" s="18"/>
      <c r="H238" s="18"/>
      <c r="I238" s="18"/>
      <c r="J238" s="18"/>
      <c r="K238" s="18"/>
      <c r="L238" s="18"/>
      <c r="M238" s="18"/>
      <c r="N238" s="18"/>
      <c r="O238" s="7"/>
      <c r="P238" s="18"/>
    </row>
    <row r="239" spans="2:16" ht="15" x14ac:dyDescent="0.25">
      <c r="B239" s="2" t="s">
        <v>6</v>
      </c>
      <c r="C239" s="1"/>
      <c r="D239" s="18"/>
      <c r="E239" s="18"/>
      <c r="F239" s="18"/>
      <c r="G239" s="18"/>
      <c r="H239" s="18"/>
      <c r="I239" s="18"/>
      <c r="J239" s="18"/>
      <c r="K239" s="18"/>
      <c r="L239" s="18"/>
      <c r="M239" s="18"/>
      <c r="N239" s="18"/>
      <c r="O239" s="7"/>
      <c r="P239" s="18"/>
    </row>
    <row r="240" spans="2:16" x14ac:dyDescent="0.2">
      <c r="B240" s="2" t="s">
        <v>553</v>
      </c>
      <c r="O240" s="22"/>
    </row>
    <row r="241" spans="2:15" x14ac:dyDescent="0.2">
      <c r="O241" s="22"/>
    </row>
    <row r="246" spans="2:15" x14ac:dyDescent="0.2">
      <c r="B246" s="2" t="s">
        <v>709</v>
      </c>
    </row>
    <row r="247" spans="2:15" x14ac:dyDescent="0.2">
      <c r="B247" s="2" t="s">
        <v>6</v>
      </c>
    </row>
  </sheetData>
  <mergeCells count="2">
    <mergeCell ref="A3:P3"/>
    <mergeCell ref="A7:C7"/>
  </mergeCells>
  <printOptions horizontalCentered="1"/>
  <pageMargins left="0" right="0" top="0.59055118110236227" bottom="0.59055118110236227" header="0.23622047244094491" footer="0.51181102362204722"/>
  <pageSetup paperSize="9" scale="50" orientation="portrait" r:id="rId1"/>
  <headerFooter alignWithMargins="0">
    <oddHeader>Page &amp;P</oddHeader>
  </headerFooter>
  <rowBreaks count="2" manualBreakCount="2">
    <brk id="100" max="15" man="1"/>
    <brk id="197"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45"/>
  <sheetViews>
    <sheetView topLeftCell="A6" zoomScaleNormal="100" zoomScaleSheetLayoutView="90" workbookViewId="0">
      <selection activeCell="N28" sqref="N28"/>
    </sheetView>
  </sheetViews>
  <sheetFormatPr defaultColWidth="8.85546875" defaultRowHeight="14.25" x14ac:dyDescent="0.2"/>
  <cols>
    <col min="1" max="1" width="2.42578125" style="2" customWidth="1"/>
    <col min="2" max="2" width="4" style="2" customWidth="1"/>
    <col min="3" max="3" width="56.42578125" style="2" customWidth="1"/>
    <col min="4" max="4" width="0.140625" style="2" customWidth="1"/>
    <col min="5" max="17" width="11.42578125" style="2" customWidth="1"/>
    <col min="18" max="256" width="9.140625" style="2"/>
    <col min="257" max="257" width="2.42578125" style="2" customWidth="1"/>
    <col min="258" max="258" width="4" style="2" customWidth="1"/>
    <col min="259" max="259" width="46.7109375" style="2" customWidth="1"/>
    <col min="260" max="260" width="0.140625" style="2" customWidth="1"/>
    <col min="261" max="265" width="7.28515625" style="2" customWidth="1"/>
    <col min="266" max="266" width="7.42578125" style="2" bestFit="1" customWidth="1"/>
    <col min="267" max="272" width="7.28515625" style="2" customWidth="1"/>
    <col min="273" max="273" width="8.42578125" style="2" customWidth="1"/>
    <col min="274" max="512" width="9.140625" style="2"/>
    <col min="513" max="513" width="2.42578125" style="2" customWidth="1"/>
    <col min="514" max="514" width="4" style="2" customWidth="1"/>
    <col min="515" max="515" width="46.7109375" style="2" customWidth="1"/>
    <col min="516" max="516" width="0.140625" style="2" customWidth="1"/>
    <col min="517" max="521" width="7.28515625" style="2" customWidth="1"/>
    <col min="522" max="522" width="7.42578125" style="2" bestFit="1" customWidth="1"/>
    <col min="523" max="528" width="7.28515625" style="2" customWidth="1"/>
    <col min="529" max="529" width="8.42578125" style="2" customWidth="1"/>
    <col min="530" max="768" width="9.140625" style="2"/>
    <col min="769" max="769" width="2.42578125" style="2" customWidth="1"/>
    <col min="770" max="770" width="4" style="2" customWidth="1"/>
    <col min="771" max="771" width="46.7109375" style="2" customWidth="1"/>
    <col min="772" max="772" width="0.140625" style="2" customWidth="1"/>
    <col min="773" max="777" width="7.28515625" style="2" customWidth="1"/>
    <col min="778" max="778" width="7.42578125" style="2" bestFit="1" customWidth="1"/>
    <col min="779" max="784" width="7.28515625" style="2" customWidth="1"/>
    <col min="785" max="785" width="8.42578125" style="2" customWidth="1"/>
    <col min="786" max="1024" width="9.140625" style="2"/>
    <col min="1025" max="1025" width="2.42578125" style="2" customWidth="1"/>
    <col min="1026" max="1026" width="4" style="2" customWidth="1"/>
    <col min="1027" max="1027" width="46.7109375" style="2" customWidth="1"/>
    <col min="1028" max="1028" width="0.140625" style="2" customWidth="1"/>
    <col min="1029" max="1033" width="7.28515625" style="2" customWidth="1"/>
    <col min="1034" max="1034" width="7.42578125" style="2" bestFit="1" customWidth="1"/>
    <col min="1035" max="1040" width="7.28515625" style="2" customWidth="1"/>
    <col min="1041" max="1041" width="8.42578125" style="2" customWidth="1"/>
    <col min="1042" max="1280" width="9.140625" style="2"/>
    <col min="1281" max="1281" width="2.42578125" style="2" customWidth="1"/>
    <col min="1282" max="1282" width="4" style="2" customWidth="1"/>
    <col min="1283" max="1283" width="46.7109375" style="2" customWidth="1"/>
    <col min="1284" max="1284" width="0.140625" style="2" customWidth="1"/>
    <col min="1285" max="1289" width="7.28515625" style="2" customWidth="1"/>
    <col min="1290" max="1290" width="7.42578125" style="2" bestFit="1" customWidth="1"/>
    <col min="1291" max="1296" width="7.28515625" style="2" customWidth="1"/>
    <col min="1297" max="1297" width="8.42578125" style="2" customWidth="1"/>
    <col min="1298" max="1536" width="9.140625" style="2"/>
    <col min="1537" max="1537" width="2.42578125" style="2" customWidth="1"/>
    <col min="1538" max="1538" width="4" style="2" customWidth="1"/>
    <col min="1539" max="1539" width="46.7109375" style="2" customWidth="1"/>
    <col min="1540" max="1540" width="0.140625" style="2" customWidth="1"/>
    <col min="1541" max="1545" width="7.28515625" style="2" customWidth="1"/>
    <col min="1546" max="1546" width="7.42578125" style="2" bestFit="1" customWidth="1"/>
    <col min="1547" max="1552" width="7.28515625" style="2" customWidth="1"/>
    <col min="1553" max="1553" width="8.42578125" style="2" customWidth="1"/>
    <col min="1554" max="1792" width="9.140625" style="2"/>
    <col min="1793" max="1793" width="2.42578125" style="2" customWidth="1"/>
    <col min="1794" max="1794" width="4" style="2" customWidth="1"/>
    <col min="1795" max="1795" width="46.7109375" style="2" customWidth="1"/>
    <col min="1796" max="1796" width="0.140625" style="2" customWidth="1"/>
    <col min="1797" max="1801" width="7.28515625" style="2" customWidth="1"/>
    <col min="1802" max="1802" width="7.42578125" style="2" bestFit="1" customWidth="1"/>
    <col min="1803" max="1808" width="7.28515625" style="2" customWidth="1"/>
    <col min="1809" max="1809" width="8.42578125" style="2" customWidth="1"/>
    <col min="1810" max="2048" width="9.140625" style="2"/>
    <col min="2049" max="2049" width="2.42578125" style="2" customWidth="1"/>
    <col min="2050" max="2050" width="4" style="2" customWidth="1"/>
    <col min="2051" max="2051" width="46.7109375" style="2" customWidth="1"/>
    <col min="2052" max="2052" width="0.140625" style="2" customWidth="1"/>
    <col min="2053" max="2057" width="7.28515625" style="2" customWidth="1"/>
    <col min="2058" max="2058" width="7.42578125" style="2" bestFit="1" customWidth="1"/>
    <col min="2059" max="2064" width="7.28515625" style="2" customWidth="1"/>
    <col min="2065" max="2065" width="8.42578125" style="2" customWidth="1"/>
    <col min="2066" max="2304" width="9.140625" style="2"/>
    <col min="2305" max="2305" width="2.42578125" style="2" customWidth="1"/>
    <col min="2306" max="2306" width="4" style="2" customWidth="1"/>
    <col min="2307" max="2307" width="46.7109375" style="2" customWidth="1"/>
    <col min="2308" max="2308" width="0.140625" style="2" customWidth="1"/>
    <col min="2309" max="2313" width="7.28515625" style="2" customWidth="1"/>
    <col min="2314" max="2314" width="7.42578125" style="2" bestFit="1" customWidth="1"/>
    <col min="2315" max="2320" width="7.28515625" style="2" customWidth="1"/>
    <col min="2321" max="2321" width="8.42578125" style="2" customWidth="1"/>
    <col min="2322" max="2560" width="9.140625" style="2"/>
    <col min="2561" max="2561" width="2.42578125" style="2" customWidth="1"/>
    <col min="2562" max="2562" width="4" style="2" customWidth="1"/>
    <col min="2563" max="2563" width="46.7109375" style="2" customWidth="1"/>
    <col min="2564" max="2564" width="0.140625" style="2" customWidth="1"/>
    <col min="2565" max="2569" width="7.28515625" style="2" customWidth="1"/>
    <col min="2570" max="2570" width="7.42578125" style="2" bestFit="1" customWidth="1"/>
    <col min="2571" max="2576" width="7.28515625" style="2" customWidth="1"/>
    <col min="2577" max="2577" width="8.42578125" style="2" customWidth="1"/>
    <col min="2578" max="2816" width="9.140625" style="2"/>
    <col min="2817" max="2817" width="2.42578125" style="2" customWidth="1"/>
    <col min="2818" max="2818" width="4" style="2" customWidth="1"/>
    <col min="2819" max="2819" width="46.7109375" style="2" customWidth="1"/>
    <col min="2820" max="2820" width="0.140625" style="2" customWidth="1"/>
    <col min="2821" max="2825" width="7.28515625" style="2" customWidth="1"/>
    <col min="2826" max="2826" width="7.42578125" style="2" bestFit="1" customWidth="1"/>
    <col min="2827" max="2832" width="7.28515625" style="2" customWidth="1"/>
    <col min="2833" max="2833" width="8.42578125" style="2" customWidth="1"/>
    <col min="2834" max="3072" width="9.140625" style="2"/>
    <col min="3073" max="3073" width="2.42578125" style="2" customWidth="1"/>
    <col min="3074" max="3074" width="4" style="2" customWidth="1"/>
    <col min="3075" max="3075" width="46.7109375" style="2" customWidth="1"/>
    <col min="3076" max="3076" width="0.140625" style="2" customWidth="1"/>
    <col min="3077" max="3081" width="7.28515625" style="2" customWidth="1"/>
    <col min="3082" max="3082" width="7.42578125" style="2" bestFit="1" customWidth="1"/>
    <col min="3083" max="3088" width="7.28515625" style="2" customWidth="1"/>
    <col min="3089" max="3089" width="8.42578125" style="2" customWidth="1"/>
    <col min="3090" max="3328" width="9.140625" style="2"/>
    <col min="3329" max="3329" width="2.42578125" style="2" customWidth="1"/>
    <col min="3330" max="3330" width="4" style="2" customWidth="1"/>
    <col min="3331" max="3331" width="46.7109375" style="2" customWidth="1"/>
    <col min="3332" max="3332" width="0.140625" style="2" customWidth="1"/>
    <col min="3333" max="3337" width="7.28515625" style="2" customWidth="1"/>
    <col min="3338" max="3338" width="7.42578125" style="2" bestFit="1" customWidth="1"/>
    <col min="3339" max="3344" width="7.28515625" style="2" customWidth="1"/>
    <col min="3345" max="3345" width="8.42578125" style="2" customWidth="1"/>
    <col min="3346" max="3584" width="9.140625" style="2"/>
    <col min="3585" max="3585" width="2.42578125" style="2" customWidth="1"/>
    <col min="3586" max="3586" width="4" style="2" customWidth="1"/>
    <col min="3587" max="3587" width="46.7109375" style="2" customWidth="1"/>
    <col min="3588" max="3588" width="0.140625" style="2" customWidth="1"/>
    <col min="3589" max="3593" width="7.28515625" style="2" customWidth="1"/>
    <col min="3594" max="3594" width="7.42578125" style="2" bestFit="1" customWidth="1"/>
    <col min="3595" max="3600" width="7.28515625" style="2" customWidth="1"/>
    <col min="3601" max="3601" width="8.42578125" style="2" customWidth="1"/>
    <col min="3602" max="3840" width="9.140625" style="2"/>
    <col min="3841" max="3841" width="2.42578125" style="2" customWidth="1"/>
    <col min="3842" max="3842" width="4" style="2" customWidth="1"/>
    <col min="3843" max="3843" width="46.7109375" style="2" customWidth="1"/>
    <col min="3844" max="3844" width="0.140625" style="2" customWidth="1"/>
    <col min="3845" max="3849" width="7.28515625" style="2" customWidth="1"/>
    <col min="3850" max="3850" width="7.42578125" style="2" bestFit="1" customWidth="1"/>
    <col min="3851" max="3856" width="7.28515625" style="2" customWidth="1"/>
    <col min="3857" max="3857" width="8.42578125" style="2" customWidth="1"/>
    <col min="3858" max="4096" width="9.140625" style="2"/>
    <col min="4097" max="4097" width="2.42578125" style="2" customWidth="1"/>
    <col min="4098" max="4098" width="4" style="2" customWidth="1"/>
    <col min="4099" max="4099" width="46.7109375" style="2" customWidth="1"/>
    <col min="4100" max="4100" width="0.140625" style="2" customWidth="1"/>
    <col min="4101" max="4105" width="7.28515625" style="2" customWidth="1"/>
    <col min="4106" max="4106" width="7.42578125" style="2" bestFit="1" customWidth="1"/>
    <col min="4107" max="4112" width="7.28515625" style="2" customWidth="1"/>
    <col min="4113" max="4113" width="8.42578125" style="2" customWidth="1"/>
    <col min="4114" max="4352" width="9.140625" style="2"/>
    <col min="4353" max="4353" width="2.42578125" style="2" customWidth="1"/>
    <col min="4354" max="4354" width="4" style="2" customWidth="1"/>
    <col min="4355" max="4355" width="46.7109375" style="2" customWidth="1"/>
    <col min="4356" max="4356" width="0.140625" style="2" customWidth="1"/>
    <col min="4357" max="4361" width="7.28515625" style="2" customWidth="1"/>
    <col min="4362" max="4362" width="7.42578125" style="2" bestFit="1" customWidth="1"/>
    <col min="4363" max="4368" width="7.28515625" style="2" customWidth="1"/>
    <col min="4369" max="4369" width="8.42578125" style="2" customWidth="1"/>
    <col min="4370" max="4608" width="9.140625" style="2"/>
    <col min="4609" max="4609" width="2.42578125" style="2" customWidth="1"/>
    <col min="4610" max="4610" width="4" style="2" customWidth="1"/>
    <col min="4611" max="4611" width="46.7109375" style="2" customWidth="1"/>
    <col min="4612" max="4612" width="0.140625" style="2" customWidth="1"/>
    <col min="4613" max="4617" width="7.28515625" style="2" customWidth="1"/>
    <col min="4618" max="4618" width="7.42578125" style="2" bestFit="1" customWidth="1"/>
    <col min="4619" max="4624" width="7.28515625" style="2" customWidth="1"/>
    <col min="4625" max="4625" width="8.42578125" style="2" customWidth="1"/>
    <col min="4626" max="4864" width="9.140625" style="2"/>
    <col min="4865" max="4865" width="2.42578125" style="2" customWidth="1"/>
    <col min="4866" max="4866" width="4" style="2" customWidth="1"/>
    <col min="4867" max="4867" width="46.7109375" style="2" customWidth="1"/>
    <col min="4868" max="4868" width="0.140625" style="2" customWidth="1"/>
    <col min="4869" max="4873" width="7.28515625" style="2" customWidth="1"/>
    <col min="4874" max="4874" width="7.42578125" style="2" bestFit="1" customWidth="1"/>
    <col min="4875" max="4880" width="7.28515625" style="2" customWidth="1"/>
    <col min="4881" max="4881" width="8.42578125" style="2" customWidth="1"/>
    <col min="4882" max="5120" width="9.140625" style="2"/>
    <col min="5121" max="5121" width="2.42578125" style="2" customWidth="1"/>
    <col min="5122" max="5122" width="4" style="2" customWidth="1"/>
    <col min="5123" max="5123" width="46.7109375" style="2" customWidth="1"/>
    <col min="5124" max="5124" width="0.140625" style="2" customWidth="1"/>
    <col min="5125" max="5129" width="7.28515625" style="2" customWidth="1"/>
    <col min="5130" max="5130" width="7.42578125" style="2" bestFit="1" customWidth="1"/>
    <col min="5131" max="5136" width="7.28515625" style="2" customWidth="1"/>
    <col min="5137" max="5137" width="8.42578125" style="2" customWidth="1"/>
    <col min="5138" max="5376" width="9.140625" style="2"/>
    <col min="5377" max="5377" width="2.42578125" style="2" customWidth="1"/>
    <col min="5378" max="5378" width="4" style="2" customWidth="1"/>
    <col min="5379" max="5379" width="46.7109375" style="2" customWidth="1"/>
    <col min="5380" max="5380" width="0.140625" style="2" customWidth="1"/>
    <col min="5381" max="5385" width="7.28515625" style="2" customWidth="1"/>
    <col min="5386" max="5386" width="7.42578125" style="2" bestFit="1" customWidth="1"/>
    <col min="5387" max="5392" width="7.28515625" style="2" customWidth="1"/>
    <col min="5393" max="5393" width="8.42578125" style="2" customWidth="1"/>
    <col min="5394" max="5632" width="9.140625" style="2"/>
    <col min="5633" max="5633" width="2.42578125" style="2" customWidth="1"/>
    <col min="5634" max="5634" width="4" style="2" customWidth="1"/>
    <col min="5635" max="5635" width="46.7109375" style="2" customWidth="1"/>
    <col min="5636" max="5636" width="0.140625" style="2" customWidth="1"/>
    <col min="5637" max="5641" width="7.28515625" style="2" customWidth="1"/>
    <col min="5642" max="5642" width="7.42578125" style="2" bestFit="1" customWidth="1"/>
    <col min="5643" max="5648" width="7.28515625" style="2" customWidth="1"/>
    <col min="5649" max="5649" width="8.42578125" style="2" customWidth="1"/>
    <col min="5650" max="5888" width="9.140625" style="2"/>
    <col min="5889" max="5889" width="2.42578125" style="2" customWidth="1"/>
    <col min="5890" max="5890" width="4" style="2" customWidth="1"/>
    <col min="5891" max="5891" width="46.7109375" style="2" customWidth="1"/>
    <col min="5892" max="5892" width="0.140625" style="2" customWidth="1"/>
    <col min="5893" max="5897" width="7.28515625" style="2" customWidth="1"/>
    <col min="5898" max="5898" width="7.42578125" style="2" bestFit="1" customWidth="1"/>
    <col min="5899" max="5904" width="7.28515625" style="2" customWidth="1"/>
    <col min="5905" max="5905" width="8.42578125" style="2" customWidth="1"/>
    <col min="5906" max="6144" width="9.140625" style="2"/>
    <col min="6145" max="6145" width="2.42578125" style="2" customWidth="1"/>
    <col min="6146" max="6146" width="4" style="2" customWidth="1"/>
    <col min="6147" max="6147" width="46.7109375" style="2" customWidth="1"/>
    <col min="6148" max="6148" width="0.140625" style="2" customWidth="1"/>
    <col min="6149" max="6153" width="7.28515625" style="2" customWidth="1"/>
    <col min="6154" max="6154" width="7.42578125" style="2" bestFit="1" customWidth="1"/>
    <col min="6155" max="6160" width="7.28515625" style="2" customWidth="1"/>
    <col min="6161" max="6161" width="8.42578125" style="2" customWidth="1"/>
    <col min="6162" max="6400" width="9.140625" style="2"/>
    <col min="6401" max="6401" width="2.42578125" style="2" customWidth="1"/>
    <col min="6402" max="6402" width="4" style="2" customWidth="1"/>
    <col min="6403" max="6403" width="46.7109375" style="2" customWidth="1"/>
    <col min="6404" max="6404" width="0.140625" style="2" customWidth="1"/>
    <col min="6405" max="6409" width="7.28515625" style="2" customWidth="1"/>
    <col min="6410" max="6410" width="7.42578125" style="2" bestFit="1" customWidth="1"/>
    <col min="6411" max="6416" width="7.28515625" style="2" customWidth="1"/>
    <col min="6417" max="6417" width="8.42578125" style="2" customWidth="1"/>
    <col min="6418" max="6656" width="9.140625" style="2"/>
    <col min="6657" max="6657" width="2.42578125" style="2" customWidth="1"/>
    <col min="6658" max="6658" width="4" style="2" customWidth="1"/>
    <col min="6659" max="6659" width="46.7109375" style="2" customWidth="1"/>
    <col min="6660" max="6660" width="0.140625" style="2" customWidth="1"/>
    <col min="6661" max="6665" width="7.28515625" style="2" customWidth="1"/>
    <col min="6666" max="6666" width="7.42578125" style="2" bestFit="1" customWidth="1"/>
    <col min="6667" max="6672" width="7.28515625" style="2" customWidth="1"/>
    <col min="6673" max="6673" width="8.42578125" style="2" customWidth="1"/>
    <col min="6674" max="6912" width="9.140625" style="2"/>
    <col min="6913" max="6913" width="2.42578125" style="2" customWidth="1"/>
    <col min="6914" max="6914" width="4" style="2" customWidth="1"/>
    <col min="6915" max="6915" width="46.7109375" style="2" customWidth="1"/>
    <col min="6916" max="6916" width="0.140625" style="2" customWidth="1"/>
    <col min="6917" max="6921" width="7.28515625" style="2" customWidth="1"/>
    <col min="6922" max="6922" width="7.42578125" style="2" bestFit="1" customWidth="1"/>
    <col min="6923" max="6928" width="7.28515625" style="2" customWidth="1"/>
    <col min="6929" max="6929" width="8.42578125" style="2" customWidth="1"/>
    <col min="6930" max="7168" width="9.140625" style="2"/>
    <col min="7169" max="7169" width="2.42578125" style="2" customWidth="1"/>
    <col min="7170" max="7170" width="4" style="2" customWidth="1"/>
    <col min="7171" max="7171" width="46.7109375" style="2" customWidth="1"/>
    <col min="7172" max="7172" width="0.140625" style="2" customWidth="1"/>
    <col min="7173" max="7177" width="7.28515625" style="2" customWidth="1"/>
    <col min="7178" max="7178" width="7.42578125" style="2" bestFit="1" customWidth="1"/>
    <col min="7179" max="7184" width="7.28515625" style="2" customWidth="1"/>
    <col min="7185" max="7185" width="8.42578125" style="2" customWidth="1"/>
    <col min="7186" max="7424" width="9.140625" style="2"/>
    <col min="7425" max="7425" width="2.42578125" style="2" customWidth="1"/>
    <col min="7426" max="7426" width="4" style="2" customWidth="1"/>
    <col min="7427" max="7427" width="46.7109375" style="2" customWidth="1"/>
    <col min="7428" max="7428" width="0.140625" style="2" customWidth="1"/>
    <col min="7429" max="7433" width="7.28515625" style="2" customWidth="1"/>
    <col min="7434" max="7434" width="7.42578125" style="2" bestFit="1" customWidth="1"/>
    <col min="7435" max="7440" width="7.28515625" style="2" customWidth="1"/>
    <col min="7441" max="7441" width="8.42578125" style="2" customWidth="1"/>
    <col min="7442" max="7680" width="9.140625" style="2"/>
    <col min="7681" max="7681" width="2.42578125" style="2" customWidth="1"/>
    <col min="7682" max="7682" width="4" style="2" customWidth="1"/>
    <col min="7683" max="7683" width="46.7109375" style="2" customWidth="1"/>
    <col min="7684" max="7684" width="0.140625" style="2" customWidth="1"/>
    <col min="7685" max="7689" width="7.28515625" style="2" customWidth="1"/>
    <col min="7690" max="7690" width="7.42578125" style="2" bestFit="1" customWidth="1"/>
    <col min="7691" max="7696" width="7.28515625" style="2" customWidth="1"/>
    <col min="7697" max="7697" width="8.42578125" style="2" customWidth="1"/>
    <col min="7698" max="7936" width="9.140625" style="2"/>
    <col min="7937" max="7937" width="2.42578125" style="2" customWidth="1"/>
    <col min="7938" max="7938" width="4" style="2" customWidth="1"/>
    <col min="7939" max="7939" width="46.7109375" style="2" customWidth="1"/>
    <col min="7940" max="7940" width="0.140625" style="2" customWidth="1"/>
    <col min="7941" max="7945" width="7.28515625" style="2" customWidth="1"/>
    <col min="7946" max="7946" width="7.42578125" style="2" bestFit="1" customWidth="1"/>
    <col min="7947" max="7952" width="7.28515625" style="2" customWidth="1"/>
    <col min="7953" max="7953" width="8.42578125" style="2" customWidth="1"/>
    <col min="7954" max="8192" width="9.140625" style="2"/>
    <col min="8193" max="8193" width="2.42578125" style="2" customWidth="1"/>
    <col min="8194" max="8194" width="4" style="2" customWidth="1"/>
    <col min="8195" max="8195" width="46.7109375" style="2" customWidth="1"/>
    <col min="8196" max="8196" width="0.140625" style="2" customWidth="1"/>
    <col min="8197" max="8201" width="7.28515625" style="2" customWidth="1"/>
    <col min="8202" max="8202" width="7.42578125" style="2" bestFit="1" customWidth="1"/>
    <col min="8203" max="8208" width="7.28515625" style="2" customWidth="1"/>
    <col min="8209" max="8209" width="8.42578125" style="2" customWidth="1"/>
    <col min="8210" max="8448" width="9.140625" style="2"/>
    <col min="8449" max="8449" width="2.42578125" style="2" customWidth="1"/>
    <col min="8450" max="8450" width="4" style="2" customWidth="1"/>
    <col min="8451" max="8451" width="46.7109375" style="2" customWidth="1"/>
    <col min="8452" max="8452" width="0.140625" style="2" customWidth="1"/>
    <col min="8453" max="8457" width="7.28515625" style="2" customWidth="1"/>
    <col min="8458" max="8458" width="7.42578125" style="2" bestFit="1" customWidth="1"/>
    <col min="8459" max="8464" width="7.28515625" style="2" customWidth="1"/>
    <col min="8465" max="8465" width="8.42578125" style="2" customWidth="1"/>
    <col min="8466" max="8704" width="9.140625" style="2"/>
    <col min="8705" max="8705" width="2.42578125" style="2" customWidth="1"/>
    <col min="8706" max="8706" width="4" style="2" customWidth="1"/>
    <col min="8707" max="8707" width="46.7109375" style="2" customWidth="1"/>
    <col min="8708" max="8708" width="0.140625" style="2" customWidth="1"/>
    <col min="8709" max="8713" width="7.28515625" style="2" customWidth="1"/>
    <col min="8714" max="8714" width="7.42578125" style="2" bestFit="1" customWidth="1"/>
    <col min="8715" max="8720" width="7.28515625" style="2" customWidth="1"/>
    <col min="8721" max="8721" width="8.42578125" style="2" customWidth="1"/>
    <col min="8722" max="8960" width="9.140625" style="2"/>
    <col min="8961" max="8961" width="2.42578125" style="2" customWidth="1"/>
    <col min="8962" max="8962" width="4" style="2" customWidth="1"/>
    <col min="8963" max="8963" width="46.7109375" style="2" customWidth="1"/>
    <col min="8964" max="8964" width="0.140625" style="2" customWidth="1"/>
    <col min="8965" max="8969" width="7.28515625" style="2" customWidth="1"/>
    <col min="8970" max="8970" width="7.42578125" style="2" bestFit="1" customWidth="1"/>
    <col min="8971" max="8976" width="7.28515625" style="2" customWidth="1"/>
    <col min="8977" max="8977" width="8.42578125" style="2" customWidth="1"/>
    <col min="8978" max="9216" width="9.140625" style="2"/>
    <col min="9217" max="9217" width="2.42578125" style="2" customWidth="1"/>
    <col min="9218" max="9218" width="4" style="2" customWidth="1"/>
    <col min="9219" max="9219" width="46.7109375" style="2" customWidth="1"/>
    <col min="9220" max="9220" width="0.140625" style="2" customWidth="1"/>
    <col min="9221" max="9225" width="7.28515625" style="2" customWidth="1"/>
    <col min="9226" max="9226" width="7.42578125" style="2" bestFit="1" customWidth="1"/>
    <col min="9227" max="9232" width="7.28515625" style="2" customWidth="1"/>
    <col min="9233" max="9233" width="8.42578125" style="2" customWidth="1"/>
    <col min="9234" max="9472" width="9.140625" style="2"/>
    <col min="9473" max="9473" width="2.42578125" style="2" customWidth="1"/>
    <col min="9474" max="9474" width="4" style="2" customWidth="1"/>
    <col min="9475" max="9475" width="46.7109375" style="2" customWidth="1"/>
    <col min="9476" max="9476" width="0.140625" style="2" customWidth="1"/>
    <col min="9477" max="9481" width="7.28515625" style="2" customWidth="1"/>
    <col min="9482" max="9482" width="7.42578125" style="2" bestFit="1" customWidth="1"/>
    <col min="9483" max="9488" width="7.28515625" style="2" customWidth="1"/>
    <col min="9489" max="9489" width="8.42578125" style="2" customWidth="1"/>
    <col min="9490" max="9728" width="9.140625" style="2"/>
    <col min="9729" max="9729" width="2.42578125" style="2" customWidth="1"/>
    <col min="9730" max="9730" width="4" style="2" customWidth="1"/>
    <col min="9731" max="9731" width="46.7109375" style="2" customWidth="1"/>
    <col min="9732" max="9732" width="0.140625" style="2" customWidth="1"/>
    <col min="9733" max="9737" width="7.28515625" style="2" customWidth="1"/>
    <col min="9738" max="9738" width="7.42578125" style="2" bestFit="1" customWidth="1"/>
    <col min="9739" max="9744" width="7.28515625" style="2" customWidth="1"/>
    <col min="9745" max="9745" width="8.42578125" style="2" customWidth="1"/>
    <col min="9746" max="9984" width="9.140625" style="2"/>
    <col min="9985" max="9985" width="2.42578125" style="2" customWidth="1"/>
    <col min="9986" max="9986" width="4" style="2" customWidth="1"/>
    <col min="9987" max="9987" width="46.7109375" style="2" customWidth="1"/>
    <col min="9988" max="9988" width="0.140625" style="2" customWidth="1"/>
    <col min="9989" max="9993" width="7.28515625" style="2" customWidth="1"/>
    <col min="9994" max="9994" width="7.42578125" style="2" bestFit="1" customWidth="1"/>
    <col min="9995" max="10000" width="7.28515625" style="2" customWidth="1"/>
    <col min="10001" max="10001" width="8.42578125" style="2" customWidth="1"/>
    <col min="10002" max="10240" width="9.140625" style="2"/>
    <col min="10241" max="10241" width="2.42578125" style="2" customWidth="1"/>
    <col min="10242" max="10242" width="4" style="2" customWidth="1"/>
    <col min="10243" max="10243" width="46.7109375" style="2" customWidth="1"/>
    <col min="10244" max="10244" width="0.140625" style="2" customWidth="1"/>
    <col min="10245" max="10249" width="7.28515625" style="2" customWidth="1"/>
    <col min="10250" max="10250" width="7.42578125" style="2" bestFit="1" customWidth="1"/>
    <col min="10251" max="10256" width="7.28515625" style="2" customWidth="1"/>
    <col min="10257" max="10257" width="8.42578125" style="2" customWidth="1"/>
    <col min="10258" max="10496" width="9.140625" style="2"/>
    <col min="10497" max="10497" width="2.42578125" style="2" customWidth="1"/>
    <col min="10498" max="10498" width="4" style="2" customWidth="1"/>
    <col min="10499" max="10499" width="46.7109375" style="2" customWidth="1"/>
    <col min="10500" max="10500" width="0.140625" style="2" customWidth="1"/>
    <col min="10501" max="10505" width="7.28515625" style="2" customWidth="1"/>
    <col min="10506" max="10506" width="7.42578125" style="2" bestFit="1" customWidth="1"/>
    <col min="10507" max="10512" width="7.28515625" style="2" customWidth="1"/>
    <col min="10513" max="10513" width="8.42578125" style="2" customWidth="1"/>
    <col min="10514" max="10752" width="9.140625" style="2"/>
    <col min="10753" max="10753" width="2.42578125" style="2" customWidth="1"/>
    <col min="10754" max="10754" width="4" style="2" customWidth="1"/>
    <col min="10755" max="10755" width="46.7109375" style="2" customWidth="1"/>
    <col min="10756" max="10756" width="0.140625" style="2" customWidth="1"/>
    <col min="10757" max="10761" width="7.28515625" style="2" customWidth="1"/>
    <col min="10762" max="10762" width="7.42578125" style="2" bestFit="1" customWidth="1"/>
    <col min="10763" max="10768" width="7.28515625" style="2" customWidth="1"/>
    <col min="10769" max="10769" width="8.42578125" style="2" customWidth="1"/>
    <col min="10770" max="11008" width="9.140625" style="2"/>
    <col min="11009" max="11009" width="2.42578125" style="2" customWidth="1"/>
    <col min="11010" max="11010" width="4" style="2" customWidth="1"/>
    <col min="11011" max="11011" width="46.7109375" style="2" customWidth="1"/>
    <col min="11012" max="11012" width="0.140625" style="2" customWidth="1"/>
    <col min="11013" max="11017" width="7.28515625" style="2" customWidth="1"/>
    <col min="11018" max="11018" width="7.42578125" style="2" bestFit="1" customWidth="1"/>
    <col min="11019" max="11024" width="7.28515625" style="2" customWidth="1"/>
    <col min="11025" max="11025" width="8.42578125" style="2" customWidth="1"/>
    <col min="11026" max="11264" width="9.140625" style="2"/>
    <col min="11265" max="11265" width="2.42578125" style="2" customWidth="1"/>
    <col min="11266" max="11266" width="4" style="2" customWidth="1"/>
    <col min="11267" max="11267" width="46.7109375" style="2" customWidth="1"/>
    <col min="11268" max="11268" width="0.140625" style="2" customWidth="1"/>
    <col min="11269" max="11273" width="7.28515625" style="2" customWidth="1"/>
    <col min="11274" max="11274" width="7.42578125" style="2" bestFit="1" customWidth="1"/>
    <col min="11275" max="11280" width="7.28515625" style="2" customWidth="1"/>
    <col min="11281" max="11281" width="8.42578125" style="2" customWidth="1"/>
    <col min="11282" max="11520" width="9.140625" style="2"/>
    <col min="11521" max="11521" width="2.42578125" style="2" customWidth="1"/>
    <col min="11522" max="11522" width="4" style="2" customWidth="1"/>
    <col min="11523" max="11523" width="46.7109375" style="2" customWidth="1"/>
    <col min="11524" max="11524" width="0.140625" style="2" customWidth="1"/>
    <col min="11525" max="11529" width="7.28515625" style="2" customWidth="1"/>
    <col min="11530" max="11530" width="7.42578125" style="2" bestFit="1" customWidth="1"/>
    <col min="11531" max="11536" width="7.28515625" style="2" customWidth="1"/>
    <col min="11537" max="11537" width="8.42578125" style="2" customWidth="1"/>
    <col min="11538" max="11776" width="9.140625" style="2"/>
    <col min="11777" max="11777" width="2.42578125" style="2" customWidth="1"/>
    <col min="11778" max="11778" width="4" style="2" customWidth="1"/>
    <col min="11779" max="11779" width="46.7109375" style="2" customWidth="1"/>
    <col min="11780" max="11780" width="0.140625" style="2" customWidth="1"/>
    <col min="11781" max="11785" width="7.28515625" style="2" customWidth="1"/>
    <col min="11786" max="11786" width="7.42578125" style="2" bestFit="1" customWidth="1"/>
    <col min="11787" max="11792" width="7.28515625" style="2" customWidth="1"/>
    <col min="11793" max="11793" width="8.42578125" style="2" customWidth="1"/>
    <col min="11794" max="12032" width="9.140625" style="2"/>
    <col min="12033" max="12033" width="2.42578125" style="2" customWidth="1"/>
    <col min="12034" max="12034" width="4" style="2" customWidth="1"/>
    <col min="12035" max="12035" width="46.7109375" style="2" customWidth="1"/>
    <col min="12036" max="12036" width="0.140625" style="2" customWidth="1"/>
    <col min="12037" max="12041" width="7.28515625" style="2" customWidth="1"/>
    <col min="12042" max="12042" width="7.42578125" style="2" bestFit="1" customWidth="1"/>
    <col min="12043" max="12048" width="7.28515625" style="2" customWidth="1"/>
    <col min="12049" max="12049" width="8.42578125" style="2" customWidth="1"/>
    <col min="12050" max="12288" width="9.140625" style="2"/>
    <col min="12289" max="12289" width="2.42578125" style="2" customWidth="1"/>
    <col min="12290" max="12290" width="4" style="2" customWidth="1"/>
    <col min="12291" max="12291" width="46.7109375" style="2" customWidth="1"/>
    <col min="12292" max="12292" width="0.140625" style="2" customWidth="1"/>
    <col min="12293" max="12297" width="7.28515625" style="2" customWidth="1"/>
    <col min="12298" max="12298" width="7.42578125" style="2" bestFit="1" customWidth="1"/>
    <col min="12299" max="12304" width="7.28515625" style="2" customWidth="1"/>
    <col min="12305" max="12305" width="8.42578125" style="2" customWidth="1"/>
    <col min="12306" max="12544" width="9.140625" style="2"/>
    <col min="12545" max="12545" width="2.42578125" style="2" customWidth="1"/>
    <col min="12546" max="12546" width="4" style="2" customWidth="1"/>
    <col min="12547" max="12547" width="46.7109375" style="2" customWidth="1"/>
    <col min="12548" max="12548" width="0.140625" style="2" customWidth="1"/>
    <col min="12549" max="12553" width="7.28515625" style="2" customWidth="1"/>
    <col min="12554" max="12554" width="7.42578125" style="2" bestFit="1" customWidth="1"/>
    <col min="12555" max="12560" width="7.28515625" style="2" customWidth="1"/>
    <col min="12561" max="12561" width="8.42578125" style="2" customWidth="1"/>
    <col min="12562" max="12800" width="9.140625" style="2"/>
    <col min="12801" max="12801" width="2.42578125" style="2" customWidth="1"/>
    <col min="12802" max="12802" width="4" style="2" customWidth="1"/>
    <col min="12803" max="12803" width="46.7109375" style="2" customWidth="1"/>
    <col min="12804" max="12804" width="0.140625" style="2" customWidth="1"/>
    <col min="12805" max="12809" width="7.28515625" style="2" customWidth="1"/>
    <col min="12810" max="12810" width="7.42578125" style="2" bestFit="1" customWidth="1"/>
    <col min="12811" max="12816" width="7.28515625" style="2" customWidth="1"/>
    <col min="12817" max="12817" width="8.42578125" style="2" customWidth="1"/>
    <col min="12818" max="13056" width="9.140625" style="2"/>
    <col min="13057" max="13057" width="2.42578125" style="2" customWidth="1"/>
    <col min="13058" max="13058" width="4" style="2" customWidth="1"/>
    <col min="13059" max="13059" width="46.7109375" style="2" customWidth="1"/>
    <col min="13060" max="13060" width="0.140625" style="2" customWidth="1"/>
    <col min="13061" max="13065" width="7.28515625" style="2" customWidth="1"/>
    <col min="13066" max="13066" width="7.42578125" style="2" bestFit="1" customWidth="1"/>
    <col min="13067" max="13072" width="7.28515625" style="2" customWidth="1"/>
    <col min="13073" max="13073" width="8.42578125" style="2" customWidth="1"/>
    <col min="13074" max="13312" width="9.140625" style="2"/>
    <col min="13313" max="13313" width="2.42578125" style="2" customWidth="1"/>
    <col min="13314" max="13314" width="4" style="2" customWidth="1"/>
    <col min="13315" max="13315" width="46.7109375" style="2" customWidth="1"/>
    <col min="13316" max="13316" width="0.140625" style="2" customWidth="1"/>
    <col min="13317" max="13321" width="7.28515625" style="2" customWidth="1"/>
    <col min="13322" max="13322" width="7.42578125" style="2" bestFit="1" customWidth="1"/>
    <col min="13323" max="13328" width="7.28515625" style="2" customWidth="1"/>
    <col min="13329" max="13329" width="8.42578125" style="2" customWidth="1"/>
    <col min="13330" max="13568" width="9.140625" style="2"/>
    <col min="13569" max="13569" width="2.42578125" style="2" customWidth="1"/>
    <col min="13570" max="13570" width="4" style="2" customWidth="1"/>
    <col min="13571" max="13571" width="46.7109375" style="2" customWidth="1"/>
    <col min="13572" max="13572" width="0.140625" style="2" customWidth="1"/>
    <col min="13573" max="13577" width="7.28515625" style="2" customWidth="1"/>
    <col min="13578" max="13578" width="7.42578125" style="2" bestFit="1" customWidth="1"/>
    <col min="13579" max="13584" width="7.28515625" style="2" customWidth="1"/>
    <col min="13585" max="13585" width="8.42578125" style="2" customWidth="1"/>
    <col min="13586" max="13824" width="9.140625" style="2"/>
    <col min="13825" max="13825" width="2.42578125" style="2" customWidth="1"/>
    <col min="13826" max="13826" width="4" style="2" customWidth="1"/>
    <col min="13827" max="13827" width="46.7109375" style="2" customWidth="1"/>
    <col min="13828" max="13828" width="0.140625" style="2" customWidth="1"/>
    <col min="13829" max="13833" width="7.28515625" style="2" customWidth="1"/>
    <col min="13834" max="13834" width="7.42578125" style="2" bestFit="1" customWidth="1"/>
    <col min="13835" max="13840" width="7.28515625" style="2" customWidth="1"/>
    <col min="13841" max="13841" width="8.42578125" style="2" customWidth="1"/>
    <col min="13842" max="14080" width="9.140625" style="2"/>
    <col min="14081" max="14081" width="2.42578125" style="2" customWidth="1"/>
    <col min="14082" max="14082" width="4" style="2" customWidth="1"/>
    <col min="14083" max="14083" width="46.7109375" style="2" customWidth="1"/>
    <col min="14084" max="14084" width="0.140625" style="2" customWidth="1"/>
    <col min="14085" max="14089" width="7.28515625" style="2" customWidth="1"/>
    <col min="14090" max="14090" width="7.42578125" style="2" bestFit="1" customWidth="1"/>
    <col min="14091" max="14096" width="7.28515625" style="2" customWidth="1"/>
    <col min="14097" max="14097" width="8.42578125" style="2" customWidth="1"/>
    <col min="14098" max="14336" width="9.140625" style="2"/>
    <col min="14337" max="14337" width="2.42578125" style="2" customWidth="1"/>
    <col min="14338" max="14338" width="4" style="2" customWidth="1"/>
    <col min="14339" max="14339" width="46.7109375" style="2" customWidth="1"/>
    <col min="14340" max="14340" width="0.140625" style="2" customWidth="1"/>
    <col min="14341" max="14345" width="7.28515625" style="2" customWidth="1"/>
    <col min="14346" max="14346" width="7.42578125" style="2" bestFit="1" customWidth="1"/>
    <col min="14347" max="14352" width="7.28515625" style="2" customWidth="1"/>
    <col min="14353" max="14353" width="8.42578125" style="2" customWidth="1"/>
    <col min="14354" max="14592" width="9.140625" style="2"/>
    <col min="14593" max="14593" width="2.42578125" style="2" customWidth="1"/>
    <col min="14594" max="14594" width="4" style="2" customWidth="1"/>
    <col min="14595" max="14595" width="46.7109375" style="2" customWidth="1"/>
    <col min="14596" max="14596" width="0.140625" style="2" customWidth="1"/>
    <col min="14597" max="14601" width="7.28515625" style="2" customWidth="1"/>
    <col min="14602" max="14602" width="7.42578125" style="2" bestFit="1" customWidth="1"/>
    <col min="14603" max="14608" width="7.28515625" style="2" customWidth="1"/>
    <col min="14609" max="14609" width="8.42578125" style="2" customWidth="1"/>
    <col min="14610" max="14848" width="9.140625" style="2"/>
    <col min="14849" max="14849" width="2.42578125" style="2" customWidth="1"/>
    <col min="14850" max="14850" width="4" style="2" customWidth="1"/>
    <col min="14851" max="14851" width="46.7109375" style="2" customWidth="1"/>
    <col min="14852" max="14852" width="0.140625" style="2" customWidth="1"/>
    <col min="14853" max="14857" width="7.28515625" style="2" customWidth="1"/>
    <col min="14858" max="14858" width="7.42578125" style="2" bestFit="1" customWidth="1"/>
    <col min="14859" max="14864" width="7.28515625" style="2" customWidth="1"/>
    <col min="14865" max="14865" width="8.42578125" style="2" customWidth="1"/>
    <col min="14866" max="15104" width="9.140625" style="2"/>
    <col min="15105" max="15105" width="2.42578125" style="2" customWidth="1"/>
    <col min="15106" max="15106" width="4" style="2" customWidth="1"/>
    <col min="15107" max="15107" width="46.7109375" style="2" customWidth="1"/>
    <col min="15108" max="15108" width="0.140625" style="2" customWidth="1"/>
    <col min="15109" max="15113" width="7.28515625" style="2" customWidth="1"/>
    <col min="15114" max="15114" width="7.42578125" style="2" bestFit="1" customWidth="1"/>
    <col min="15115" max="15120" width="7.28515625" style="2" customWidth="1"/>
    <col min="15121" max="15121" width="8.42578125" style="2" customWidth="1"/>
    <col min="15122" max="15360" width="9.140625" style="2"/>
    <col min="15361" max="15361" width="2.42578125" style="2" customWidth="1"/>
    <col min="15362" max="15362" width="4" style="2" customWidth="1"/>
    <col min="15363" max="15363" width="46.7109375" style="2" customWidth="1"/>
    <col min="15364" max="15364" width="0.140625" style="2" customWidth="1"/>
    <col min="15365" max="15369" width="7.28515625" style="2" customWidth="1"/>
    <col min="15370" max="15370" width="7.42578125" style="2" bestFit="1" customWidth="1"/>
    <col min="15371" max="15376" width="7.28515625" style="2" customWidth="1"/>
    <col min="15377" max="15377" width="8.42578125" style="2" customWidth="1"/>
    <col min="15378" max="15616" width="9.140625" style="2"/>
    <col min="15617" max="15617" width="2.42578125" style="2" customWidth="1"/>
    <col min="15618" max="15618" width="4" style="2" customWidth="1"/>
    <col min="15619" max="15619" width="46.7109375" style="2" customWidth="1"/>
    <col min="15620" max="15620" width="0.140625" style="2" customWidth="1"/>
    <col min="15621" max="15625" width="7.28515625" style="2" customWidth="1"/>
    <col min="15626" max="15626" width="7.42578125" style="2" bestFit="1" customWidth="1"/>
    <col min="15627" max="15632" width="7.28515625" style="2" customWidth="1"/>
    <col min="15633" max="15633" width="8.42578125" style="2" customWidth="1"/>
    <col min="15634" max="15872" width="9.140625" style="2"/>
    <col min="15873" max="15873" width="2.42578125" style="2" customWidth="1"/>
    <col min="15874" max="15874" width="4" style="2" customWidth="1"/>
    <col min="15875" max="15875" width="46.7109375" style="2" customWidth="1"/>
    <col min="15876" max="15876" width="0.140625" style="2" customWidth="1"/>
    <col min="15877" max="15881" width="7.28515625" style="2" customWidth="1"/>
    <col min="15882" max="15882" width="7.42578125" style="2" bestFit="1" customWidth="1"/>
    <col min="15883" max="15888" width="7.28515625" style="2" customWidth="1"/>
    <col min="15889" max="15889" width="8.42578125" style="2" customWidth="1"/>
    <col min="15890" max="16128" width="9.140625" style="2"/>
    <col min="16129" max="16129" width="2.42578125" style="2" customWidth="1"/>
    <col min="16130" max="16130" width="4" style="2" customWidth="1"/>
    <col min="16131" max="16131" width="46.7109375" style="2" customWidth="1"/>
    <col min="16132" max="16132" width="0.140625" style="2" customWidth="1"/>
    <col min="16133" max="16137" width="7.28515625" style="2" customWidth="1"/>
    <col min="16138" max="16138" width="7.42578125" style="2" bestFit="1" customWidth="1"/>
    <col min="16139" max="16144" width="7.28515625" style="2" customWidth="1"/>
    <col min="16145" max="16145" width="8.42578125" style="2" customWidth="1"/>
    <col min="16146" max="16384" width="9.140625" style="2"/>
  </cols>
  <sheetData>
    <row r="1" spans="1:17" ht="15" x14ac:dyDescent="0.25">
      <c r="A1" s="1" t="s">
        <v>0</v>
      </c>
      <c r="B1" s="1"/>
      <c r="C1" s="1"/>
      <c r="D1" s="1"/>
      <c r="E1" s="1"/>
      <c r="F1" s="1"/>
      <c r="G1" s="1"/>
      <c r="H1" s="1"/>
      <c r="I1" s="1"/>
      <c r="J1" s="1"/>
      <c r="K1" s="1"/>
      <c r="L1" s="1"/>
      <c r="M1" s="1"/>
      <c r="N1" s="1"/>
      <c r="O1" s="1"/>
      <c r="P1" s="1"/>
      <c r="Q1" s="1"/>
    </row>
    <row r="2" spans="1:17" ht="15" x14ac:dyDescent="0.25">
      <c r="A2" s="1" t="s">
        <v>1</v>
      </c>
      <c r="B2" s="1"/>
      <c r="C2" s="1"/>
      <c r="D2" s="1"/>
      <c r="E2" s="1"/>
      <c r="F2" s="1"/>
      <c r="G2" s="1"/>
      <c r="H2" s="1"/>
      <c r="I2" s="1"/>
      <c r="J2" s="1"/>
      <c r="K2" s="1"/>
      <c r="L2" s="1"/>
      <c r="M2" s="1"/>
      <c r="N2" s="1"/>
      <c r="O2" s="1"/>
      <c r="P2" s="1"/>
      <c r="Q2" s="1"/>
    </row>
    <row r="3" spans="1:17" ht="15" x14ac:dyDescent="0.25">
      <c r="A3" s="315" t="s">
        <v>554</v>
      </c>
      <c r="B3" s="315"/>
      <c r="C3" s="315"/>
      <c r="D3" s="315"/>
      <c r="E3" s="315"/>
      <c r="F3" s="315"/>
      <c r="G3" s="315"/>
      <c r="H3" s="315"/>
      <c r="I3" s="315"/>
      <c r="J3" s="315"/>
      <c r="K3" s="315"/>
      <c r="L3" s="315"/>
      <c r="M3" s="315"/>
      <c r="N3" s="315"/>
      <c r="O3" s="315"/>
      <c r="P3" s="315"/>
      <c r="Q3" s="315"/>
    </row>
    <row r="4" spans="1:17" x14ac:dyDescent="0.2">
      <c r="A4" s="2" t="s">
        <v>3</v>
      </c>
    </row>
    <row r="5" spans="1:17" ht="5.25" customHeight="1" x14ac:dyDescent="0.2"/>
    <row r="6" spans="1:17" ht="6" customHeight="1" x14ac:dyDescent="0.2">
      <c r="A6" s="128"/>
      <c r="B6" s="128"/>
      <c r="C6" s="128"/>
      <c r="D6" s="128"/>
      <c r="E6" s="128"/>
      <c r="F6" s="128"/>
      <c r="G6" s="128"/>
      <c r="H6" s="128"/>
      <c r="I6" s="128"/>
      <c r="J6" s="128"/>
      <c r="K6" s="128"/>
      <c r="L6" s="128"/>
      <c r="M6" s="128"/>
      <c r="N6" s="128"/>
      <c r="O6" s="128"/>
      <c r="P6" s="128"/>
      <c r="Q6" s="128"/>
    </row>
    <row r="7" spans="1:17" x14ac:dyDescent="0.2">
      <c r="A7" s="328" t="s">
        <v>5</v>
      </c>
      <c r="B7" s="328"/>
      <c r="C7" s="328"/>
      <c r="D7" s="328"/>
      <c r="E7" s="122" t="s">
        <v>461</v>
      </c>
      <c r="F7" s="122" t="s">
        <v>462</v>
      </c>
      <c r="G7" s="122" t="s">
        <v>463</v>
      </c>
      <c r="H7" s="122" t="s">
        <v>464</v>
      </c>
      <c r="I7" s="122" t="s">
        <v>465</v>
      </c>
      <c r="J7" s="122" t="s">
        <v>466</v>
      </c>
      <c r="K7" s="122" t="s">
        <v>467</v>
      </c>
      <c r="L7" s="122" t="s">
        <v>468</v>
      </c>
      <c r="M7" s="122" t="s">
        <v>469</v>
      </c>
      <c r="N7" s="122" t="s">
        <v>470</v>
      </c>
      <c r="O7" s="122" t="s">
        <v>471</v>
      </c>
      <c r="P7" s="122" t="s">
        <v>472</v>
      </c>
      <c r="Q7" s="122" t="s">
        <v>238</v>
      </c>
    </row>
    <row r="8" spans="1:17" ht="6" customHeight="1" thickBot="1" x14ac:dyDescent="0.3">
      <c r="A8" s="129"/>
      <c r="B8" s="129"/>
      <c r="C8" s="129"/>
      <c r="D8" s="129"/>
      <c r="E8" s="129"/>
      <c r="F8" s="129"/>
      <c r="G8" s="129"/>
      <c r="H8" s="129"/>
      <c r="I8" s="129"/>
      <c r="J8" s="129"/>
      <c r="K8" s="129"/>
      <c r="L8" s="129"/>
      <c r="M8" s="129"/>
      <c r="N8" s="129"/>
      <c r="O8" s="129"/>
      <c r="P8" s="129"/>
      <c r="Q8" s="129"/>
    </row>
    <row r="9" spans="1:17" ht="7.5" customHeight="1" thickTop="1" x14ac:dyDescent="0.2"/>
    <row r="10" spans="1:17" s="4" customFormat="1" ht="15" x14ac:dyDescent="0.25">
      <c r="A10" s="3" t="s">
        <v>20</v>
      </c>
      <c r="E10" s="5">
        <f t="shared" ref="E10:P10" si="0">SUM(E11:E35)</f>
        <v>175.2</v>
      </c>
      <c r="F10" s="5">
        <f t="shared" si="0"/>
        <v>693.02</v>
      </c>
      <c r="G10" s="5">
        <f t="shared" si="0"/>
        <v>420.45999999999992</v>
      </c>
      <c r="H10" s="5">
        <f t="shared" si="0"/>
        <v>217.47</v>
      </c>
      <c r="I10" s="5">
        <f t="shared" si="0"/>
        <v>387.34000000000003</v>
      </c>
      <c r="J10" s="5">
        <f t="shared" si="0"/>
        <v>302.23</v>
      </c>
      <c r="K10" s="5">
        <f t="shared" si="0"/>
        <v>297.09999999999997</v>
      </c>
      <c r="L10" s="5">
        <f t="shared" si="0"/>
        <v>309.95999999999998</v>
      </c>
      <c r="M10" s="5">
        <f t="shared" si="0"/>
        <v>285.07000000000005</v>
      </c>
      <c r="N10" s="5">
        <f t="shared" si="0"/>
        <v>1405.21</v>
      </c>
      <c r="O10" s="5">
        <f t="shared" si="0"/>
        <v>219.53000000000003</v>
      </c>
      <c r="P10" s="5">
        <f t="shared" si="0"/>
        <v>139.75</v>
      </c>
      <c r="Q10" s="5">
        <f>SUM(E10:P10)</f>
        <v>4852.3399999999992</v>
      </c>
    </row>
    <row r="11" spans="1:17" x14ac:dyDescent="0.2">
      <c r="B11" s="6"/>
      <c r="C11" s="2" t="s">
        <v>239</v>
      </c>
      <c r="E11" s="7">
        <v>0.28999999999999998</v>
      </c>
      <c r="F11" s="7">
        <v>0.54</v>
      </c>
      <c r="G11" s="7">
        <v>0.51</v>
      </c>
      <c r="H11" s="7">
        <v>0.66</v>
      </c>
      <c r="I11" s="7">
        <v>0.55000000000000004</v>
      </c>
      <c r="J11" s="7">
        <v>0.87</v>
      </c>
      <c r="K11" s="7">
        <v>0.61</v>
      </c>
      <c r="L11" s="7">
        <v>0.71</v>
      </c>
      <c r="M11" s="7">
        <v>0.67</v>
      </c>
      <c r="N11" s="7">
        <v>0.83</v>
      </c>
      <c r="O11" s="7">
        <v>2.2799999999999998</v>
      </c>
      <c r="P11" s="7">
        <v>0.38</v>
      </c>
      <c r="Q11" s="7">
        <f t="shared" ref="Q11:Q35" si="1">SUM(E11:P11)</f>
        <v>8.9</v>
      </c>
    </row>
    <row r="12" spans="1:17" x14ac:dyDescent="0.2">
      <c r="B12" s="6"/>
      <c r="C12" s="2" t="s">
        <v>555</v>
      </c>
      <c r="E12" s="7">
        <v>0</v>
      </c>
      <c r="F12" s="7">
        <v>0</v>
      </c>
      <c r="G12" s="7">
        <v>0</v>
      </c>
      <c r="H12" s="7">
        <v>0</v>
      </c>
      <c r="I12" s="7">
        <v>0</v>
      </c>
      <c r="J12" s="7">
        <v>0</v>
      </c>
      <c r="K12" s="7">
        <v>0</v>
      </c>
      <c r="L12" s="7">
        <v>0</v>
      </c>
      <c r="M12" s="7">
        <v>0</v>
      </c>
      <c r="N12" s="7">
        <v>0</v>
      </c>
      <c r="O12" s="7">
        <v>0</v>
      </c>
      <c r="P12" s="7">
        <v>0</v>
      </c>
      <c r="Q12" s="7">
        <f t="shared" si="1"/>
        <v>0</v>
      </c>
    </row>
    <row r="13" spans="1:17" x14ac:dyDescent="0.2">
      <c r="B13" s="6"/>
      <c r="C13" s="2" t="s">
        <v>240</v>
      </c>
      <c r="E13" s="7">
        <v>4.0599999999999996</v>
      </c>
      <c r="F13" s="7">
        <v>3.16</v>
      </c>
      <c r="G13" s="7">
        <v>2.9</v>
      </c>
      <c r="H13" s="7">
        <v>2.88</v>
      </c>
      <c r="I13" s="7">
        <v>3.22</v>
      </c>
      <c r="J13" s="7">
        <v>3.92</v>
      </c>
      <c r="K13" s="7">
        <v>6.78</v>
      </c>
      <c r="L13" s="7">
        <v>2.46</v>
      </c>
      <c r="M13" s="7">
        <v>2.65</v>
      </c>
      <c r="N13" s="7">
        <v>2.34</v>
      </c>
      <c r="O13" s="7">
        <v>2.16</v>
      </c>
      <c r="P13" s="7">
        <v>1.49</v>
      </c>
      <c r="Q13" s="7">
        <f t="shared" si="1"/>
        <v>38.020000000000003</v>
      </c>
    </row>
    <row r="14" spans="1:17" x14ac:dyDescent="0.2">
      <c r="B14" s="6"/>
      <c r="C14" s="2" t="s">
        <v>241</v>
      </c>
      <c r="E14" s="7">
        <v>0.7</v>
      </c>
      <c r="F14" s="7">
        <v>0.95</v>
      </c>
      <c r="G14" s="7">
        <v>1.22</v>
      </c>
      <c r="H14" s="7">
        <v>0.86</v>
      </c>
      <c r="I14" s="7">
        <v>0.73</v>
      </c>
      <c r="J14" s="7">
        <v>0.82</v>
      </c>
      <c r="K14" s="7">
        <v>1.33</v>
      </c>
      <c r="L14" s="7">
        <v>0.84</v>
      </c>
      <c r="M14" s="7">
        <v>1.35</v>
      </c>
      <c r="N14" s="7">
        <v>1.26</v>
      </c>
      <c r="O14" s="7">
        <v>1.29</v>
      </c>
      <c r="P14" s="7">
        <v>1.64</v>
      </c>
      <c r="Q14" s="7">
        <f t="shared" si="1"/>
        <v>12.990000000000002</v>
      </c>
    </row>
    <row r="15" spans="1:17" x14ac:dyDescent="0.2">
      <c r="B15" s="6"/>
      <c r="C15" s="2" t="s">
        <v>242</v>
      </c>
      <c r="E15" s="7">
        <v>1.87</v>
      </c>
      <c r="F15" s="7">
        <v>2.1800000000000002</v>
      </c>
      <c r="G15" s="7">
        <v>13.05</v>
      </c>
      <c r="H15" s="7">
        <v>1.19</v>
      </c>
      <c r="I15" s="7">
        <v>1.66</v>
      </c>
      <c r="J15" s="7">
        <v>1.71</v>
      </c>
      <c r="K15" s="7">
        <v>1.79</v>
      </c>
      <c r="L15" s="7">
        <v>1.3</v>
      </c>
      <c r="M15" s="7">
        <v>1.52</v>
      </c>
      <c r="N15" s="7">
        <v>1.56</v>
      </c>
      <c r="O15" s="7">
        <v>1.1499999999999999</v>
      </c>
      <c r="P15" s="7">
        <v>1.67</v>
      </c>
      <c r="Q15" s="7">
        <f t="shared" si="1"/>
        <v>30.65</v>
      </c>
    </row>
    <row r="16" spans="1:17" x14ac:dyDescent="0.2">
      <c r="B16" s="6"/>
      <c r="C16" s="2" t="s">
        <v>243</v>
      </c>
      <c r="E16" s="7">
        <v>2.86</v>
      </c>
      <c r="F16" s="7">
        <v>4.32</v>
      </c>
      <c r="G16" s="7">
        <v>23.6</v>
      </c>
      <c r="H16" s="7">
        <v>3.13</v>
      </c>
      <c r="I16" s="7">
        <v>146.54</v>
      </c>
      <c r="J16" s="7">
        <v>7.55</v>
      </c>
      <c r="K16" s="7">
        <v>5.59</v>
      </c>
      <c r="L16" s="7">
        <v>35.200000000000003</v>
      </c>
      <c r="M16" s="7">
        <v>23.61</v>
      </c>
      <c r="N16" s="7">
        <v>188.94</v>
      </c>
      <c r="O16" s="7">
        <v>9.7799999999999994</v>
      </c>
      <c r="P16" s="7">
        <v>3.36</v>
      </c>
      <c r="Q16" s="7">
        <f t="shared" si="1"/>
        <v>454.48</v>
      </c>
    </row>
    <row r="17" spans="2:17" x14ac:dyDescent="0.2">
      <c r="B17" s="6"/>
      <c r="C17" s="2" t="s">
        <v>444</v>
      </c>
      <c r="E17" s="7">
        <v>0</v>
      </c>
      <c r="F17" s="7">
        <v>0</v>
      </c>
      <c r="G17" s="7">
        <v>0</v>
      </c>
      <c r="H17" s="7">
        <v>0</v>
      </c>
      <c r="I17" s="7">
        <v>0</v>
      </c>
      <c r="J17" s="7">
        <v>0</v>
      </c>
      <c r="K17" s="7">
        <v>0</v>
      </c>
      <c r="L17" s="7">
        <v>0</v>
      </c>
      <c r="M17" s="7">
        <v>0</v>
      </c>
      <c r="N17" s="7">
        <v>0</v>
      </c>
      <c r="O17" s="7">
        <v>0</v>
      </c>
      <c r="P17" s="7">
        <v>0</v>
      </c>
      <c r="Q17" s="7">
        <f t="shared" si="1"/>
        <v>0</v>
      </c>
    </row>
    <row r="18" spans="2:17" x14ac:dyDescent="0.2">
      <c r="B18" s="6"/>
      <c r="C18" s="2" t="s">
        <v>244</v>
      </c>
      <c r="E18" s="7">
        <v>0.11</v>
      </c>
      <c r="F18" s="7">
        <v>0.21</v>
      </c>
      <c r="G18" s="7">
        <v>2.41</v>
      </c>
      <c r="H18" s="7">
        <v>0.16</v>
      </c>
      <c r="I18" s="7">
        <v>0.36</v>
      </c>
      <c r="J18" s="7">
        <v>0.28000000000000003</v>
      </c>
      <c r="K18" s="7">
        <v>0.19</v>
      </c>
      <c r="L18" s="7">
        <v>7.0000000000000007E-2</v>
      </c>
      <c r="M18" s="7">
        <v>0.09</v>
      </c>
      <c r="N18" s="7">
        <v>0.23</v>
      </c>
      <c r="O18" s="7">
        <v>0.1</v>
      </c>
      <c r="P18" s="7">
        <v>7.0000000000000007E-2</v>
      </c>
      <c r="Q18" s="7">
        <f t="shared" si="1"/>
        <v>4.28</v>
      </c>
    </row>
    <row r="19" spans="2:17" x14ac:dyDescent="0.2">
      <c r="B19" s="6"/>
      <c r="C19" s="2" t="s">
        <v>245</v>
      </c>
      <c r="E19" s="7">
        <v>0</v>
      </c>
      <c r="F19" s="7">
        <v>0</v>
      </c>
      <c r="G19" s="7">
        <v>0</v>
      </c>
      <c r="H19" s="7">
        <v>0</v>
      </c>
      <c r="I19" s="7">
        <v>0</v>
      </c>
      <c r="J19" s="7">
        <v>0</v>
      </c>
      <c r="K19" s="7">
        <v>0</v>
      </c>
      <c r="L19" s="7">
        <v>0.01</v>
      </c>
      <c r="M19" s="7">
        <v>0.02</v>
      </c>
      <c r="N19" s="7">
        <v>0.02</v>
      </c>
      <c r="O19" s="7">
        <v>0</v>
      </c>
      <c r="P19" s="7">
        <v>0</v>
      </c>
      <c r="Q19" s="7">
        <f t="shared" si="1"/>
        <v>0.05</v>
      </c>
    </row>
    <row r="20" spans="2:17" x14ac:dyDescent="0.2">
      <c r="B20" s="6"/>
      <c r="C20" s="2" t="s">
        <v>556</v>
      </c>
      <c r="E20" s="7">
        <v>0</v>
      </c>
      <c r="F20" s="7">
        <v>0</v>
      </c>
      <c r="G20" s="7">
        <v>0</v>
      </c>
      <c r="H20" s="7">
        <v>0</v>
      </c>
      <c r="I20" s="7">
        <v>0</v>
      </c>
      <c r="J20" s="7">
        <v>0</v>
      </c>
      <c r="K20" s="7">
        <v>0</v>
      </c>
      <c r="L20" s="7">
        <v>0</v>
      </c>
      <c r="M20" s="7">
        <v>0</v>
      </c>
      <c r="N20" s="7">
        <v>0</v>
      </c>
      <c r="O20" s="7">
        <v>0</v>
      </c>
      <c r="P20" s="7">
        <v>0</v>
      </c>
      <c r="Q20" s="7">
        <f t="shared" si="1"/>
        <v>0</v>
      </c>
    </row>
    <row r="21" spans="2:17" x14ac:dyDescent="0.2">
      <c r="B21" s="6"/>
      <c r="C21" s="2" t="s">
        <v>557</v>
      </c>
      <c r="E21" s="7">
        <v>0</v>
      </c>
      <c r="F21" s="7">
        <v>0</v>
      </c>
      <c r="G21" s="7">
        <v>0</v>
      </c>
      <c r="H21" s="7">
        <v>0</v>
      </c>
      <c r="I21" s="7">
        <v>0</v>
      </c>
      <c r="J21" s="7">
        <v>0</v>
      </c>
      <c r="K21" s="7">
        <v>0</v>
      </c>
      <c r="L21" s="7">
        <v>0</v>
      </c>
      <c r="M21" s="7">
        <v>0</v>
      </c>
      <c r="N21" s="7">
        <v>0</v>
      </c>
      <c r="O21" s="7">
        <v>0.02</v>
      </c>
      <c r="P21" s="7">
        <v>0</v>
      </c>
      <c r="Q21" s="7">
        <f t="shared" si="1"/>
        <v>0.02</v>
      </c>
    </row>
    <row r="22" spans="2:17" x14ac:dyDescent="0.2">
      <c r="B22" s="6"/>
      <c r="C22" s="2" t="s">
        <v>246</v>
      </c>
      <c r="E22" s="7">
        <v>8.6300000000000008</v>
      </c>
      <c r="F22" s="7">
        <v>3.43</v>
      </c>
      <c r="G22" s="7">
        <v>7.6</v>
      </c>
      <c r="H22" s="7">
        <v>1.88</v>
      </c>
      <c r="I22" s="7">
        <v>3.91</v>
      </c>
      <c r="J22" s="7">
        <v>3.8</v>
      </c>
      <c r="K22" s="7">
        <v>5.6</v>
      </c>
      <c r="L22" s="7">
        <v>4.83</v>
      </c>
      <c r="M22" s="7">
        <v>4.5</v>
      </c>
      <c r="N22" s="7">
        <v>6.06</v>
      </c>
      <c r="O22" s="7">
        <v>4.28</v>
      </c>
      <c r="P22" s="7">
        <v>6.66</v>
      </c>
      <c r="Q22" s="7">
        <f t="shared" si="1"/>
        <v>61.180000000000007</v>
      </c>
    </row>
    <row r="23" spans="2:17" x14ac:dyDescent="0.2">
      <c r="B23" s="6"/>
      <c r="C23" s="2" t="s">
        <v>247</v>
      </c>
      <c r="E23" s="7">
        <v>0.11</v>
      </c>
      <c r="F23" s="7">
        <v>0.01</v>
      </c>
      <c r="G23" s="7">
        <v>0.09</v>
      </c>
      <c r="H23" s="7">
        <v>0.01</v>
      </c>
      <c r="I23" s="7">
        <v>0.04</v>
      </c>
      <c r="J23" s="7">
        <v>0.16</v>
      </c>
      <c r="K23" s="7">
        <v>0.03</v>
      </c>
      <c r="L23" s="7">
        <v>0.01</v>
      </c>
      <c r="M23" s="7">
        <v>0.01</v>
      </c>
      <c r="N23" s="7">
        <v>0.01</v>
      </c>
      <c r="O23" s="7">
        <v>0.05</v>
      </c>
      <c r="P23" s="7">
        <v>0.01</v>
      </c>
      <c r="Q23" s="7">
        <f t="shared" si="1"/>
        <v>0.54000000000000015</v>
      </c>
    </row>
    <row r="24" spans="2:17" x14ac:dyDescent="0.2">
      <c r="B24" s="6"/>
      <c r="C24" s="2" t="s">
        <v>248</v>
      </c>
      <c r="E24" s="7">
        <v>0</v>
      </c>
      <c r="F24" s="7">
        <v>0</v>
      </c>
      <c r="G24" s="7">
        <v>0.08</v>
      </c>
      <c r="H24" s="7">
        <v>0.03</v>
      </c>
      <c r="I24" s="7">
        <v>0.22</v>
      </c>
      <c r="J24" s="7">
        <v>0.22</v>
      </c>
      <c r="K24" s="7">
        <v>0.01</v>
      </c>
      <c r="L24" s="7">
        <v>0.01</v>
      </c>
      <c r="M24" s="7">
        <v>0</v>
      </c>
      <c r="N24" s="7">
        <v>0</v>
      </c>
      <c r="O24" s="7">
        <v>0.01</v>
      </c>
      <c r="P24" s="7">
        <v>0</v>
      </c>
      <c r="Q24" s="7">
        <f t="shared" si="1"/>
        <v>0.58000000000000007</v>
      </c>
    </row>
    <row r="25" spans="2:17" x14ac:dyDescent="0.2">
      <c r="B25" s="6"/>
      <c r="C25" s="2" t="s">
        <v>558</v>
      </c>
      <c r="E25" s="7">
        <v>0</v>
      </c>
      <c r="F25" s="7">
        <v>0</v>
      </c>
      <c r="G25" s="7">
        <v>0.01</v>
      </c>
      <c r="H25" s="7">
        <v>0</v>
      </c>
      <c r="I25" s="7">
        <v>0</v>
      </c>
      <c r="J25" s="7">
        <v>0</v>
      </c>
      <c r="K25" s="7">
        <v>0</v>
      </c>
      <c r="L25" s="7">
        <v>0</v>
      </c>
      <c r="M25" s="7">
        <v>0</v>
      </c>
      <c r="N25" s="7">
        <v>0</v>
      </c>
      <c r="O25" s="7">
        <v>0</v>
      </c>
      <c r="P25" s="7">
        <v>0</v>
      </c>
      <c r="Q25" s="7">
        <f t="shared" si="1"/>
        <v>0.01</v>
      </c>
    </row>
    <row r="26" spans="2:17" x14ac:dyDescent="0.2">
      <c r="B26" s="6"/>
      <c r="C26" s="2" t="s">
        <v>249</v>
      </c>
      <c r="E26" s="7">
        <v>0.08</v>
      </c>
      <c r="F26" s="7">
        <v>0.05</v>
      </c>
      <c r="G26" s="7">
        <v>0.19</v>
      </c>
      <c r="H26" s="7">
        <v>0.09</v>
      </c>
      <c r="I26" s="7">
        <v>0.18</v>
      </c>
      <c r="J26" s="7">
        <v>0.26</v>
      </c>
      <c r="K26" s="7">
        <v>0.54</v>
      </c>
      <c r="L26" s="7">
        <v>0.56000000000000005</v>
      </c>
      <c r="M26" s="7">
        <v>0.42</v>
      </c>
      <c r="N26" s="7">
        <v>0.33</v>
      </c>
      <c r="O26" s="7">
        <v>0.31</v>
      </c>
      <c r="P26" s="7">
        <v>1.18</v>
      </c>
      <c r="Q26" s="7">
        <f t="shared" si="1"/>
        <v>4.1900000000000004</v>
      </c>
    </row>
    <row r="27" spans="2:17" x14ac:dyDescent="0.2">
      <c r="B27" s="6"/>
      <c r="C27" s="2" t="s">
        <v>250</v>
      </c>
      <c r="E27" s="7">
        <v>0.31</v>
      </c>
      <c r="F27" s="7">
        <v>0.46</v>
      </c>
      <c r="G27" s="7">
        <v>0.44</v>
      </c>
      <c r="H27" s="7">
        <v>0.05</v>
      </c>
      <c r="I27" s="7">
        <v>0.13</v>
      </c>
      <c r="J27" s="7">
        <v>0.18</v>
      </c>
      <c r="K27" s="7">
        <v>0.28000000000000003</v>
      </c>
      <c r="L27" s="7">
        <v>0.34</v>
      </c>
      <c r="M27" s="7">
        <v>0.46</v>
      </c>
      <c r="N27" s="7">
        <v>0.51</v>
      </c>
      <c r="O27" s="7">
        <v>0.57999999999999996</v>
      </c>
      <c r="P27" s="7">
        <v>0.68</v>
      </c>
      <c r="Q27" s="7">
        <f t="shared" si="1"/>
        <v>4.42</v>
      </c>
    </row>
    <row r="28" spans="2:17" x14ac:dyDescent="0.2">
      <c r="B28" s="6"/>
      <c r="C28" s="2" t="s">
        <v>251</v>
      </c>
      <c r="E28" s="7">
        <v>86.72</v>
      </c>
      <c r="F28" s="7">
        <v>614.29</v>
      </c>
      <c r="G28" s="7">
        <v>249.31</v>
      </c>
      <c r="H28" s="7">
        <v>91.86</v>
      </c>
      <c r="I28" s="7">
        <v>137.61000000000001</v>
      </c>
      <c r="J28" s="7">
        <v>165.23</v>
      </c>
      <c r="K28" s="7">
        <v>176.74</v>
      </c>
      <c r="L28" s="7">
        <v>160.59</v>
      </c>
      <c r="M28" s="7">
        <v>122.02</v>
      </c>
      <c r="N28" s="7">
        <v>1112.4100000000001</v>
      </c>
      <c r="O28" s="7">
        <v>134.1</v>
      </c>
      <c r="P28" s="7">
        <v>63.22</v>
      </c>
      <c r="Q28" s="7">
        <f t="shared" si="1"/>
        <v>3114.0999999999995</v>
      </c>
    </row>
    <row r="29" spans="2:17" x14ac:dyDescent="0.2">
      <c r="B29" s="6"/>
      <c r="C29" s="2" t="s">
        <v>252</v>
      </c>
      <c r="E29" s="7">
        <v>2.89</v>
      </c>
      <c r="F29" s="7">
        <v>2.5099999999999998</v>
      </c>
      <c r="G29" s="7">
        <v>0.68</v>
      </c>
      <c r="H29" s="7">
        <v>0.18</v>
      </c>
      <c r="I29" s="7">
        <v>0.24</v>
      </c>
      <c r="J29" s="7">
        <v>0.17</v>
      </c>
      <c r="K29" s="7">
        <v>0.25</v>
      </c>
      <c r="L29" s="7">
        <v>0.15</v>
      </c>
      <c r="M29" s="7">
        <v>0.18</v>
      </c>
      <c r="N29" s="7">
        <v>0.19</v>
      </c>
      <c r="O29" s="7">
        <v>0.43</v>
      </c>
      <c r="P29" s="7">
        <v>0.94</v>
      </c>
      <c r="Q29" s="7">
        <f t="shared" si="1"/>
        <v>8.81</v>
      </c>
    </row>
    <row r="30" spans="2:17" x14ac:dyDescent="0.2">
      <c r="B30" s="6"/>
      <c r="C30" s="2" t="s">
        <v>253</v>
      </c>
      <c r="E30" s="7">
        <v>3.79</v>
      </c>
      <c r="F30" s="7">
        <v>2.2000000000000002</v>
      </c>
      <c r="G30" s="7">
        <v>5.0199999999999996</v>
      </c>
      <c r="H30" s="7">
        <v>0.78</v>
      </c>
      <c r="I30" s="7">
        <v>3.29</v>
      </c>
      <c r="J30" s="7">
        <v>8.83</v>
      </c>
      <c r="K30" s="7">
        <v>13.18</v>
      </c>
      <c r="L30" s="7">
        <v>9.91</v>
      </c>
      <c r="M30" s="7">
        <v>10.11</v>
      </c>
      <c r="N30" s="7">
        <v>7.16</v>
      </c>
      <c r="O30" s="7">
        <v>15.3</v>
      </c>
      <c r="P30" s="7">
        <v>0.85</v>
      </c>
      <c r="Q30" s="7">
        <f t="shared" si="1"/>
        <v>80.419999999999987</v>
      </c>
    </row>
    <row r="31" spans="2:17" x14ac:dyDescent="0.2">
      <c r="B31" s="6"/>
      <c r="C31" s="2" t="s">
        <v>254</v>
      </c>
      <c r="E31" s="7">
        <v>0</v>
      </c>
      <c r="F31" s="7">
        <v>0</v>
      </c>
      <c r="G31" s="7">
        <v>0</v>
      </c>
      <c r="H31" s="7">
        <v>0</v>
      </c>
      <c r="I31" s="7">
        <v>0</v>
      </c>
      <c r="J31" s="7">
        <v>0</v>
      </c>
      <c r="K31" s="7">
        <v>0</v>
      </c>
      <c r="L31" s="7">
        <v>0</v>
      </c>
      <c r="M31" s="7">
        <v>0</v>
      </c>
      <c r="N31" s="7">
        <v>0</v>
      </c>
      <c r="O31" s="7">
        <v>0</v>
      </c>
      <c r="P31" s="7">
        <v>0</v>
      </c>
      <c r="Q31" s="7">
        <f t="shared" si="1"/>
        <v>0</v>
      </c>
    </row>
    <row r="32" spans="2:17" x14ac:dyDescent="0.2">
      <c r="B32" s="6"/>
      <c r="C32" s="2" t="s">
        <v>559</v>
      </c>
      <c r="E32" s="7">
        <v>0.13</v>
      </c>
      <c r="F32" s="7">
        <v>0.09</v>
      </c>
      <c r="G32" s="7">
        <v>7.0000000000000007E-2</v>
      </c>
      <c r="H32" s="7">
        <v>0</v>
      </c>
      <c r="I32" s="7">
        <v>0</v>
      </c>
      <c r="J32" s="7">
        <v>0</v>
      </c>
      <c r="K32" s="7">
        <v>0</v>
      </c>
      <c r="L32" s="7">
        <v>0</v>
      </c>
      <c r="M32" s="7">
        <v>0</v>
      </c>
      <c r="N32" s="7">
        <v>0</v>
      </c>
      <c r="O32" s="7">
        <v>0</v>
      </c>
      <c r="P32" s="7">
        <v>0</v>
      </c>
      <c r="Q32" s="7">
        <f t="shared" si="1"/>
        <v>0.29000000000000004</v>
      </c>
    </row>
    <row r="33" spans="1:17" x14ac:dyDescent="0.2">
      <c r="B33" s="6"/>
      <c r="C33" s="2" t="s">
        <v>255</v>
      </c>
      <c r="E33" s="7">
        <v>59.65</v>
      </c>
      <c r="F33" s="7">
        <v>56.62</v>
      </c>
      <c r="G33" s="7">
        <v>107.38</v>
      </c>
      <c r="H33" s="7">
        <v>110.97</v>
      </c>
      <c r="I33" s="7">
        <v>83.99</v>
      </c>
      <c r="J33" s="7">
        <v>103.97</v>
      </c>
      <c r="K33" s="7">
        <v>80.319999999999993</v>
      </c>
      <c r="L33" s="7">
        <v>90.04</v>
      </c>
      <c r="M33" s="7">
        <v>113.84</v>
      </c>
      <c r="N33" s="7">
        <v>79.53</v>
      </c>
      <c r="O33" s="7">
        <v>44.14</v>
      </c>
      <c r="P33" s="7">
        <v>54.38</v>
      </c>
      <c r="Q33" s="7">
        <f t="shared" si="1"/>
        <v>984.83</v>
      </c>
    </row>
    <row r="34" spans="1:17" x14ac:dyDescent="0.2">
      <c r="B34" s="6"/>
      <c r="C34" s="2" t="s">
        <v>257</v>
      </c>
      <c r="E34" s="7">
        <v>0.06</v>
      </c>
      <c r="F34" s="7">
        <v>0.05</v>
      </c>
      <c r="G34" s="7">
        <v>0.12</v>
      </c>
      <c r="H34" s="7">
        <v>0.04</v>
      </c>
      <c r="I34" s="7">
        <v>0.1</v>
      </c>
      <c r="J34" s="7">
        <v>0.08</v>
      </c>
      <c r="K34" s="7">
        <v>0.09</v>
      </c>
      <c r="L34" s="7">
        <v>0.09</v>
      </c>
      <c r="M34" s="7">
        <v>0.11</v>
      </c>
      <c r="N34" s="7">
        <v>7.0000000000000007E-2</v>
      </c>
      <c r="O34" s="7">
        <v>0.06</v>
      </c>
      <c r="P34" s="7">
        <v>0.05</v>
      </c>
      <c r="Q34" s="7">
        <f t="shared" si="1"/>
        <v>0.92000000000000015</v>
      </c>
    </row>
    <row r="35" spans="1:17" x14ac:dyDescent="0.2">
      <c r="B35" s="6"/>
      <c r="C35" s="2" t="s">
        <v>259</v>
      </c>
      <c r="E35" s="7">
        <v>2.94</v>
      </c>
      <c r="F35" s="7">
        <v>1.95</v>
      </c>
      <c r="G35" s="7">
        <v>5.78</v>
      </c>
      <c r="H35" s="7">
        <v>2.7</v>
      </c>
      <c r="I35" s="7">
        <v>4.57</v>
      </c>
      <c r="J35" s="7">
        <v>4.18</v>
      </c>
      <c r="K35" s="7">
        <v>3.77</v>
      </c>
      <c r="L35" s="7">
        <v>2.84</v>
      </c>
      <c r="M35" s="7">
        <v>3.51</v>
      </c>
      <c r="N35" s="7">
        <v>3.76</v>
      </c>
      <c r="O35" s="7">
        <v>3.49</v>
      </c>
      <c r="P35" s="7">
        <v>3.17</v>
      </c>
      <c r="Q35" s="7">
        <f t="shared" si="1"/>
        <v>42.660000000000004</v>
      </c>
    </row>
    <row r="36" spans="1:17" x14ac:dyDescent="0.2">
      <c r="B36" s="6"/>
      <c r="C36" s="2" t="s">
        <v>6</v>
      </c>
      <c r="E36" s="7"/>
      <c r="F36" s="7"/>
      <c r="G36" s="7"/>
      <c r="H36" s="7"/>
      <c r="I36" s="7"/>
      <c r="J36" s="7"/>
      <c r="K36" s="7"/>
      <c r="L36" s="7"/>
      <c r="M36" s="7"/>
      <c r="N36" s="7"/>
      <c r="O36" s="7"/>
      <c r="P36" s="7"/>
      <c r="Q36" s="7"/>
    </row>
    <row r="37" spans="1:17" s="4" customFormat="1" ht="15" x14ac:dyDescent="0.25">
      <c r="A37" s="3" t="s">
        <v>46</v>
      </c>
      <c r="B37" s="8"/>
      <c r="E37" s="5">
        <f t="shared" ref="E37:P37" si="2">SUM(E38:E42)</f>
        <v>12.470000000000002</v>
      </c>
      <c r="F37" s="5">
        <f t="shared" si="2"/>
        <v>16.61</v>
      </c>
      <c r="G37" s="5">
        <f t="shared" si="2"/>
        <v>15.38</v>
      </c>
      <c r="H37" s="5">
        <f t="shared" si="2"/>
        <v>0.45</v>
      </c>
      <c r="I37" s="5">
        <f t="shared" si="2"/>
        <v>18.920000000000002</v>
      </c>
      <c r="J37" s="5">
        <f t="shared" si="2"/>
        <v>13.309999999999999</v>
      </c>
      <c r="K37" s="5">
        <f t="shared" si="2"/>
        <v>20.25</v>
      </c>
      <c r="L37" s="5">
        <f t="shared" si="2"/>
        <v>19.93</v>
      </c>
      <c r="M37" s="5">
        <f t="shared" si="2"/>
        <v>20.29</v>
      </c>
      <c r="N37" s="5">
        <f t="shared" si="2"/>
        <v>14.93</v>
      </c>
      <c r="O37" s="5">
        <f t="shared" si="2"/>
        <v>14.46</v>
      </c>
      <c r="P37" s="5">
        <f t="shared" si="2"/>
        <v>11</v>
      </c>
      <c r="Q37" s="5">
        <f t="shared" ref="Q37:Q42" si="3">SUM(E37:P37)</f>
        <v>178</v>
      </c>
    </row>
    <row r="38" spans="1:17" x14ac:dyDescent="0.2">
      <c r="B38" s="9" t="s">
        <v>560</v>
      </c>
      <c r="C38" s="2" t="s">
        <v>260</v>
      </c>
      <c r="E38" s="7">
        <v>0.09</v>
      </c>
      <c r="F38" s="7">
        <v>0.04</v>
      </c>
      <c r="G38" s="7">
        <v>0</v>
      </c>
      <c r="H38" s="7">
        <v>0</v>
      </c>
      <c r="I38" s="7">
        <v>0</v>
      </c>
      <c r="J38" s="7">
        <v>0</v>
      </c>
      <c r="K38" s="7">
        <v>0</v>
      </c>
      <c r="L38" s="7">
        <v>0</v>
      </c>
      <c r="M38" s="7">
        <v>0</v>
      </c>
      <c r="N38" s="7">
        <v>0</v>
      </c>
      <c r="O38" s="7">
        <v>0</v>
      </c>
      <c r="P38" s="7">
        <v>0</v>
      </c>
      <c r="Q38" s="7">
        <f t="shared" si="3"/>
        <v>0.13</v>
      </c>
    </row>
    <row r="39" spans="1:17" x14ac:dyDescent="0.2">
      <c r="B39" s="6"/>
      <c r="C39" s="2" t="s">
        <v>261</v>
      </c>
      <c r="E39" s="7">
        <v>0.12</v>
      </c>
      <c r="F39" s="7">
        <v>0</v>
      </c>
      <c r="G39" s="7">
        <v>0.05</v>
      </c>
      <c r="H39" s="7">
        <v>0.09</v>
      </c>
      <c r="I39" s="7">
        <v>0.6</v>
      </c>
      <c r="J39" s="7">
        <v>0</v>
      </c>
      <c r="K39" s="7">
        <v>0.01</v>
      </c>
      <c r="L39" s="7">
        <v>0.14000000000000001</v>
      </c>
      <c r="M39" s="7">
        <v>0</v>
      </c>
      <c r="N39" s="7">
        <v>0.72</v>
      </c>
      <c r="O39" s="7">
        <v>0.14000000000000001</v>
      </c>
      <c r="P39" s="7">
        <v>0</v>
      </c>
      <c r="Q39" s="7">
        <f t="shared" si="3"/>
        <v>1.87</v>
      </c>
    </row>
    <row r="40" spans="1:17" x14ac:dyDescent="0.2">
      <c r="B40" s="6"/>
      <c r="C40" s="2" t="s">
        <v>263</v>
      </c>
      <c r="E40" s="7">
        <v>12.21</v>
      </c>
      <c r="F40" s="7">
        <v>16.559999999999999</v>
      </c>
      <c r="G40" s="7">
        <v>12.24</v>
      </c>
      <c r="H40" s="7">
        <v>0.31</v>
      </c>
      <c r="I40" s="7">
        <v>18.18</v>
      </c>
      <c r="J40" s="7">
        <v>13.28</v>
      </c>
      <c r="K40" s="7">
        <v>19.93</v>
      </c>
      <c r="L40" s="7">
        <v>19.77</v>
      </c>
      <c r="M40" s="7">
        <v>20.25</v>
      </c>
      <c r="N40" s="7">
        <v>14.18</v>
      </c>
      <c r="O40" s="7">
        <v>14.17</v>
      </c>
      <c r="P40" s="7">
        <v>11</v>
      </c>
      <c r="Q40" s="7">
        <f t="shared" si="3"/>
        <v>172.08</v>
      </c>
    </row>
    <row r="41" spans="1:17" x14ac:dyDescent="0.2">
      <c r="B41" s="6"/>
      <c r="C41" s="2" t="s">
        <v>265</v>
      </c>
      <c r="E41" s="7">
        <v>0.05</v>
      </c>
      <c r="F41" s="7">
        <v>0.01</v>
      </c>
      <c r="G41" s="7">
        <v>0.16</v>
      </c>
      <c r="H41" s="7">
        <v>0.05</v>
      </c>
      <c r="I41" s="7">
        <v>0.14000000000000001</v>
      </c>
      <c r="J41" s="7">
        <v>0.03</v>
      </c>
      <c r="K41" s="7">
        <v>0.31</v>
      </c>
      <c r="L41" s="7">
        <v>0.02</v>
      </c>
      <c r="M41" s="7">
        <v>0.04</v>
      </c>
      <c r="N41" s="7">
        <v>0.03</v>
      </c>
      <c r="O41" s="7">
        <v>0.15</v>
      </c>
      <c r="P41" s="7">
        <v>0</v>
      </c>
      <c r="Q41" s="7">
        <f t="shared" si="3"/>
        <v>0.9900000000000001</v>
      </c>
    </row>
    <row r="42" spans="1:17" x14ac:dyDescent="0.2">
      <c r="B42" s="6"/>
      <c r="C42" s="2" t="s">
        <v>266</v>
      </c>
      <c r="E42" s="7">
        <v>0</v>
      </c>
      <c r="F42" s="7">
        <v>0</v>
      </c>
      <c r="G42" s="7">
        <v>2.93</v>
      </c>
      <c r="H42" s="7">
        <v>0</v>
      </c>
      <c r="I42" s="7">
        <v>0</v>
      </c>
      <c r="J42" s="7">
        <v>0</v>
      </c>
      <c r="K42" s="7">
        <v>0</v>
      </c>
      <c r="L42" s="7">
        <v>0</v>
      </c>
      <c r="M42" s="7">
        <v>0</v>
      </c>
      <c r="N42" s="7">
        <v>0</v>
      </c>
      <c r="O42" s="7">
        <v>0</v>
      </c>
      <c r="P42" s="7">
        <v>0</v>
      </c>
      <c r="Q42" s="7">
        <f t="shared" si="3"/>
        <v>2.93</v>
      </c>
    </row>
    <row r="43" spans="1:17" x14ac:dyDescent="0.2">
      <c r="B43" s="6"/>
      <c r="E43" s="7"/>
      <c r="F43" s="7"/>
      <c r="G43" s="7"/>
      <c r="H43" s="7"/>
      <c r="I43" s="7"/>
      <c r="J43" s="7"/>
      <c r="K43" s="7"/>
      <c r="L43" s="7"/>
      <c r="M43" s="7"/>
      <c r="N43" s="7"/>
      <c r="O43" s="7"/>
      <c r="P43" s="7"/>
      <c r="Q43" s="7"/>
    </row>
    <row r="44" spans="1:17" s="4" customFormat="1" ht="15" x14ac:dyDescent="0.25">
      <c r="A44" s="3" t="s">
        <v>54</v>
      </c>
      <c r="E44" s="5">
        <f t="shared" ref="E44:Q44" si="4">SUM(E45:E60)</f>
        <v>46.46</v>
      </c>
      <c r="F44" s="5">
        <f t="shared" si="4"/>
        <v>19.830000000000002</v>
      </c>
      <c r="G44" s="5">
        <f t="shared" si="4"/>
        <v>36.119999999999983</v>
      </c>
      <c r="H44" s="5">
        <f t="shared" si="4"/>
        <v>11.440000000000001</v>
      </c>
      <c r="I44" s="5">
        <f t="shared" si="4"/>
        <v>13.740000000000002</v>
      </c>
      <c r="J44" s="5">
        <f t="shared" si="4"/>
        <v>14.959999999999999</v>
      </c>
      <c r="K44" s="5">
        <f t="shared" si="4"/>
        <v>20.11</v>
      </c>
      <c r="L44" s="5">
        <f t="shared" si="4"/>
        <v>13.929999999999998</v>
      </c>
      <c r="M44" s="5">
        <f t="shared" si="4"/>
        <v>16.13</v>
      </c>
      <c r="N44" s="5">
        <f t="shared" si="4"/>
        <v>16.72</v>
      </c>
      <c r="O44" s="5">
        <f t="shared" si="4"/>
        <v>19.040000000000006</v>
      </c>
      <c r="P44" s="5">
        <f t="shared" si="4"/>
        <v>17.410000000000004</v>
      </c>
      <c r="Q44" s="5">
        <f t="shared" si="4"/>
        <v>245.89000000000004</v>
      </c>
    </row>
    <row r="45" spans="1:17" x14ac:dyDescent="0.2">
      <c r="C45" s="2" t="s">
        <v>267</v>
      </c>
      <c r="E45" s="7">
        <v>5.6</v>
      </c>
      <c r="F45" s="7">
        <v>10.09</v>
      </c>
      <c r="G45" s="7">
        <v>11.26</v>
      </c>
      <c r="H45" s="7">
        <v>1.6</v>
      </c>
      <c r="I45" s="7">
        <v>1.95</v>
      </c>
      <c r="J45" s="7">
        <v>2.1</v>
      </c>
      <c r="K45" s="7">
        <v>5.16</v>
      </c>
      <c r="L45" s="7">
        <v>1.22</v>
      </c>
      <c r="M45" s="7">
        <v>1.94</v>
      </c>
      <c r="N45" s="7">
        <v>1.72</v>
      </c>
      <c r="O45" s="7">
        <v>5.17</v>
      </c>
      <c r="P45" s="7">
        <v>1.58</v>
      </c>
      <c r="Q45" s="7">
        <f t="shared" ref="Q45:Q58" si="5">SUM(E45:P45)</f>
        <v>49.39</v>
      </c>
    </row>
    <row r="46" spans="1:17" x14ac:dyDescent="0.2">
      <c r="C46" s="2" t="s">
        <v>446</v>
      </c>
      <c r="E46" s="7">
        <v>0.01</v>
      </c>
      <c r="F46" s="7">
        <v>0</v>
      </c>
      <c r="G46" s="7">
        <v>0</v>
      </c>
      <c r="H46" s="7">
        <v>0</v>
      </c>
      <c r="I46" s="7">
        <v>0</v>
      </c>
      <c r="J46" s="7">
        <v>0</v>
      </c>
      <c r="K46" s="7">
        <v>0</v>
      </c>
      <c r="L46" s="7">
        <v>0</v>
      </c>
      <c r="M46" s="7">
        <v>0</v>
      </c>
      <c r="N46" s="7">
        <v>0</v>
      </c>
      <c r="O46" s="7">
        <v>0</v>
      </c>
      <c r="P46" s="7">
        <v>0</v>
      </c>
      <c r="Q46" s="7">
        <f t="shared" si="5"/>
        <v>0.01</v>
      </c>
    </row>
    <row r="47" spans="1:17" x14ac:dyDescent="0.2">
      <c r="B47" s="6"/>
      <c r="C47" s="2" t="s">
        <v>268</v>
      </c>
      <c r="E47" s="7">
        <v>0.01</v>
      </c>
      <c r="F47" s="7">
        <v>0</v>
      </c>
      <c r="G47" s="7">
        <v>0.02</v>
      </c>
      <c r="H47" s="7">
        <v>0</v>
      </c>
      <c r="I47" s="7">
        <v>0.01</v>
      </c>
      <c r="J47" s="7">
        <v>0</v>
      </c>
      <c r="K47" s="7">
        <v>0</v>
      </c>
      <c r="L47" s="7">
        <v>0</v>
      </c>
      <c r="M47" s="7">
        <v>0</v>
      </c>
      <c r="N47" s="7">
        <v>0.01</v>
      </c>
      <c r="O47" s="7">
        <v>0</v>
      </c>
      <c r="P47" s="7">
        <v>0</v>
      </c>
      <c r="Q47" s="7">
        <f t="shared" si="5"/>
        <v>0.05</v>
      </c>
    </row>
    <row r="48" spans="1:17" x14ac:dyDescent="0.2">
      <c r="B48" s="6"/>
      <c r="C48" s="2" t="s">
        <v>269</v>
      </c>
      <c r="E48" s="7">
        <v>10.11</v>
      </c>
      <c r="F48" s="7">
        <v>5.0199999999999996</v>
      </c>
      <c r="G48" s="7">
        <v>20.34</v>
      </c>
      <c r="H48" s="7">
        <v>6.84</v>
      </c>
      <c r="I48" s="7">
        <v>7.29</v>
      </c>
      <c r="J48" s="7">
        <v>7.93</v>
      </c>
      <c r="K48" s="7">
        <v>10.6</v>
      </c>
      <c r="L48" s="7">
        <v>8.7899999999999991</v>
      </c>
      <c r="M48" s="7">
        <v>10.48</v>
      </c>
      <c r="N48" s="7">
        <v>10.77</v>
      </c>
      <c r="O48" s="7">
        <v>10.8</v>
      </c>
      <c r="P48" s="7">
        <v>10.09</v>
      </c>
      <c r="Q48" s="7">
        <f t="shared" si="5"/>
        <v>119.05999999999999</v>
      </c>
    </row>
    <row r="49" spans="1:17" x14ac:dyDescent="0.2">
      <c r="B49" s="6"/>
      <c r="C49" s="2" t="s">
        <v>270</v>
      </c>
      <c r="E49" s="7">
        <v>3.88</v>
      </c>
      <c r="F49" s="7">
        <v>3.94</v>
      </c>
      <c r="G49" s="7">
        <v>2.82</v>
      </c>
      <c r="H49" s="7">
        <v>1.89</v>
      </c>
      <c r="I49" s="7">
        <v>3.62</v>
      </c>
      <c r="J49" s="7">
        <v>3.9</v>
      </c>
      <c r="K49" s="7">
        <v>3.33</v>
      </c>
      <c r="L49" s="7">
        <v>2.61</v>
      </c>
      <c r="M49" s="7">
        <v>2.46</v>
      </c>
      <c r="N49" s="7">
        <v>3.1</v>
      </c>
      <c r="O49" s="7">
        <v>1.93</v>
      </c>
      <c r="P49" s="7">
        <v>4.49</v>
      </c>
      <c r="Q49" s="7">
        <f t="shared" si="5"/>
        <v>37.970000000000006</v>
      </c>
    </row>
    <row r="50" spans="1:17" x14ac:dyDescent="0.2">
      <c r="B50" s="6"/>
      <c r="C50" s="2" t="s">
        <v>271</v>
      </c>
      <c r="E50" s="7">
        <v>26.03</v>
      </c>
      <c r="F50" s="7">
        <v>0.15</v>
      </c>
      <c r="G50" s="7">
        <v>0.47</v>
      </c>
      <c r="H50" s="7">
        <v>0.14000000000000001</v>
      </c>
      <c r="I50" s="7">
        <v>0.25</v>
      </c>
      <c r="J50" s="7">
        <v>0.26</v>
      </c>
      <c r="K50" s="7">
        <v>0.24</v>
      </c>
      <c r="L50" s="7">
        <v>0.42</v>
      </c>
      <c r="M50" s="7">
        <v>0.38</v>
      </c>
      <c r="N50" s="7">
        <v>0.42</v>
      </c>
      <c r="O50" s="7">
        <v>0.39</v>
      </c>
      <c r="P50" s="7">
        <v>0.32</v>
      </c>
      <c r="Q50" s="7">
        <f t="shared" si="5"/>
        <v>29.470000000000002</v>
      </c>
    </row>
    <row r="51" spans="1:17" x14ac:dyDescent="0.2">
      <c r="B51" s="6"/>
      <c r="C51" s="2" t="s">
        <v>561</v>
      </c>
      <c r="E51" s="7">
        <v>0.01</v>
      </c>
      <c r="F51" s="7">
        <v>0</v>
      </c>
      <c r="G51" s="7">
        <v>0.16</v>
      </c>
      <c r="H51" s="7">
        <v>0.02</v>
      </c>
      <c r="I51" s="7">
        <v>0</v>
      </c>
      <c r="J51" s="7">
        <v>0.1</v>
      </c>
      <c r="K51" s="7">
        <v>0.01</v>
      </c>
      <c r="L51" s="7">
        <v>0</v>
      </c>
      <c r="M51" s="7">
        <v>0.02</v>
      </c>
      <c r="N51" s="7">
        <v>0.01</v>
      </c>
      <c r="O51" s="7">
        <v>0</v>
      </c>
      <c r="P51" s="7">
        <v>0.04</v>
      </c>
      <c r="Q51" s="7">
        <f t="shared" si="5"/>
        <v>0.37000000000000005</v>
      </c>
    </row>
    <row r="52" spans="1:17" x14ac:dyDescent="0.2">
      <c r="B52" s="6"/>
      <c r="C52" s="2" t="s">
        <v>272</v>
      </c>
      <c r="E52" s="7">
        <v>7.0000000000000007E-2</v>
      </c>
      <c r="F52" s="7">
        <v>0.03</v>
      </c>
      <c r="G52" s="7">
        <v>0.19</v>
      </c>
      <c r="H52" s="7">
        <v>0.05</v>
      </c>
      <c r="I52" s="7">
        <v>0.06</v>
      </c>
      <c r="J52" s="7">
        <v>0.08</v>
      </c>
      <c r="K52" s="7">
        <v>0.13</v>
      </c>
      <c r="L52" s="7">
        <v>0.09</v>
      </c>
      <c r="M52" s="7">
        <v>0.13</v>
      </c>
      <c r="N52" s="7">
        <v>7.0000000000000007E-2</v>
      </c>
      <c r="O52" s="7">
        <v>7.0000000000000007E-2</v>
      </c>
      <c r="P52" s="7">
        <v>7.0000000000000007E-2</v>
      </c>
      <c r="Q52" s="7">
        <f t="shared" si="5"/>
        <v>1.0400000000000003</v>
      </c>
    </row>
    <row r="53" spans="1:17" x14ac:dyDescent="0.2">
      <c r="B53" s="6"/>
      <c r="C53" s="2" t="s">
        <v>273</v>
      </c>
      <c r="E53" s="7">
        <v>0</v>
      </c>
      <c r="F53" s="7">
        <v>0</v>
      </c>
      <c r="G53" s="7">
        <v>0.02</v>
      </c>
      <c r="H53" s="7">
        <v>0</v>
      </c>
      <c r="I53" s="7">
        <v>0</v>
      </c>
      <c r="J53" s="7">
        <v>0</v>
      </c>
      <c r="K53" s="7">
        <v>0</v>
      </c>
      <c r="L53" s="7">
        <v>0</v>
      </c>
      <c r="M53" s="7">
        <v>0</v>
      </c>
      <c r="N53" s="7">
        <v>0</v>
      </c>
      <c r="O53" s="7">
        <v>0</v>
      </c>
      <c r="P53" s="7">
        <v>0</v>
      </c>
      <c r="Q53" s="7">
        <f t="shared" si="5"/>
        <v>0.02</v>
      </c>
    </row>
    <row r="54" spans="1:17" x14ac:dyDescent="0.2">
      <c r="B54" s="6"/>
      <c r="C54" s="2" t="s">
        <v>274</v>
      </c>
      <c r="E54" s="7">
        <v>0.13</v>
      </c>
      <c r="F54" s="7">
        <v>0.06</v>
      </c>
      <c r="G54" s="7">
        <v>0.01</v>
      </c>
      <c r="H54" s="7">
        <v>0.16</v>
      </c>
      <c r="I54" s="7">
        <v>0.13</v>
      </c>
      <c r="J54" s="7">
        <v>0.09</v>
      </c>
      <c r="K54" s="7">
        <v>7.0000000000000007E-2</v>
      </c>
      <c r="L54" s="7">
        <v>0.03</v>
      </c>
      <c r="M54" s="7">
        <v>0.06</v>
      </c>
      <c r="N54" s="7">
        <v>0.16</v>
      </c>
      <c r="O54" s="7">
        <v>0.02</v>
      </c>
      <c r="P54" s="7">
        <v>7.0000000000000007E-2</v>
      </c>
      <c r="Q54" s="7">
        <f t="shared" si="5"/>
        <v>0.99</v>
      </c>
    </row>
    <row r="55" spans="1:17" x14ac:dyDescent="0.2">
      <c r="B55" s="6"/>
      <c r="C55" s="2" t="s">
        <v>275</v>
      </c>
      <c r="E55" s="7">
        <v>7.0000000000000007E-2</v>
      </c>
      <c r="F55" s="7">
        <v>0.18</v>
      </c>
      <c r="G55" s="7">
        <v>0.11</v>
      </c>
      <c r="H55" s="7">
        <v>0.16</v>
      </c>
      <c r="I55" s="7">
        <v>0.17</v>
      </c>
      <c r="J55" s="7">
        <v>0.17</v>
      </c>
      <c r="K55" s="7">
        <v>0.1</v>
      </c>
      <c r="L55" s="7">
        <v>0.11</v>
      </c>
      <c r="M55" s="7">
        <v>0.18</v>
      </c>
      <c r="N55" s="7">
        <v>0.08</v>
      </c>
      <c r="O55" s="7">
        <v>0.16</v>
      </c>
      <c r="P55" s="7">
        <v>0.1</v>
      </c>
      <c r="Q55" s="7">
        <f t="shared" si="5"/>
        <v>1.59</v>
      </c>
    </row>
    <row r="56" spans="1:17" x14ac:dyDescent="0.2">
      <c r="B56" s="6"/>
      <c r="C56" s="2" t="s">
        <v>562</v>
      </c>
      <c r="E56" s="7">
        <v>0.01</v>
      </c>
      <c r="F56" s="7">
        <v>0.01</v>
      </c>
      <c r="G56" s="7">
        <v>0.01</v>
      </c>
      <c r="H56" s="7">
        <v>0</v>
      </c>
      <c r="I56" s="7">
        <v>0</v>
      </c>
      <c r="J56" s="7">
        <v>0</v>
      </c>
      <c r="K56" s="7">
        <v>0</v>
      </c>
      <c r="L56" s="7">
        <v>0</v>
      </c>
      <c r="M56" s="7">
        <v>0</v>
      </c>
      <c r="N56" s="7">
        <v>0</v>
      </c>
      <c r="O56" s="7">
        <v>0.03</v>
      </c>
      <c r="P56" s="7">
        <v>0</v>
      </c>
      <c r="Q56" s="7">
        <f t="shared" si="5"/>
        <v>0.06</v>
      </c>
    </row>
    <row r="57" spans="1:17" x14ac:dyDescent="0.2">
      <c r="B57" s="6"/>
      <c r="C57" s="2" t="s">
        <v>278</v>
      </c>
      <c r="E57" s="7">
        <v>0.02</v>
      </c>
      <c r="F57" s="7">
        <v>0</v>
      </c>
      <c r="G57" s="7">
        <v>0.11</v>
      </c>
      <c r="H57" s="7">
        <v>0</v>
      </c>
      <c r="I57" s="7">
        <v>0</v>
      </c>
      <c r="J57" s="7">
        <v>0</v>
      </c>
      <c r="K57" s="7">
        <v>0</v>
      </c>
      <c r="L57" s="7">
        <v>0</v>
      </c>
      <c r="M57" s="7">
        <v>0</v>
      </c>
      <c r="N57" s="7">
        <v>0</v>
      </c>
      <c r="O57" s="7">
        <v>7.0000000000000007E-2</v>
      </c>
      <c r="P57" s="7">
        <v>0.01</v>
      </c>
      <c r="Q57" s="7">
        <f t="shared" si="5"/>
        <v>0.21000000000000002</v>
      </c>
    </row>
    <row r="58" spans="1:17" x14ac:dyDescent="0.2">
      <c r="B58" s="6"/>
      <c r="C58" s="2" t="s">
        <v>563</v>
      </c>
      <c r="E58" s="7">
        <v>0.35</v>
      </c>
      <c r="F58" s="7">
        <v>0.34</v>
      </c>
      <c r="G58" s="7">
        <v>0.37</v>
      </c>
      <c r="H58" s="7">
        <v>0.57999999999999996</v>
      </c>
      <c r="I58" s="7">
        <v>0.26</v>
      </c>
      <c r="J58" s="7">
        <v>0.26</v>
      </c>
      <c r="K58" s="7">
        <v>0.47</v>
      </c>
      <c r="L58" s="7">
        <v>0.36</v>
      </c>
      <c r="M58" s="7">
        <v>0.48</v>
      </c>
      <c r="N58" s="7">
        <v>0.38</v>
      </c>
      <c r="O58" s="7">
        <v>0.39</v>
      </c>
      <c r="P58" s="7">
        <v>0.59</v>
      </c>
      <c r="Q58" s="7">
        <f t="shared" si="5"/>
        <v>4.8299999999999992</v>
      </c>
    </row>
    <row r="59" spans="1:17" x14ac:dyDescent="0.2">
      <c r="B59" s="6"/>
      <c r="C59" s="2" t="s">
        <v>564</v>
      </c>
      <c r="E59" s="7" t="s">
        <v>6</v>
      </c>
      <c r="F59" s="7" t="s">
        <v>6</v>
      </c>
      <c r="G59" s="7" t="s">
        <v>6</v>
      </c>
      <c r="H59" s="7" t="s">
        <v>6</v>
      </c>
      <c r="I59" s="7" t="s">
        <v>6</v>
      </c>
      <c r="J59" s="7" t="s">
        <v>6</v>
      </c>
      <c r="K59" s="7" t="s">
        <v>6</v>
      </c>
      <c r="L59" s="7" t="s">
        <v>6</v>
      </c>
      <c r="M59" s="7" t="s">
        <v>6</v>
      </c>
      <c r="N59" s="7" t="s">
        <v>6</v>
      </c>
      <c r="O59" s="7" t="s">
        <v>6</v>
      </c>
      <c r="P59" s="7" t="s">
        <v>6</v>
      </c>
      <c r="Q59" s="7" t="s">
        <v>6</v>
      </c>
    </row>
    <row r="60" spans="1:17" x14ac:dyDescent="0.2">
      <c r="B60" s="6"/>
      <c r="C60" s="2" t="s">
        <v>280</v>
      </c>
      <c r="E60" s="7">
        <v>0.16</v>
      </c>
      <c r="F60" s="7">
        <v>0.01</v>
      </c>
      <c r="G60" s="7">
        <v>0.23</v>
      </c>
      <c r="H60" s="7">
        <v>0</v>
      </c>
      <c r="I60" s="7">
        <v>0</v>
      </c>
      <c r="J60" s="7">
        <v>7.0000000000000007E-2</v>
      </c>
      <c r="K60" s="7">
        <v>0</v>
      </c>
      <c r="L60" s="7">
        <v>0.3</v>
      </c>
      <c r="M60" s="7">
        <v>0</v>
      </c>
      <c r="N60" s="7">
        <v>0</v>
      </c>
      <c r="O60" s="7">
        <v>0.01</v>
      </c>
      <c r="P60" s="7">
        <v>0.05</v>
      </c>
      <c r="Q60" s="7">
        <f>SUM(E60:P60)</f>
        <v>0.83000000000000007</v>
      </c>
    </row>
    <row r="61" spans="1:17" x14ac:dyDescent="0.2">
      <c r="B61" s="6"/>
      <c r="E61" s="7"/>
      <c r="F61" s="7"/>
      <c r="G61" s="7"/>
      <c r="H61" s="7"/>
      <c r="I61" s="7"/>
      <c r="J61" s="7"/>
      <c r="K61" s="7"/>
      <c r="L61" s="7"/>
      <c r="M61" s="7"/>
      <c r="N61" s="7"/>
      <c r="O61" s="7"/>
      <c r="P61" s="7"/>
      <c r="Q61" s="7"/>
    </row>
    <row r="62" spans="1:17" s="4" customFormat="1" ht="15" x14ac:dyDescent="0.25">
      <c r="A62" s="3" t="s">
        <v>69</v>
      </c>
      <c r="E62" s="5">
        <f>SUM(E63:E64)</f>
        <v>0.01</v>
      </c>
      <c r="F62" s="5">
        <f>SUM(F63:F64)</f>
        <v>0.05</v>
      </c>
      <c r="G62" s="5">
        <f>SUM(G63:G64)</f>
        <v>0.04</v>
      </c>
      <c r="H62" s="5">
        <v>0</v>
      </c>
      <c r="I62" s="5">
        <v>0</v>
      </c>
      <c r="J62" s="5">
        <v>0</v>
      </c>
      <c r="K62" s="5">
        <f t="shared" ref="K62:P62" si="6">SUM(K63:K64)</f>
        <v>0.01</v>
      </c>
      <c r="L62" s="5">
        <f t="shared" si="6"/>
        <v>0.01</v>
      </c>
      <c r="M62" s="5">
        <f t="shared" si="6"/>
        <v>0.01</v>
      </c>
      <c r="N62" s="5">
        <f t="shared" si="6"/>
        <v>0.01</v>
      </c>
      <c r="O62" s="5">
        <f t="shared" si="6"/>
        <v>0.01</v>
      </c>
      <c r="P62" s="5">
        <f t="shared" si="6"/>
        <v>0</v>
      </c>
      <c r="Q62" s="5">
        <f>SUM(E62:P62)</f>
        <v>0.15000000000000002</v>
      </c>
    </row>
    <row r="63" spans="1:17" x14ac:dyDescent="0.2">
      <c r="C63" s="2" t="s">
        <v>281</v>
      </c>
      <c r="E63" s="7">
        <v>0.01</v>
      </c>
      <c r="F63" s="7">
        <v>0.05</v>
      </c>
      <c r="G63" s="7">
        <v>0.04</v>
      </c>
      <c r="H63" s="7">
        <v>0</v>
      </c>
      <c r="I63" s="7">
        <v>0</v>
      </c>
      <c r="J63" s="7">
        <v>0</v>
      </c>
      <c r="K63" s="7">
        <v>0.01</v>
      </c>
      <c r="L63" s="7">
        <v>0.01</v>
      </c>
      <c r="M63" s="7">
        <v>0.01</v>
      </c>
      <c r="N63" s="7">
        <v>0.01</v>
      </c>
      <c r="O63" s="7">
        <v>0.01</v>
      </c>
      <c r="P63" s="7">
        <v>0</v>
      </c>
      <c r="Q63" s="7">
        <f>SUM(E63:P63)</f>
        <v>0.15000000000000002</v>
      </c>
    </row>
    <row r="64" spans="1:17" x14ac:dyDescent="0.2">
      <c r="B64" s="11"/>
      <c r="C64" s="2" t="s">
        <v>565</v>
      </c>
      <c r="E64" s="7">
        <v>0</v>
      </c>
      <c r="F64" s="7">
        <v>0</v>
      </c>
      <c r="G64" s="7">
        <v>0</v>
      </c>
      <c r="H64" s="7">
        <v>0</v>
      </c>
      <c r="I64" s="7">
        <v>0</v>
      </c>
      <c r="J64" s="7">
        <v>0</v>
      </c>
      <c r="K64" s="7">
        <v>0</v>
      </c>
      <c r="L64" s="7">
        <v>0</v>
      </c>
      <c r="M64" s="7">
        <v>0</v>
      </c>
      <c r="N64" s="7">
        <v>0</v>
      </c>
      <c r="O64" s="7">
        <v>0</v>
      </c>
      <c r="P64" s="7">
        <v>0</v>
      </c>
      <c r="Q64" s="7">
        <f>SUM(E64:P64)</f>
        <v>0</v>
      </c>
    </row>
    <row r="65" spans="1:17" x14ac:dyDescent="0.2">
      <c r="B65" s="11"/>
      <c r="E65" s="7" t="s">
        <v>6</v>
      </c>
      <c r="F65" s="7" t="s">
        <v>6</v>
      </c>
      <c r="G65" s="7" t="s">
        <v>6</v>
      </c>
      <c r="H65" s="7" t="s">
        <v>6</v>
      </c>
      <c r="I65" s="7" t="s">
        <v>6</v>
      </c>
      <c r="J65" s="7" t="s">
        <v>6</v>
      </c>
      <c r="K65" s="7" t="s">
        <v>6</v>
      </c>
      <c r="L65" s="7" t="s">
        <v>6</v>
      </c>
      <c r="M65" s="7" t="s">
        <v>6</v>
      </c>
      <c r="N65" s="7" t="s">
        <v>6</v>
      </c>
      <c r="O65" s="7" t="s">
        <v>6</v>
      </c>
      <c r="P65" s="7" t="s">
        <v>6</v>
      </c>
      <c r="Q65" s="7"/>
    </row>
    <row r="66" spans="1:17" s="4" customFormat="1" ht="15" x14ac:dyDescent="0.25">
      <c r="A66" s="3" t="s">
        <v>71</v>
      </c>
      <c r="B66" s="12"/>
      <c r="E66" s="5">
        <f t="shared" ref="E66:P66" si="7">SUM(E67:E68)</f>
        <v>12.35</v>
      </c>
      <c r="F66" s="5">
        <f t="shared" si="7"/>
        <v>4.67</v>
      </c>
      <c r="G66" s="5">
        <f t="shared" si="7"/>
        <v>10.66</v>
      </c>
      <c r="H66" s="5">
        <f t="shared" si="7"/>
        <v>3.3499999999999996</v>
      </c>
      <c r="I66" s="5">
        <f t="shared" si="7"/>
        <v>4.5699999999999994</v>
      </c>
      <c r="J66" s="5">
        <f t="shared" si="7"/>
        <v>11.5</v>
      </c>
      <c r="K66" s="5">
        <f t="shared" si="7"/>
        <v>7.9799999999999995</v>
      </c>
      <c r="L66" s="5">
        <f t="shared" si="7"/>
        <v>9.08</v>
      </c>
      <c r="M66" s="5">
        <f t="shared" si="7"/>
        <v>7.71</v>
      </c>
      <c r="N66" s="5">
        <f t="shared" si="7"/>
        <v>6.17</v>
      </c>
      <c r="O66" s="5">
        <f t="shared" si="7"/>
        <v>7.14</v>
      </c>
      <c r="P66" s="5">
        <f t="shared" si="7"/>
        <v>2.61</v>
      </c>
      <c r="Q66" s="5">
        <f>SUM(E66:P66)</f>
        <v>87.789999999999992</v>
      </c>
    </row>
    <row r="67" spans="1:17" x14ac:dyDescent="0.2">
      <c r="B67" s="11"/>
      <c r="C67" s="2" t="s">
        <v>282</v>
      </c>
      <c r="E67" s="7">
        <v>12.32</v>
      </c>
      <c r="F67" s="7">
        <v>4.66</v>
      </c>
      <c r="G67" s="7">
        <v>10.59</v>
      </c>
      <c r="H67" s="7">
        <v>3.34</v>
      </c>
      <c r="I67" s="7">
        <v>4.5599999999999996</v>
      </c>
      <c r="J67" s="7">
        <v>11.49</v>
      </c>
      <c r="K67" s="7">
        <v>7.96</v>
      </c>
      <c r="L67" s="7">
        <v>9.08</v>
      </c>
      <c r="M67" s="7">
        <v>7.68</v>
      </c>
      <c r="N67" s="7">
        <v>6.13</v>
      </c>
      <c r="O67" s="7">
        <v>7.12</v>
      </c>
      <c r="P67" s="7">
        <v>2.59</v>
      </c>
      <c r="Q67" s="7">
        <f>SUM(E67:P67)</f>
        <v>87.52000000000001</v>
      </c>
    </row>
    <row r="68" spans="1:17" x14ac:dyDescent="0.2">
      <c r="B68" s="11"/>
      <c r="C68" s="2" t="s">
        <v>285</v>
      </c>
      <c r="E68" s="7">
        <v>0.03</v>
      </c>
      <c r="F68" s="7">
        <v>0.01</v>
      </c>
      <c r="G68" s="7">
        <v>7.0000000000000007E-2</v>
      </c>
      <c r="H68" s="7">
        <v>0.01</v>
      </c>
      <c r="I68" s="7">
        <v>0.01</v>
      </c>
      <c r="J68" s="7">
        <v>0.01</v>
      </c>
      <c r="K68" s="7">
        <v>0.02</v>
      </c>
      <c r="L68" s="7">
        <v>0</v>
      </c>
      <c r="M68" s="7">
        <v>0.03</v>
      </c>
      <c r="N68" s="7">
        <v>0.04</v>
      </c>
      <c r="O68" s="7">
        <v>0.02</v>
      </c>
      <c r="P68" s="7">
        <v>0.02</v>
      </c>
      <c r="Q68" s="7">
        <f>SUM(E68:P68)</f>
        <v>0.27</v>
      </c>
    </row>
    <row r="69" spans="1:17" x14ac:dyDescent="0.2">
      <c r="B69" s="11"/>
      <c r="E69" s="7" t="s">
        <v>6</v>
      </c>
      <c r="F69" s="7" t="s">
        <v>6</v>
      </c>
      <c r="G69" s="7" t="s">
        <v>6</v>
      </c>
      <c r="H69" s="7" t="s">
        <v>6</v>
      </c>
      <c r="I69" s="7" t="s">
        <v>6</v>
      </c>
      <c r="J69" s="7" t="s">
        <v>6</v>
      </c>
      <c r="K69" s="7" t="s">
        <v>6</v>
      </c>
      <c r="L69" s="7" t="s">
        <v>6</v>
      </c>
      <c r="M69" s="7" t="s">
        <v>6</v>
      </c>
      <c r="N69" s="7" t="s">
        <v>6</v>
      </c>
      <c r="O69" s="7" t="s">
        <v>6</v>
      </c>
      <c r="P69" s="7" t="s">
        <v>6</v>
      </c>
      <c r="Q69" s="7"/>
    </row>
    <row r="70" spans="1:17" s="4" customFormat="1" ht="15" x14ac:dyDescent="0.25">
      <c r="A70" s="3" t="s">
        <v>75</v>
      </c>
      <c r="B70" s="12"/>
      <c r="E70" s="5">
        <f t="shared" ref="E70:N70" si="8">SUM(E71:E75)</f>
        <v>0.49</v>
      </c>
      <c r="F70" s="5">
        <f t="shared" si="8"/>
        <v>0.01</v>
      </c>
      <c r="G70" s="5">
        <f t="shared" si="8"/>
        <v>292.27999999999997</v>
      </c>
      <c r="H70" s="5">
        <f t="shared" si="8"/>
        <v>0.96</v>
      </c>
      <c r="I70" s="5">
        <f t="shared" si="8"/>
        <v>0.28999999999999998</v>
      </c>
      <c r="J70" s="5">
        <f t="shared" si="8"/>
        <v>0</v>
      </c>
      <c r="K70" s="5">
        <f t="shared" si="8"/>
        <v>0.01</v>
      </c>
      <c r="L70" s="5">
        <f t="shared" si="8"/>
        <v>0</v>
      </c>
      <c r="M70" s="5">
        <f t="shared" si="8"/>
        <v>0</v>
      </c>
      <c r="N70" s="5">
        <f t="shared" si="8"/>
        <v>0.01</v>
      </c>
      <c r="O70" s="5">
        <v>0</v>
      </c>
      <c r="P70" s="5">
        <f>SUM(P71:P75)</f>
        <v>0.01</v>
      </c>
      <c r="Q70" s="5">
        <f t="shared" ref="Q70:Q75" si="9">SUM(E70:P70)</f>
        <v>294.05999999999995</v>
      </c>
    </row>
    <row r="71" spans="1:17" x14ac:dyDescent="0.2">
      <c r="B71" s="11"/>
      <c r="C71" s="2" t="s">
        <v>287</v>
      </c>
      <c r="E71" s="7">
        <v>0.49</v>
      </c>
      <c r="F71" s="7">
        <v>0.01</v>
      </c>
      <c r="G71" s="7">
        <v>292.27999999999997</v>
      </c>
      <c r="H71" s="7">
        <v>0.96</v>
      </c>
      <c r="I71" s="7">
        <v>0.28999999999999998</v>
      </c>
      <c r="J71" s="7">
        <v>0</v>
      </c>
      <c r="K71" s="7">
        <v>0.01</v>
      </c>
      <c r="L71" s="7">
        <v>0</v>
      </c>
      <c r="M71" s="7">
        <v>0</v>
      </c>
      <c r="N71" s="7">
        <v>0.01</v>
      </c>
      <c r="O71" s="7">
        <v>0</v>
      </c>
      <c r="P71" s="7">
        <v>0.01</v>
      </c>
      <c r="Q71" s="7">
        <f t="shared" si="9"/>
        <v>294.05999999999995</v>
      </c>
    </row>
    <row r="72" spans="1:17" x14ac:dyDescent="0.2">
      <c r="B72" s="11"/>
      <c r="C72" s="2" t="s">
        <v>312</v>
      </c>
      <c r="E72" s="7">
        <v>0</v>
      </c>
      <c r="F72" s="7">
        <v>0</v>
      </c>
      <c r="G72" s="7">
        <v>0</v>
      </c>
      <c r="H72" s="7">
        <v>0</v>
      </c>
      <c r="I72" s="7">
        <v>0</v>
      </c>
      <c r="J72" s="7">
        <v>0</v>
      </c>
      <c r="K72" s="7">
        <v>0</v>
      </c>
      <c r="L72" s="7">
        <v>0</v>
      </c>
      <c r="M72" s="7">
        <v>0</v>
      </c>
      <c r="N72" s="7">
        <v>0</v>
      </c>
      <c r="O72" s="7">
        <v>0</v>
      </c>
      <c r="P72" s="7">
        <v>0</v>
      </c>
      <c r="Q72" s="7">
        <f t="shared" si="9"/>
        <v>0</v>
      </c>
    </row>
    <row r="73" spans="1:17" x14ac:dyDescent="0.2">
      <c r="B73" s="11"/>
      <c r="C73" s="2" t="s">
        <v>566</v>
      </c>
      <c r="E73" s="7">
        <v>0</v>
      </c>
      <c r="F73" s="7">
        <v>0</v>
      </c>
      <c r="G73" s="7">
        <v>0</v>
      </c>
      <c r="H73" s="7">
        <v>0</v>
      </c>
      <c r="I73" s="7">
        <v>0</v>
      </c>
      <c r="J73" s="7">
        <v>0</v>
      </c>
      <c r="K73" s="7">
        <v>0</v>
      </c>
      <c r="L73" s="7">
        <v>0</v>
      </c>
      <c r="M73" s="7">
        <v>0</v>
      </c>
      <c r="N73" s="7">
        <v>0</v>
      </c>
      <c r="O73" s="7">
        <v>0</v>
      </c>
      <c r="P73" s="7">
        <v>0</v>
      </c>
      <c r="Q73" s="7">
        <f t="shared" si="9"/>
        <v>0</v>
      </c>
    </row>
    <row r="74" spans="1:17" x14ac:dyDescent="0.2">
      <c r="B74" s="11"/>
      <c r="C74" s="2" t="s">
        <v>567</v>
      </c>
      <c r="E74" s="7">
        <v>0</v>
      </c>
      <c r="F74" s="7">
        <v>0</v>
      </c>
      <c r="G74" s="7">
        <v>0</v>
      </c>
      <c r="H74" s="7">
        <v>0</v>
      </c>
      <c r="I74" s="7">
        <v>0</v>
      </c>
      <c r="J74" s="7">
        <v>0</v>
      </c>
      <c r="K74" s="7">
        <v>0</v>
      </c>
      <c r="L74" s="7">
        <v>0</v>
      </c>
      <c r="M74" s="7">
        <v>0</v>
      </c>
      <c r="N74" s="7">
        <v>0</v>
      </c>
      <c r="O74" s="7">
        <v>0</v>
      </c>
      <c r="P74" s="7">
        <v>0</v>
      </c>
      <c r="Q74" s="7">
        <f t="shared" si="9"/>
        <v>0</v>
      </c>
    </row>
    <row r="75" spans="1:17" x14ac:dyDescent="0.2">
      <c r="B75" s="11"/>
      <c r="C75" s="2" t="s">
        <v>568</v>
      </c>
      <c r="E75" s="7">
        <v>0</v>
      </c>
      <c r="F75" s="7">
        <v>0</v>
      </c>
      <c r="G75" s="7">
        <v>0</v>
      </c>
      <c r="H75" s="7">
        <v>0</v>
      </c>
      <c r="I75" s="7">
        <v>0</v>
      </c>
      <c r="J75" s="7">
        <v>0</v>
      </c>
      <c r="K75" s="7">
        <v>0</v>
      </c>
      <c r="L75" s="7">
        <v>0</v>
      </c>
      <c r="M75" s="7">
        <v>0</v>
      </c>
      <c r="N75" s="7">
        <v>0</v>
      </c>
      <c r="O75" s="7">
        <v>0</v>
      </c>
      <c r="P75" s="7">
        <v>0</v>
      </c>
      <c r="Q75" s="7">
        <f t="shared" si="9"/>
        <v>0</v>
      </c>
    </row>
    <row r="76" spans="1:17" x14ac:dyDescent="0.2">
      <c r="B76" s="11"/>
      <c r="E76" s="7"/>
      <c r="F76" s="7"/>
      <c r="G76" s="7"/>
      <c r="H76" s="7"/>
      <c r="I76" s="7"/>
      <c r="J76" s="7"/>
      <c r="K76" s="7"/>
      <c r="L76" s="7"/>
      <c r="M76" s="7"/>
      <c r="N76" s="7"/>
      <c r="O76" s="7"/>
      <c r="P76" s="7"/>
      <c r="Q76" s="7"/>
    </row>
    <row r="77" spans="1:17" s="4" customFormat="1" ht="15" x14ac:dyDescent="0.25">
      <c r="A77" s="3" t="s">
        <v>569</v>
      </c>
      <c r="B77" s="12"/>
      <c r="E77" s="5">
        <f t="shared" ref="E77:P77" si="10">SUM(E78:E85)</f>
        <v>127.61</v>
      </c>
      <c r="F77" s="5">
        <f t="shared" si="10"/>
        <v>26.599999999999994</v>
      </c>
      <c r="G77" s="5">
        <f t="shared" si="10"/>
        <v>34.840000000000003</v>
      </c>
      <c r="H77" s="5">
        <f t="shared" si="10"/>
        <v>48.039999999999992</v>
      </c>
      <c r="I77" s="5">
        <f t="shared" si="10"/>
        <v>35.800000000000004</v>
      </c>
      <c r="J77" s="5">
        <f t="shared" si="10"/>
        <v>91.37</v>
      </c>
      <c r="K77" s="5">
        <f t="shared" si="10"/>
        <v>38.919999999999995</v>
      </c>
      <c r="L77" s="5">
        <f t="shared" si="10"/>
        <v>47.289999999999992</v>
      </c>
      <c r="M77" s="5">
        <f t="shared" si="10"/>
        <v>51.330000000000005</v>
      </c>
      <c r="N77" s="5">
        <f t="shared" si="10"/>
        <v>93.080000000000013</v>
      </c>
      <c r="O77" s="5">
        <f t="shared" si="10"/>
        <v>36.43</v>
      </c>
      <c r="P77" s="5">
        <f t="shared" si="10"/>
        <v>57.660000000000004</v>
      </c>
      <c r="Q77" s="5">
        <f>SUM(E77:P77)</f>
        <v>688.96999999999991</v>
      </c>
    </row>
    <row r="78" spans="1:17" x14ac:dyDescent="0.2">
      <c r="B78" s="11"/>
      <c r="C78" s="2" t="s">
        <v>288</v>
      </c>
      <c r="E78" s="7">
        <v>21.7</v>
      </c>
      <c r="F78" s="7">
        <v>10.11</v>
      </c>
      <c r="G78" s="7">
        <v>9.75</v>
      </c>
      <c r="H78" s="7">
        <v>14.19</v>
      </c>
      <c r="I78" s="7">
        <v>22.58</v>
      </c>
      <c r="J78" s="7">
        <v>16.48</v>
      </c>
      <c r="K78" s="7">
        <v>13.42</v>
      </c>
      <c r="L78" s="7">
        <v>13.35</v>
      </c>
      <c r="M78" s="7">
        <v>19.8</v>
      </c>
      <c r="N78" s="7">
        <v>26.61</v>
      </c>
      <c r="O78" s="7">
        <v>20.350000000000001</v>
      </c>
      <c r="P78" s="7">
        <v>16.86</v>
      </c>
      <c r="Q78" s="7">
        <f t="shared" ref="Q78:Q85" si="11">SUM(E78:P78)</f>
        <v>205.2</v>
      </c>
    </row>
    <row r="79" spans="1:17" x14ac:dyDescent="0.2">
      <c r="B79" s="11"/>
      <c r="C79" s="2" t="s">
        <v>289</v>
      </c>
      <c r="E79" s="7">
        <v>0.11</v>
      </c>
      <c r="F79" s="7">
        <v>0.01</v>
      </c>
      <c r="G79" s="7">
        <v>0.06</v>
      </c>
      <c r="H79" s="7">
        <v>0</v>
      </c>
      <c r="I79" s="7">
        <v>0.01</v>
      </c>
      <c r="J79" s="7">
        <v>0</v>
      </c>
      <c r="K79" s="7">
        <v>0.02</v>
      </c>
      <c r="L79" s="7">
        <v>0.22</v>
      </c>
      <c r="M79" s="7">
        <v>7.0000000000000007E-2</v>
      </c>
      <c r="N79" s="7">
        <v>0.05</v>
      </c>
      <c r="O79" s="7">
        <v>0.02</v>
      </c>
      <c r="P79" s="7">
        <v>0.01</v>
      </c>
      <c r="Q79" s="7">
        <f t="shared" si="11"/>
        <v>0.58000000000000007</v>
      </c>
    </row>
    <row r="80" spans="1:17" x14ac:dyDescent="0.2">
      <c r="B80" s="11"/>
      <c r="C80" s="2" t="s">
        <v>290</v>
      </c>
      <c r="E80" s="7">
        <v>0.28000000000000003</v>
      </c>
      <c r="F80" s="7">
        <v>0.1</v>
      </c>
      <c r="G80" s="7">
        <v>0.03</v>
      </c>
      <c r="H80" s="7">
        <v>0.15</v>
      </c>
      <c r="I80" s="7">
        <v>0.03</v>
      </c>
      <c r="J80" s="7">
        <v>0.16</v>
      </c>
      <c r="K80" s="7">
        <v>0.1</v>
      </c>
      <c r="L80" s="7">
        <v>0.24</v>
      </c>
      <c r="M80" s="7">
        <v>0.08</v>
      </c>
      <c r="N80" s="7">
        <v>0.15</v>
      </c>
      <c r="O80" s="7">
        <v>0.08</v>
      </c>
      <c r="P80" s="7">
        <v>3.08</v>
      </c>
      <c r="Q80" s="7">
        <f t="shared" si="11"/>
        <v>4.4800000000000004</v>
      </c>
    </row>
    <row r="81" spans="1:17" x14ac:dyDescent="0.2">
      <c r="B81" s="11"/>
      <c r="C81" s="2" t="s">
        <v>291</v>
      </c>
      <c r="E81" s="7">
        <v>6.61</v>
      </c>
      <c r="F81" s="7">
        <v>12</v>
      </c>
      <c r="G81" s="7">
        <v>12.77</v>
      </c>
      <c r="H81" s="7">
        <v>6.05</v>
      </c>
      <c r="I81" s="7">
        <v>5.7</v>
      </c>
      <c r="J81" s="7">
        <v>7.25</v>
      </c>
      <c r="K81" s="7">
        <v>6.3</v>
      </c>
      <c r="L81" s="7">
        <v>6.14</v>
      </c>
      <c r="M81" s="7">
        <v>5.18</v>
      </c>
      <c r="N81" s="7">
        <v>5.4</v>
      </c>
      <c r="O81" s="7">
        <v>4.2699999999999996</v>
      </c>
      <c r="P81" s="7">
        <v>5.26</v>
      </c>
      <c r="Q81" s="7">
        <f t="shared" si="11"/>
        <v>82.93</v>
      </c>
    </row>
    <row r="82" spans="1:17" x14ac:dyDescent="0.2">
      <c r="B82" s="11"/>
      <c r="C82" s="2" t="s">
        <v>292</v>
      </c>
      <c r="E82" s="7">
        <v>0.75</v>
      </c>
      <c r="F82" s="7">
        <v>0.65</v>
      </c>
      <c r="G82" s="7">
        <v>2.0699999999999998</v>
      </c>
      <c r="H82" s="7">
        <v>0.77</v>
      </c>
      <c r="I82" s="7">
        <v>0.43</v>
      </c>
      <c r="J82" s="7">
        <v>58.16</v>
      </c>
      <c r="K82" s="7">
        <v>0.99</v>
      </c>
      <c r="L82" s="7">
        <v>0.75</v>
      </c>
      <c r="M82" s="7">
        <v>0.56000000000000005</v>
      </c>
      <c r="N82" s="7">
        <v>0.42</v>
      </c>
      <c r="O82" s="7">
        <v>0.13</v>
      </c>
      <c r="P82" s="7">
        <v>0.32</v>
      </c>
      <c r="Q82" s="7">
        <f t="shared" si="11"/>
        <v>65.999999999999986</v>
      </c>
    </row>
    <row r="83" spans="1:17" x14ac:dyDescent="0.2">
      <c r="B83" s="11"/>
      <c r="C83" s="2" t="s">
        <v>293</v>
      </c>
      <c r="E83" s="7">
        <v>97.23</v>
      </c>
      <c r="F83" s="7">
        <v>3.36</v>
      </c>
      <c r="G83" s="7">
        <v>9.41</v>
      </c>
      <c r="H83" s="7">
        <v>26.22</v>
      </c>
      <c r="I83" s="7">
        <v>6.06</v>
      </c>
      <c r="J83" s="7">
        <v>8.4499999999999993</v>
      </c>
      <c r="K83" s="7">
        <v>16.66</v>
      </c>
      <c r="L83" s="7">
        <v>25.54</v>
      </c>
      <c r="M83" s="7">
        <v>23.98</v>
      </c>
      <c r="N83" s="7">
        <v>58.52</v>
      </c>
      <c r="O83" s="7">
        <v>11.02</v>
      </c>
      <c r="P83" s="7">
        <v>31.46</v>
      </c>
      <c r="Q83" s="7">
        <f t="shared" si="11"/>
        <v>317.90999999999991</v>
      </c>
    </row>
    <row r="84" spans="1:17" x14ac:dyDescent="0.2">
      <c r="B84" s="11"/>
      <c r="C84" s="2" t="s">
        <v>294</v>
      </c>
      <c r="E84" s="7">
        <v>0.85</v>
      </c>
      <c r="F84" s="7">
        <v>0.28999999999999998</v>
      </c>
      <c r="G84" s="7">
        <v>0.71</v>
      </c>
      <c r="H84" s="7">
        <v>0.33</v>
      </c>
      <c r="I84" s="7">
        <v>0.64</v>
      </c>
      <c r="J84" s="7">
        <v>0.53</v>
      </c>
      <c r="K84" s="7">
        <v>0.74</v>
      </c>
      <c r="L84" s="7">
        <v>0.86</v>
      </c>
      <c r="M84" s="7">
        <v>0.78</v>
      </c>
      <c r="N84" s="7">
        <v>1.39</v>
      </c>
      <c r="O84" s="7">
        <v>0.52</v>
      </c>
      <c r="P84" s="7">
        <v>0.43</v>
      </c>
      <c r="Q84" s="7">
        <f t="shared" si="11"/>
        <v>8.07</v>
      </c>
    </row>
    <row r="85" spans="1:17" x14ac:dyDescent="0.2">
      <c r="B85" s="11"/>
      <c r="C85" s="2" t="s">
        <v>296</v>
      </c>
      <c r="E85" s="7">
        <v>0.08</v>
      </c>
      <c r="F85" s="7">
        <v>0.08</v>
      </c>
      <c r="G85" s="7">
        <v>0.04</v>
      </c>
      <c r="H85" s="7">
        <v>0.33</v>
      </c>
      <c r="I85" s="7">
        <v>0.35</v>
      </c>
      <c r="J85" s="7">
        <v>0.34</v>
      </c>
      <c r="K85" s="7">
        <v>0.69</v>
      </c>
      <c r="L85" s="7">
        <v>0.19</v>
      </c>
      <c r="M85" s="7">
        <v>0.88</v>
      </c>
      <c r="N85" s="7">
        <v>0.54</v>
      </c>
      <c r="O85" s="7">
        <v>0.04</v>
      </c>
      <c r="P85" s="7">
        <v>0.24</v>
      </c>
      <c r="Q85" s="7">
        <f t="shared" si="11"/>
        <v>3.8</v>
      </c>
    </row>
    <row r="86" spans="1:17" x14ac:dyDescent="0.2">
      <c r="B86" s="11"/>
      <c r="E86" s="7"/>
      <c r="F86" s="7"/>
      <c r="G86" s="7"/>
      <c r="H86" s="7"/>
      <c r="I86" s="7"/>
      <c r="J86" s="7"/>
      <c r="K86" s="7"/>
      <c r="L86" s="7"/>
      <c r="M86" s="7"/>
      <c r="N86" s="7"/>
      <c r="O86" s="7"/>
      <c r="P86" s="7"/>
      <c r="Q86" s="7"/>
    </row>
    <row r="87" spans="1:17" s="4" customFormat="1" ht="15" x14ac:dyDescent="0.25">
      <c r="A87" s="3" t="s">
        <v>88</v>
      </c>
      <c r="E87" s="5">
        <f t="shared" ref="E87:P87" si="12">SUM(E88:E91)</f>
        <v>120.37</v>
      </c>
      <c r="F87" s="5">
        <f t="shared" si="12"/>
        <v>52.67</v>
      </c>
      <c r="G87" s="5">
        <f t="shared" si="12"/>
        <v>96.49</v>
      </c>
      <c r="H87" s="5">
        <f t="shared" si="12"/>
        <v>73.27</v>
      </c>
      <c r="I87" s="5">
        <f t="shared" si="12"/>
        <v>58.660000000000004</v>
      </c>
      <c r="J87" s="5">
        <f t="shared" si="12"/>
        <v>136.69999999999999</v>
      </c>
      <c r="K87" s="5">
        <f t="shared" si="12"/>
        <v>140.44</v>
      </c>
      <c r="L87" s="5">
        <f t="shared" si="12"/>
        <v>91.05</v>
      </c>
      <c r="M87" s="5">
        <f t="shared" si="12"/>
        <v>71.87</v>
      </c>
      <c r="N87" s="5">
        <f t="shared" si="12"/>
        <v>98.220000000000013</v>
      </c>
      <c r="O87" s="5">
        <f t="shared" si="12"/>
        <v>119.83999999999999</v>
      </c>
      <c r="P87" s="5">
        <f t="shared" si="12"/>
        <v>138.14000000000001</v>
      </c>
      <c r="Q87" s="5">
        <f>SUM(E87:P87)</f>
        <v>1197.7200000000003</v>
      </c>
    </row>
    <row r="88" spans="1:17" x14ac:dyDescent="0.2">
      <c r="C88" s="2" t="s">
        <v>297</v>
      </c>
      <c r="E88" s="7">
        <v>6.32</v>
      </c>
      <c r="F88" s="7">
        <v>2.4300000000000002</v>
      </c>
      <c r="G88" s="7">
        <v>6.07</v>
      </c>
      <c r="H88" s="7">
        <v>7.01</v>
      </c>
      <c r="I88" s="7">
        <v>4.5599999999999996</v>
      </c>
      <c r="J88" s="7">
        <v>5.15</v>
      </c>
      <c r="K88" s="7">
        <v>6.02</v>
      </c>
      <c r="L88" s="7">
        <v>3.54</v>
      </c>
      <c r="M88" s="7">
        <v>4.74</v>
      </c>
      <c r="N88" s="7">
        <v>5.56</v>
      </c>
      <c r="O88" s="7">
        <v>4.26</v>
      </c>
      <c r="P88" s="7">
        <v>4.72</v>
      </c>
      <c r="Q88" s="7">
        <f>SUM(E88:P88)</f>
        <v>60.38</v>
      </c>
    </row>
    <row r="89" spans="1:17" x14ac:dyDescent="0.2">
      <c r="B89" s="11"/>
      <c r="C89" s="2" t="s">
        <v>299</v>
      </c>
      <c r="D89" s="2">
        <v>0.8</v>
      </c>
      <c r="E89" s="7">
        <v>0.62</v>
      </c>
      <c r="F89" s="7">
        <v>0.72</v>
      </c>
      <c r="G89" s="7">
        <v>1.05</v>
      </c>
      <c r="H89" s="7">
        <v>3.47</v>
      </c>
      <c r="I89" s="7">
        <v>5.87</v>
      </c>
      <c r="J89" s="7">
        <v>8.89</v>
      </c>
      <c r="K89" s="7">
        <v>10.27</v>
      </c>
      <c r="L89" s="7">
        <v>1.08</v>
      </c>
      <c r="M89" s="7">
        <v>1.24</v>
      </c>
      <c r="N89" s="7">
        <v>1.62</v>
      </c>
      <c r="O89" s="7">
        <v>1.07</v>
      </c>
      <c r="P89" s="7">
        <v>1.02</v>
      </c>
      <c r="Q89" s="7">
        <f>SUM(E89:P89)</f>
        <v>36.92</v>
      </c>
    </row>
    <row r="90" spans="1:17" x14ac:dyDescent="0.2">
      <c r="B90" s="11"/>
      <c r="C90" s="2" t="s">
        <v>300</v>
      </c>
      <c r="E90" s="7">
        <v>105.7</v>
      </c>
      <c r="F90" s="7">
        <v>45.82</v>
      </c>
      <c r="G90" s="7">
        <v>80.989999999999995</v>
      </c>
      <c r="H90" s="7">
        <v>61.37</v>
      </c>
      <c r="I90" s="7">
        <v>47.24</v>
      </c>
      <c r="J90" s="7">
        <v>121.4</v>
      </c>
      <c r="K90" s="7">
        <v>120.13</v>
      </c>
      <c r="L90" s="7">
        <v>84.83</v>
      </c>
      <c r="M90" s="7">
        <v>64.599999999999994</v>
      </c>
      <c r="N90" s="7">
        <v>88.9</v>
      </c>
      <c r="O90" s="7">
        <v>112.77</v>
      </c>
      <c r="P90" s="7">
        <v>130.03</v>
      </c>
      <c r="Q90" s="7">
        <f>SUM(E90:P90)</f>
        <v>1063.78</v>
      </c>
    </row>
    <row r="91" spans="1:17" x14ac:dyDescent="0.2">
      <c r="B91" s="11"/>
      <c r="C91" s="2" t="s">
        <v>298</v>
      </c>
      <c r="E91" s="7">
        <v>7.73</v>
      </c>
      <c r="F91" s="7">
        <v>3.7</v>
      </c>
      <c r="G91" s="7">
        <v>8.3800000000000008</v>
      </c>
      <c r="H91" s="7">
        <v>1.42</v>
      </c>
      <c r="I91" s="7">
        <v>0.99</v>
      </c>
      <c r="J91" s="7">
        <v>1.26</v>
      </c>
      <c r="K91" s="7">
        <v>4.0199999999999996</v>
      </c>
      <c r="L91" s="7">
        <v>1.6</v>
      </c>
      <c r="M91" s="7">
        <v>1.29</v>
      </c>
      <c r="N91" s="7">
        <v>2.14</v>
      </c>
      <c r="O91" s="7">
        <v>1.74</v>
      </c>
      <c r="P91" s="7">
        <v>2.37</v>
      </c>
      <c r="Q91" s="7">
        <f>SUM(E91:P91)</f>
        <v>36.64</v>
      </c>
    </row>
    <row r="92" spans="1:17" x14ac:dyDescent="0.2">
      <c r="B92" s="11"/>
      <c r="E92" s="7"/>
      <c r="F92" s="7"/>
      <c r="G92" s="7"/>
      <c r="H92" s="7"/>
      <c r="I92" s="7"/>
      <c r="J92" s="7"/>
      <c r="K92" s="7"/>
      <c r="L92" s="7"/>
      <c r="M92" s="7"/>
      <c r="N92" s="7"/>
      <c r="O92" s="7"/>
      <c r="P92" s="7"/>
      <c r="Q92" s="7"/>
    </row>
    <row r="93" spans="1:17" s="4" customFormat="1" ht="15" x14ac:dyDescent="0.25">
      <c r="A93" s="3" t="s">
        <v>92</v>
      </c>
      <c r="E93" s="5">
        <f>SUM(E94:E96)</f>
        <v>64.47</v>
      </c>
      <c r="F93" s="5">
        <f t="shared" ref="F93:Q93" si="13">SUM(F94:F96)</f>
        <v>50.550000000000004</v>
      </c>
      <c r="G93" s="5">
        <f t="shared" si="13"/>
        <v>108.32</v>
      </c>
      <c r="H93" s="5">
        <f t="shared" si="13"/>
        <v>56.25</v>
      </c>
      <c r="I93" s="5">
        <f t="shared" si="13"/>
        <v>65.679999999999993</v>
      </c>
      <c r="J93" s="5">
        <f t="shared" si="13"/>
        <v>90.910000000000011</v>
      </c>
      <c r="K93" s="5">
        <f t="shared" si="13"/>
        <v>87.679999999999993</v>
      </c>
      <c r="L93" s="5">
        <f t="shared" si="13"/>
        <v>72.510000000000005</v>
      </c>
      <c r="M93" s="5">
        <f t="shared" si="13"/>
        <v>88.03</v>
      </c>
      <c r="N93" s="5">
        <f t="shared" si="13"/>
        <v>139.57</v>
      </c>
      <c r="O93" s="5">
        <f t="shared" si="13"/>
        <v>82.789999999999992</v>
      </c>
      <c r="P93" s="5">
        <f t="shared" si="13"/>
        <v>70.39</v>
      </c>
      <c r="Q93" s="5">
        <f t="shared" si="13"/>
        <v>977.15000000000009</v>
      </c>
    </row>
    <row r="94" spans="1:17" x14ac:dyDescent="0.2">
      <c r="B94" s="11"/>
      <c r="C94" s="2" t="s">
        <v>301</v>
      </c>
      <c r="E94" s="7">
        <v>62.01</v>
      </c>
      <c r="F94" s="7">
        <v>49.02</v>
      </c>
      <c r="G94" s="7">
        <v>103.61</v>
      </c>
      <c r="H94" s="7">
        <v>53.5</v>
      </c>
      <c r="I94" s="7">
        <v>62.72</v>
      </c>
      <c r="J94" s="7">
        <v>87.98</v>
      </c>
      <c r="K94" s="7">
        <v>84.58</v>
      </c>
      <c r="L94" s="7">
        <v>69.78</v>
      </c>
      <c r="M94" s="7">
        <v>85.34</v>
      </c>
      <c r="N94" s="7">
        <v>136.72</v>
      </c>
      <c r="O94" s="7">
        <v>80.319999999999993</v>
      </c>
      <c r="P94" s="7">
        <v>68.41</v>
      </c>
      <c r="Q94" s="7">
        <f>SUM(E94:P94)</f>
        <v>943.99000000000012</v>
      </c>
    </row>
    <row r="95" spans="1:17" x14ac:dyDescent="0.2">
      <c r="B95" s="11"/>
      <c r="C95" s="2" t="s">
        <v>302</v>
      </c>
      <c r="E95" s="7">
        <v>2.4500000000000002</v>
      </c>
      <c r="F95" s="7">
        <v>1.53</v>
      </c>
      <c r="G95" s="7">
        <v>4.71</v>
      </c>
      <c r="H95" s="7">
        <v>2.75</v>
      </c>
      <c r="I95" s="7">
        <v>2.96</v>
      </c>
      <c r="J95" s="7">
        <v>2.93</v>
      </c>
      <c r="K95" s="7">
        <v>3.1</v>
      </c>
      <c r="L95" s="7">
        <v>2.73</v>
      </c>
      <c r="M95" s="7">
        <v>2.69</v>
      </c>
      <c r="N95" s="7">
        <v>2.85</v>
      </c>
      <c r="O95" s="7">
        <v>2.4700000000000002</v>
      </c>
      <c r="P95" s="7">
        <v>1.98</v>
      </c>
      <c r="Q95" s="7">
        <f>SUM(E95:P95)</f>
        <v>33.150000000000006</v>
      </c>
    </row>
    <row r="96" spans="1:17" x14ac:dyDescent="0.2">
      <c r="B96" s="11"/>
      <c r="C96" s="2" t="s">
        <v>447</v>
      </c>
      <c r="E96" s="7">
        <v>0.01</v>
      </c>
      <c r="F96" s="7">
        <v>0</v>
      </c>
      <c r="G96" s="7">
        <v>0</v>
      </c>
      <c r="H96" s="7">
        <v>0</v>
      </c>
      <c r="I96" s="7">
        <v>0</v>
      </c>
      <c r="J96" s="7">
        <v>0</v>
      </c>
      <c r="K96" s="7">
        <v>0</v>
      </c>
      <c r="L96" s="7">
        <v>0</v>
      </c>
      <c r="M96" s="7">
        <v>0</v>
      </c>
      <c r="N96" s="7">
        <v>0</v>
      </c>
      <c r="O96" s="7">
        <v>0</v>
      </c>
      <c r="P96" s="7">
        <v>0</v>
      </c>
      <c r="Q96" s="7">
        <f>SUM(E96:P96)</f>
        <v>0.01</v>
      </c>
    </row>
    <row r="97" spans="1:17" x14ac:dyDescent="0.2">
      <c r="B97" s="11"/>
      <c r="E97" s="7"/>
      <c r="F97" s="7"/>
      <c r="G97" s="7"/>
      <c r="H97" s="7"/>
      <c r="I97" s="7"/>
      <c r="J97" s="7"/>
      <c r="K97" s="7"/>
      <c r="L97" s="7"/>
      <c r="M97" s="7"/>
      <c r="N97" s="7"/>
      <c r="O97" s="7"/>
      <c r="P97" s="7"/>
      <c r="Q97" s="7"/>
    </row>
    <row r="98" spans="1:17" s="4" customFormat="1" ht="15" x14ac:dyDescent="0.25">
      <c r="A98" s="3" t="s">
        <v>96</v>
      </c>
      <c r="E98" s="5">
        <f t="shared" ref="E98:P98" si="14">SUM(E99:E105)</f>
        <v>8.1999999999999993</v>
      </c>
      <c r="F98" s="5">
        <f t="shared" si="14"/>
        <v>3.26</v>
      </c>
      <c r="G98" s="5">
        <f t="shared" si="14"/>
        <v>8.66</v>
      </c>
      <c r="H98" s="5">
        <f t="shared" si="14"/>
        <v>5.1100000000000003</v>
      </c>
      <c r="I98" s="5">
        <f t="shared" si="14"/>
        <v>5.21</v>
      </c>
      <c r="J98" s="5">
        <f t="shared" si="14"/>
        <v>5.25</v>
      </c>
      <c r="K98" s="5">
        <f t="shared" si="14"/>
        <v>11.24</v>
      </c>
      <c r="L98" s="5">
        <f t="shared" si="14"/>
        <v>8.2899999999999991</v>
      </c>
      <c r="M98" s="5">
        <f t="shared" si="14"/>
        <v>9.1100000000000012</v>
      </c>
      <c r="N98" s="5">
        <f t="shared" si="14"/>
        <v>8.3800000000000008</v>
      </c>
      <c r="O98" s="5">
        <f t="shared" si="14"/>
        <v>11.15</v>
      </c>
      <c r="P98" s="5">
        <f t="shared" si="14"/>
        <v>9.77</v>
      </c>
      <c r="Q98" s="5">
        <f t="shared" ref="Q98:Q105" si="15">SUM(E98:P98)</f>
        <v>93.63</v>
      </c>
    </row>
    <row r="99" spans="1:17" x14ac:dyDescent="0.2">
      <c r="C99" s="2" t="s">
        <v>304</v>
      </c>
      <c r="E99" s="7">
        <v>7.68</v>
      </c>
      <c r="F99" s="7">
        <v>3.23</v>
      </c>
      <c r="G99" s="7">
        <v>8.4600000000000009</v>
      </c>
      <c r="H99" s="7">
        <v>3.85</v>
      </c>
      <c r="I99" s="7">
        <v>4.38</v>
      </c>
      <c r="J99" s="7">
        <v>4.0199999999999996</v>
      </c>
      <c r="K99" s="7">
        <v>9.58</v>
      </c>
      <c r="L99" s="7">
        <v>7.26</v>
      </c>
      <c r="M99" s="7">
        <v>8.4</v>
      </c>
      <c r="N99" s="7">
        <v>7.63</v>
      </c>
      <c r="O99" s="7">
        <v>10.33</v>
      </c>
      <c r="P99" s="7">
        <v>9.02</v>
      </c>
      <c r="Q99" s="7">
        <f t="shared" si="15"/>
        <v>83.839999999999989</v>
      </c>
    </row>
    <row r="100" spans="1:17" x14ac:dyDescent="0.2">
      <c r="B100" s="11"/>
      <c r="C100" s="2" t="s">
        <v>305</v>
      </c>
      <c r="E100" s="7">
        <v>0.47</v>
      </c>
      <c r="F100" s="7">
        <v>0</v>
      </c>
      <c r="G100" s="7">
        <v>0.03</v>
      </c>
      <c r="H100" s="7">
        <v>1.1399999999999999</v>
      </c>
      <c r="I100" s="7">
        <v>0.55000000000000004</v>
      </c>
      <c r="J100" s="7">
        <v>0.45</v>
      </c>
      <c r="K100" s="7">
        <v>1.35</v>
      </c>
      <c r="L100" s="7">
        <v>0.77</v>
      </c>
      <c r="M100" s="7">
        <v>0.4</v>
      </c>
      <c r="N100" s="7">
        <v>0.43</v>
      </c>
      <c r="O100" s="7">
        <v>0.55000000000000004</v>
      </c>
      <c r="P100" s="7">
        <v>0.54</v>
      </c>
      <c r="Q100" s="7">
        <f t="shared" si="15"/>
        <v>6.68</v>
      </c>
    </row>
    <row r="101" spans="1:17" x14ac:dyDescent="0.2">
      <c r="B101" s="11"/>
      <c r="C101" s="2" t="s">
        <v>570</v>
      </c>
      <c r="E101" s="7">
        <v>0</v>
      </c>
      <c r="F101" s="7">
        <v>0</v>
      </c>
      <c r="G101" s="7">
        <v>0</v>
      </c>
      <c r="H101" s="7">
        <v>0</v>
      </c>
      <c r="I101" s="7">
        <v>0</v>
      </c>
      <c r="J101" s="7">
        <v>0</v>
      </c>
      <c r="K101" s="7">
        <v>0</v>
      </c>
      <c r="L101" s="7">
        <v>0</v>
      </c>
      <c r="M101" s="7">
        <v>0</v>
      </c>
      <c r="N101" s="7">
        <v>0</v>
      </c>
      <c r="O101" s="7">
        <v>0</v>
      </c>
      <c r="P101" s="7">
        <v>0</v>
      </c>
      <c r="Q101" s="7">
        <f t="shared" si="15"/>
        <v>0</v>
      </c>
    </row>
    <row r="102" spans="1:17" x14ac:dyDescent="0.2">
      <c r="B102" s="11"/>
      <c r="C102" s="2" t="s">
        <v>571</v>
      </c>
      <c r="E102" s="7">
        <v>0</v>
      </c>
      <c r="F102" s="7">
        <v>0</v>
      </c>
      <c r="G102" s="7">
        <v>0</v>
      </c>
      <c r="H102" s="7">
        <v>0</v>
      </c>
      <c r="I102" s="7">
        <v>0</v>
      </c>
      <c r="J102" s="7">
        <v>0</v>
      </c>
      <c r="K102" s="7">
        <v>0</v>
      </c>
      <c r="L102" s="7">
        <v>0</v>
      </c>
      <c r="M102" s="7">
        <v>0</v>
      </c>
      <c r="N102" s="7">
        <v>0</v>
      </c>
      <c r="O102" s="7">
        <v>0</v>
      </c>
      <c r="P102" s="7">
        <v>0</v>
      </c>
      <c r="Q102" s="7">
        <f t="shared" si="15"/>
        <v>0</v>
      </c>
    </row>
    <row r="103" spans="1:17" x14ac:dyDescent="0.2">
      <c r="B103" s="11"/>
      <c r="C103" s="2" t="s">
        <v>572</v>
      </c>
      <c r="E103" s="7">
        <v>0</v>
      </c>
      <c r="F103" s="7">
        <v>0</v>
      </c>
      <c r="G103" s="7">
        <v>0</v>
      </c>
      <c r="H103" s="7">
        <v>0</v>
      </c>
      <c r="I103" s="7">
        <v>0</v>
      </c>
      <c r="J103" s="7">
        <v>0</v>
      </c>
      <c r="K103" s="7">
        <v>0</v>
      </c>
      <c r="L103" s="7"/>
      <c r="M103" s="7">
        <v>0</v>
      </c>
      <c r="N103" s="7">
        <v>0</v>
      </c>
      <c r="O103" s="7">
        <v>0</v>
      </c>
      <c r="P103" s="7">
        <v>0</v>
      </c>
      <c r="Q103" s="7">
        <f t="shared" si="15"/>
        <v>0</v>
      </c>
    </row>
    <row r="104" spans="1:17" x14ac:dyDescent="0.2">
      <c r="B104" s="11"/>
      <c r="C104" s="2" t="s">
        <v>306</v>
      </c>
      <c r="E104" s="7">
        <v>0.04</v>
      </c>
      <c r="F104" s="7">
        <v>0.03</v>
      </c>
      <c r="G104" s="7">
        <v>0.1</v>
      </c>
      <c r="H104" s="7">
        <v>0.12</v>
      </c>
      <c r="I104" s="7">
        <v>0.28000000000000003</v>
      </c>
      <c r="J104" s="7">
        <v>0.78</v>
      </c>
      <c r="K104" s="7">
        <v>0.31</v>
      </c>
      <c r="L104" s="7">
        <v>0.26</v>
      </c>
      <c r="M104" s="7">
        <v>0.31</v>
      </c>
      <c r="N104" s="7">
        <v>0.32</v>
      </c>
      <c r="O104" s="7">
        <v>0.27</v>
      </c>
      <c r="P104" s="7">
        <v>0.21</v>
      </c>
      <c r="Q104" s="7">
        <f t="shared" si="15"/>
        <v>3.03</v>
      </c>
    </row>
    <row r="105" spans="1:17" x14ac:dyDescent="0.2">
      <c r="B105" s="11"/>
      <c r="C105" s="2" t="s">
        <v>573</v>
      </c>
      <c r="E105" s="7">
        <v>0.01</v>
      </c>
      <c r="F105" s="7">
        <v>0</v>
      </c>
      <c r="G105" s="7">
        <v>7.0000000000000007E-2</v>
      </c>
      <c r="H105" s="7">
        <v>0</v>
      </c>
      <c r="I105" s="7">
        <v>0</v>
      </c>
      <c r="J105" s="7">
        <v>0</v>
      </c>
      <c r="K105" s="7">
        <v>0</v>
      </c>
      <c r="L105" s="7">
        <v>0</v>
      </c>
      <c r="M105" s="7">
        <v>0</v>
      </c>
      <c r="N105" s="7">
        <v>0</v>
      </c>
      <c r="O105" s="7">
        <v>0</v>
      </c>
      <c r="P105" s="7">
        <v>0</v>
      </c>
      <c r="Q105" s="7">
        <f t="shared" si="15"/>
        <v>0.08</v>
      </c>
    </row>
    <row r="106" spans="1:17" x14ac:dyDescent="0.2">
      <c r="B106" s="11"/>
      <c r="E106" s="7"/>
      <c r="F106" s="7"/>
      <c r="G106" s="7" t="s">
        <v>6</v>
      </c>
      <c r="H106" s="7"/>
      <c r="I106" s="7"/>
      <c r="J106" s="7"/>
      <c r="K106" s="7"/>
      <c r="L106" s="7"/>
      <c r="M106" s="7"/>
      <c r="N106" s="7"/>
      <c r="O106" s="7"/>
      <c r="P106" s="7"/>
      <c r="Q106" s="7"/>
    </row>
    <row r="107" spans="1:17" s="4" customFormat="1" ht="15" x14ac:dyDescent="0.25">
      <c r="A107" s="3" t="s">
        <v>102</v>
      </c>
      <c r="D107" s="3"/>
      <c r="E107" s="5">
        <f t="shared" ref="E107:P107" si="16">SUM(E108:E110)</f>
        <v>6.55</v>
      </c>
      <c r="F107" s="5">
        <f t="shared" si="16"/>
        <v>7.8500000000000005</v>
      </c>
      <c r="G107" s="5">
        <f t="shared" si="16"/>
        <v>20.23</v>
      </c>
      <c r="H107" s="5">
        <f t="shared" si="16"/>
        <v>20.869999999999997</v>
      </c>
      <c r="I107" s="5">
        <f t="shared" si="16"/>
        <v>10.31</v>
      </c>
      <c r="J107" s="5">
        <f t="shared" si="16"/>
        <v>12.65</v>
      </c>
      <c r="K107" s="5">
        <f t="shared" si="16"/>
        <v>8.83</v>
      </c>
      <c r="L107" s="5">
        <f t="shared" si="16"/>
        <v>11.43</v>
      </c>
      <c r="M107" s="5">
        <f t="shared" si="16"/>
        <v>21.919999999999998</v>
      </c>
      <c r="N107" s="5">
        <f t="shared" si="16"/>
        <v>23.279999999999998</v>
      </c>
      <c r="O107" s="5">
        <f t="shared" si="16"/>
        <v>5.9399999999999995</v>
      </c>
      <c r="P107" s="5">
        <f t="shared" si="16"/>
        <v>4.67</v>
      </c>
      <c r="Q107" s="5">
        <f>SUM(E107:P107)</f>
        <v>154.52999999999997</v>
      </c>
    </row>
    <row r="108" spans="1:17" x14ac:dyDescent="0.2">
      <c r="B108" s="11"/>
      <c r="C108" s="2" t="s">
        <v>308</v>
      </c>
      <c r="E108" s="7">
        <v>5.8</v>
      </c>
      <c r="F108" s="7">
        <v>7.04</v>
      </c>
      <c r="G108" s="7">
        <v>17.02</v>
      </c>
      <c r="H108" s="7">
        <v>8.91</v>
      </c>
      <c r="I108" s="7">
        <v>7.56</v>
      </c>
      <c r="J108" s="7">
        <v>8.92</v>
      </c>
      <c r="K108" s="7">
        <v>6.23</v>
      </c>
      <c r="L108" s="7">
        <v>6.17</v>
      </c>
      <c r="M108" s="7">
        <v>9.8699999999999992</v>
      </c>
      <c r="N108" s="7">
        <v>21.77</v>
      </c>
      <c r="O108" s="7">
        <v>5.43</v>
      </c>
      <c r="P108" s="7">
        <v>4.25</v>
      </c>
      <c r="Q108" s="7">
        <f>SUM(E108:P108)</f>
        <v>108.97</v>
      </c>
    </row>
    <row r="109" spans="1:17" x14ac:dyDescent="0.2">
      <c r="B109" s="11"/>
      <c r="C109" s="2" t="s">
        <v>310</v>
      </c>
      <c r="E109" s="7">
        <v>0.28999999999999998</v>
      </c>
      <c r="F109" s="7">
        <v>0.27</v>
      </c>
      <c r="G109" s="7">
        <v>2.39</v>
      </c>
      <c r="H109" s="7">
        <v>11.92</v>
      </c>
      <c r="I109" s="7">
        <v>2.2799999999999998</v>
      </c>
      <c r="J109" s="7">
        <v>2.65</v>
      </c>
      <c r="K109" s="7">
        <v>2.42</v>
      </c>
      <c r="L109" s="7">
        <v>5.09</v>
      </c>
      <c r="M109" s="7">
        <v>11.64</v>
      </c>
      <c r="N109" s="7">
        <v>1.38</v>
      </c>
      <c r="O109" s="7">
        <v>0.46</v>
      </c>
      <c r="P109" s="7">
        <v>0.27</v>
      </c>
      <c r="Q109" s="7">
        <f>SUM(E109:P109)</f>
        <v>41.060000000000009</v>
      </c>
    </row>
    <row r="110" spans="1:17" x14ac:dyDescent="0.2">
      <c r="B110" s="11"/>
      <c r="C110" s="2" t="s">
        <v>311</v>
      </c>
      <c r="E110" s="7">
        <v>0.46</v>
      </c>
      <c r="F110" s="7">
        <v>0.54</v>
      </c>
      <c r="G110" s="7">
        <v>0.82</v>
      </c>
      <c r="H110" s="7">
        <v>0.04</v>
      </c>
      <c r="I110" s="7">
        <v>0.47</v>
      </c>
      <c r="J110" s="7">
        <v>1.08</v>
      </c>
      <c r="K110" s="7">
        <v>0.18</v>
      </c>
      <c r="L110" s="7">
        <v>0.17</v>
      </c>
      <c r="M110" s="7">
        <v>0.41</v>
      </c>
      <c r="N110" s="7">
        <v>0.13</v>
      </c>
      <c r="O110" s="7">
        <v>0.05</v>
      </c>
      <c r="P110" s="7">
        <v>0.15</v>
      </c>
      <c r="Q110" s="7">
        <f>SUM(E110:P110)</f>
        <v>4.5</v>
      </c>
    </row>
    <row r="111" spans="1:17" x14ac:dyDescent="0.2">
      <c r="B111" s="11"/>
      <c r="E111" s="7"/>
      <c r="F111" s="7"/>
      <c r="G111" s="7"/>
      <c r="H111" s="7"/>
      <c r="I111" s="7"/>
      <c r="J111" s="7"/>
      <c r="K111" s="7"/>
      <c r="L111" s="7"/>
      <c r="M111" s="7"/>
      <c r="N111" s="7"/>
      <c r="O111" s="7"/>
      <c r="P111" s="7"/>
      <c r="Q111" s="7"/>
    </row>
    <row r="112" spans="1:17" s="4" customFormat="1" ht="15" x14ac:dyDescent="0.25">
      <c r="A112" s="3" t="s">
        <v>107</v>
      </c>
      <c r="E112" s="5">
        <f t="shared" ref="E112:P112" si="17">SUM(E113:E118)</f>
        <v>369.26</v>
      </c>
      <c r="F112" s="5">
        <f t="shared" si="17"/>
        <v>296.82000000000005</v>
      </c>
      <c r="G112" s="5">
        <f t="shared" si="17"/>
        <v>488.52000000000004</v>
      </c>
      <c r="H112" s="5">
        <f t="shared" si="17"/>
        <v>311.61</v>
      </c>
      <c r="I112" s="5">
        <f t="shared" si="17"/>
        <v>385.79</v>
      </c>
      <c r="J112" s="5">
        <f t="shared" si="17"/>
        <v>497.40000000000003</v>
      </c>
      <c r="K112" s="5">
        <f t="shared" si="17"/>
        <v>463.89</v>
      </c>
      <c r="L112" s="5">
        <f t="shared" si="17"/>
        <v>355.05</v>
      </c>
      <c r="M112" s="5">
        <f t="shared" si="17"/>
        <v>381.47</v>
      </c>
      <c r="N112" s="5">
        <f t="shared" si="17"/>
        <v>423.12</v>
      </c>
      <c r="O112" s="5">
        <f t="shared" si="17"/>
        <v>357.56</v>
      </c>
      <c r="P112" s="5">
        <f t="shared" si="17"/>
        <v>370.42999999999995</v>
      </c>
      <c r="Q112" s="5">
        <f>SUM(E112:P112)</f>
        <v>4700.920000000001</v>
      </c>
    </row>
    <row r="113" spans="1:17" x14ac:dyDescent="0.2">
      <c r="B113" s="11"/>
      <c r="C113" s="2" t="s">
        <v>312</v>
      </c>
      <c r="E113" s="7">
        <v>0.38</v>
      </c>
      <c r="F113" s="7">
        <v>0.12</v>
      </c>
      <c r="G113" s="7">
        <v>7.0000000000000007E-2</v>
      </c>
      <c r="H113" s="7">
        <v>0.45</v>
      </c>
      <c r="I113" s="7">
        <v>2.29</v>
      </c>
      <c r="J113" s="7">
        <v>3.03</v>
      </c>
      <c r="K113" s="7">
        <v>2.48</v>
      </c>
      <c r="L113" s="7">
        <v>2</v>
      </c>
      <c r="M113" s="7">
        <v>2.44</v>
      </c>
      <c r="N113" s="7">
        <v>2.58</v>
      </c>
      <c r="O113" s="7">
        <v>2.2200000000000002</v>
      </c>
      <c r="P113" s="7">
        <v>1.61</v>
      </c>
      <c r="Q113" s="7">
        <f t="shared" ref="Q113:Q118" si="18">SUM(E113:P113)</f>
        <v>19.669999999999998</v>
      </c>
    </row>
    <row r="114" spans="1:17" x14ac:dyDescent="0.2">
      <c r="B114" s="11"/>
      <c r="C114" s="2" t="s">
        <v>313</v>
      </c>
      <c r="E114" s="7">
        <v>7.0000000000000007E-2</v>
      </c>
      <c r="F114" s="7">
        <v>0</v>
      </c>
      <c r="G114" s="7">
        <v>0</v>
      </c>
      <c r="H114" s="7">
        <v>1.22</v>
      </c>
      <c r="I114" s="7">
        <v>0</v>
      </c>
      <c r="J114" s="7">
        <v>0</v>
      </c>
      <c r="K114" s="7">
        <v>0.03</v>
      </c>
      <c r="L114" s="7">
        <v>0</v>
      </c>
      <c r="M114" s="7">
        <v>0</v>
      </c>
      <c r="N114" s="7">
        <v>0</v>
      </c>
      <c r="O114" s="7">
        <v>0</v>
      </c>
      <c r="P114" s="7">
        <v>0</v>
      </c>
      <c r="Q114" s="7">
        <f t="shared" si="18"/>
        <v>1.32</v>
      </c>
    </row>
    <row r="115" spans="1:17" x14ac:dyDescent="0.2">
      <c r="B115" s="11"/>
      <c r="C115" s="2" t="s">
        <v>314</v>
      </c>
      <c r="E115" s="7">
        <v>161.19999999999999</v>
      </c>
      <c r="F115" s="7">
        <v>86.29</v>
      </c>
      <c r="G115" s="7">
        <v>153.46</v>
      </c>
      <c r="H115" s="7">
        <v>83.74</v>
      </c>
      <c r="I115" s="7">
        <v>119.43</v>
      </c>
      <c r="J115" s="7">
        <v>143.82</v>
      </c>
      <c r="K115" s="7">
        <v>162</v>
      </c>
      <c r="L115" s="7">
        <v>122.38</v>
      </c>
      <c r="M115" s="7">
        <v>122.66</v>
      </c>
      <c r="N115" s="7">
        <v>134.09</v>
      </c>
      <c r="O115" s="7">
        <v>111.83</v>
      </c>
      <c r="P115" s="7">
        <v>119.22</v>
      </c>
      <c r="Q115" s="7">
        <f t="shared" si="18"/>
        <v>1520.1200000000001</v>
      </c>
    </row>
    <row r="116" spans="1:17" x14ac:dyDescent="0.2">
      <c r="B116" s="11"/>
      <c r="C116" s="2" t="s">
        <v>315</v>
      </c>
      <c r="E116" s="7">
        <v>170.51</v>
      </c>
      <c r="F116" s="7">
        <v>176.56</v>
      </c>
      <c r="G116" s="7">
        <v>277.42</v>
      </c>
      <c r="H116" s="7">
        <v>191.94</v>
      </c>
      <c r="I116" s="7">
        <v>221.95</v>
      </c>
      <c r="J116" s="7">
        <v>307.13</v>
      </c>
      <c r="K116" s="7">
        <v>253.88</v>
      </c>
      <c r="L116" s="7">
        <v>195.23</v>
      </c>
      <c r="M116" s="7">
        <v>216.64</v>
      </c>
      <c r="N116" s="7">
        <v>249.73</v>
      </c>
      <c r="O116" s="7">
        <v>211.13</v>
      </c>
      <c r="P116" s="7">
        <v>227.07</v>
      </c>
      <c r="Q116" s="7">
        <f t="shared" si="18"/>
        <v>2699.1900000000005</v>
      </c>
    </row>
    <row r="117" spans="1:17" x14ac:dyDescent="0.2">
      <c r="B117" s="11"/>
      <c r="C117" s="2" t="s">
        <v>316</v>
      </c>
      <c r="E117" s="7">
        <v>37.1</v>
      </c>
      <c r="F117" s="7">
        <v>33.85</v>
      </c>
      <c r="G117" s="7">
        <v>57.57</v>
      </c>
      <c r="H117" s="7">
        <v>34.26</v>
      </c>
      <c r="I117" s="7">
        <v>42.12</v>
      </c>
      <c r="J117" s="7">
        <v>43.42</v>
      </c>
      <c r="K117" s="7">
        <v>45.5</v>
      </c>
      <c r="L117" s="7">
        <v>35.44</v>
      </c>
      <c r="M117" s="7">
        <v>39.729999999999997</v>
      </c>
      <c r="N117" s="7">
        <v>36.72</v>
      </c>
      <c r="O117" s="7">
        <v>32.380000000000003</v>
      </c>
      <c r="P117" s="7">
        <v>22.53</v>
      </c>
      <c r="Q117" s="7">
        <f t="shared" si="18"/>
        <v>460.62</v>
      </c>
    </row>
    <row r="118" spans="1:17" x14ac:dyDescent="0.2">
      <c r="B118" s="11"/>
      <c r="C118" s="2" t="s">
        <v>574</v>
      </c>
      <c r="E118" s="7">
        <v>0</v>
      </c>
      <c r="F118" s="7">
        <v>0</v>
      </c>
      <c r="G118" s="7">
        <v>0</v>
      </c>
      <c r="H118" s="7">
        <v>0</v>
      </c>
      <c r="I118" s="7">
        <v>0</v>
      </c>
      <c r="J118" s="7">
        <v>0</v>
      </c>
      <c r="K118" s="7">
        <v>0</v>
      </c>
      <c r="L118" s="7">
        <v>0</v>
      </c>
      <c r="M118" s="7">
        <v>0</v>
      </c>
      <c r="N118" s="7">
        <v>0</v>
      </c>
      <c r="O118" s="7">
        <v>0</v>
      </c>
      <c r="P118" s="7">
        <v>0</v>
      </c>
      <c r="Q118" s="7">
        <f t="shared" si="18"/>
        <v>0</v>
      </c>
    </row>
    <row r="119" spans="1:17" x14ac:dyDescent="0.2">
      <c r="B119" s="11"/>
      <c r="E119" s="7"/>
      <c r="F119" s="7"/>
      <c r="G119" s="7"/>
      <c r="H119" s="7"/>
      <c r="I119" s="7"/>
      <c r="J119" s="7"/>
      <c r="K119" s="7"/>
      <c r="L119" s="7"/>
      <c r="M119" s="7"/>
      <c r="N119" s="7"/>
      <c r="O119" s="7"/>
      <c r="P119" s="7"/>
      <c r="Q119" s="7"/>
    </row>
    <row r="120" spans="1:17" s="4" customFormat="1" ht="15" x14ac:dyDescent="0.25">
      <c r="A120" s="3" t="s">
        <v>113</v>
      </c>
      <c r="E120" s="5">
        <f t="shared" ref="E120:P120" si="19">SUM(E121:E133)</f>
        <v>53.13</v>
      </c>
      <c r="F120" s="5">
        <f t="shared" si="19"/>
        <v>27.029999999999998</v>
      </c>
      <c r="G120" s="5">
        <f t="shared" si="19"/>
        <v>61.46</v>
      </c>
      <c r="H120" s="5">
        <f t="shared" si="19"/>
        <v>33.870000000000005</v>
      </c>
      <c r="I120" s="5">
        <f t="shared" si="19"/>
        <v>39.909999999999997</v>
      </c>
      <c r="J120" s="5">
        <f t="shared" si="19"/>
        <v>41.910000000000004</v>
      </c>
      <c r="K120" s="5">
        <f t="shared" si="19"/>
        <v>40.989999999999995</v>
      </c>
      <c r="L120" s="5">
        <f t="shared" si="19"/>
        <v>40.209999999999994</v>
      </c>
      <c r="M120" s="5">
        <f t="shared" si="19"/>
        <v>37.47</v>
      </c>
      <c r="N120" s="5">
        <f t="shared" si="19"/>
        <v>39.86</v>
      </c>
      <c r="O120" s="5">
        <f t="shared" si="19"/>
        <v>31.57</v>
      </c>
      <c r="P120" s="5">
        <f t="shared" si="19"/>
        <v>28.89</v>
      </c>
      <c r="Q120" s="5">
        <f>SUM(E120:P120)</f>
        <v>476.3</v>
      </c>
    </row>
    <row r="121" spans="1:17" x14ac:dyDescent="0.2">
      <c r="B121" s="11"/>
      <c r="C121" s="2" t="s">
        <v>312</v>
      </c>
      <c r="E121" s="7">
        <v>6.1</v>
      </c>
      <c r="F121" s="7">
        <v>4.38</v>
      </c>
      <c r="G121" s="7">
        <v>11.51</v>
      </c>
      <c r="H121" s="7">
        <v>6.49</v>
      </c>
      <c r="I121" s="7">
        <v>8.51</v>
      </c>
      <c r="J121" s="7">
        <v>7.61</v>
      </c>
      <c r="K121" s="7">
        <v>9.2799999999999994</v>
      </c>
      <c r="L121" s="7">
        <v>12.61</v>
      </c>
      <c r="M121" s="7">
        <v>7.72</v>
      </c>
      <c r="N121" s="7">
        <v>11.36</v>
      </c>
      <c r="O121" s="7">
        <v>7.32</v>
      </c>
      <c r="P121" s="7">
        <v>6.62</v>
      </c>
      <c r="Q121" s="7">
        <f t="shared" ref="Q121:Q133" si="20">SUM(E121:P121)</f>
        <v>99.510000000000019</v>
      </c>
    </row>
    <row r="122" spans="1:17" x14ac:dyDescent="0.2">
      <c r="B122" s="11"/>
      <c r="C122" s="2" t="s">
        <v>575</v>
      </c>
      <c r="E122" s="7">
        <v>0</v>
      </c>
      <c r="F122" s="7">
        <v>0</v>
      </c>
      <c r="G122" s="7">
        <v>0</v>
      </c>
      <c r="H122" s="7">
        <v>0</v>
      </c>
      <c r="I122" s="7">
        <v>0</v>
      </c>
      <c r="J122" s="7">
        <v>0</v>
      </c>
      <c r="K122" s="7">
        <v>0</v>
      </c>
      <c r="L122" s="7">
        <v>0</v>
      </c>
      <c r="M122" s="7">
        <v>0</v>
      </c>
      <c r="N122" s="7">
        <v>0</v>
      </c>
      <c r="O122" s="7">
        <v>0</v>
      </c>
      <c r="P122" s="7">
        <v>0</v>
      </c>
      <c r="Q122" s="7">
        <f t="shared" si="20"/>
        <v>0</v>
      </c>
    </row>
    <row r="123" spans="1:17" x14ac:dyDescent="0.2">
      <c r="B123" s="11"/>
      <c r="C123" s="2" t="s">
        <v>576</v>
      </c>
      <c r="E123" s="7">
        <v>0</v>
      </c>
      <c r="F123" s="7">
        <v>0</v>
      </c>
      <c r="G123" s="7">
        <v>0</v>
      </c>
      <c r="H123" s="7">
        <v>0</v>
      </c>
      <c r="I123" s="7">
        <v>0</v>
      </c>
      <c r="J123" s="7">
        <v>0</v>
      </c>
      <c r="K123" s="7">
        <v>0</v>
      </c>
      <c r="L123" s="7">
        <v>0</v>
      </c>
      <c r="M123" s="7">
        <v>0</v>
      </c>
      <c r="N123" s="7">
        <v>0</v>
      </c>
      <c r="O123" s="7">
        <v>0</v>
      </c>
      <c r="P123" s="7">
        <v>0</v>
      </c>
      <c r="Q123" s="7">
        <f t="shared" si="20"/>
        <v>0</v>
      </c>
    </row>
    <row r="124" spans="1:17" x14ac:dyDescent="0.2">
      <c r="B124" s="11"/>
      <c r="C124" s="2" t="s">
        <v>577</v>
      </c>
      <c r="E124" s="7">
        <v>0</v>
      </c>
      <c r="F124" s="7">
        <v>0</v>
      </c>
      <c r="G124" s="7">
        <v>0</v>
      </c>
      <c r="H124" s="7">
        <v>0</v>
      </c>
      <c r="I124" s="7">
        <v>0</v>
      </c>
      <c r="J124" s="7">
        <v>0</v>
      </c>
      <c r="K124" s="7">
        <v>0</v>
      </c>
      <c r="L124" s="7">
        <v>0</v>
      </c>
      <c r="M124" s="7">
        <v>0</v>
      </c>
      <c r="N124" s="7">
        <v>0</v>
      </c>
      <c r="O124" s="7">
        <v>0</v>
      </c>
      <c r="P124" s="7">
        <v>0</v>
      </c>
      <c r="Q124" s="7">
        <f t="shared" si="20"/>
        <v>0</v>
      </c>
    </row>
    <row r="125" spans="1:17" x14ac:dyDescent="0.2">
      <c r="B125" s="11"/>
      <c r="C125" s="2" t="s">
        <v>578</v>
      </c>
      <c r="E125" s="7">
        <v>0</v>
      </c>
      <c r="F125" s="7">
        <v>0</v>
      </c>
      <c r="G125" s="7">
        <v>0</v>
      </c>
      <c r="H125" s="7">
        <v>0</v>
      </c>
      <c r="I125" s="7">
        <v>0</v>
      </c>
      <c r="J125" s="7">
        <v>0</v>
      </c>
      <c r="K125" s="7">
        <v>0</v>
      </c>
      <c r="L125" s="7">
        <v>0</v>
      </c>
      <c r="M125" s="7">
        <v>0</v>
      </c>
      <c r="N125" s="7">
        <v>0</v>
      </c>
      <c r="O125" s="7">
        <v>0</v>
      </c>
      <c r="P125" s="7">
        <v>0</v>
      </c>
      <c r="Q125" s="7">
        <f t="shared" si="20"/>
        <v>0</v>
      </c>
    </row>
    <row r="126" spans="1:17" x14ac:dyDescent="0.2">
      <c r="B126" s="11"/>
      <c r="C126" s="2" t="s">
        <v>579</v>
      </c>
      <c r="E126" s="7">
        <v>0</v>
      </c>
      <c r="F126" s="7">
        <v>0</v>
      </c>
      <c r="G126" s="7">
        <v>0</v>
      </c>
      <c r="H126" s="7">
        <v>0</v>
      </c>
      <c r="I126" s="7">
        <v>0</v>
      </c>
      <c r="J126" s="7">
        <v>0</v>
      </c>
      <c r="K126" s="7">
        <v>0</v>
      </c>
      <c r="L126" s="7">
        <v>0</v>
      </c>
      <c r="M126" s="7">
        <v>0</v>
      </c>
      <c r="N126" s="7">
        <v>0</v>
      </c>
      <c r="O126" s="7">
        <v>0</v>
      </c>
      <c r="P126" s="7">
        <v>0</v>
      </c>
      <c r="Q126" s="7">
        <f t="shared" si="20"/>
        <v>0</v>
      </c>
    </row>
    <row r="127" spans="1:17" x14ac:dyDescent="0.2">
      <c r="B127" s="11"/>
      <c r="C127" s="2" t="s">
        <v>319</v>
      </c>
      <c r="E127" s="7">
        <v>0</v>
      </c>
      <c r="F127" s="7">
        <v>0</v>
      </c>
      <c r="G127" s="7">
        <v>0</v>
      </c>
      <c r="H127" s="7">
        <v>0</v>
      </c>
      <c r="I127" s="7">
        <v>0</v>
      </c>
      <c r="J127" s="7">
        <v>0</v>
      </c>
      <c r="K127" s="7">
        <v>0</v>
      </c>
      <c r="L127" s="7">
        <v>0</v>
      </c>
      <c r="M127" s="7">
        <v>0</v>
      </c>
      <c r="N127" s="7">
        <v>0</v>
      </c>
      <c r="O127" s="7">
        <v>0</v>
      </c>
      <c r="P127" s="7">
        <v>0</v>
      </c>
      <c r="Q127" s="7">
        <f t="shared" si="20"/>
        <v>0</v>
      </c>
    </row>
    <row r="128" spans="1:17" x14ac:dyDescent="0.2">
      <c r="B128" s="11"/>
      <c r="C128" s="2" t="s">
        <v>580</v>
      </c>
      <c r="E128" s="7">
        <v>0</v>
      </c>
      <c r="F128" s="7">
        <v>0</v>
      </c>
      <c r="G128" s="7">
        <v>0</v>
      </c>
      <c r="H128" s="7">
        <v>0</v>
      </c>
      <c r="I128" s="7">
        <v>0</v>
      </c>
      <c r="J128" s="7">
        <v>0</v>
      </c>
      <c r="K128" s="7">
        <v>0</v>
      </c>
      <c r="L128" s="7">
        <v>0</v>
      </c>
      <c r="M128" s="7">
        <v>0</v>
      </c>
      <c r="N128" s="7">
        <v>0</v>
      </c>
      <c r="O128" s="7">
        <v>0</v>
      </c>
      <c r="P128" s="7">
        <v>0</v>
      </c>
      <c r="Q128" s="7">
        <f t="shared" si="20"/>
        <v>0</v>
      </c>
    </row>
    <row r="129" spans="1:17" x14ac:dyDescent="0.2">
      <c r="B129" s="11"/>
      <c r="C129" s="2" t="s">
        <v>317</v>
      </c>
      <c r="E129" s="7">
        <v>0.03</v>
      </c>
      <c r="F129" s="7">
        <v>0.01</v>
      </c>
      <c r="G129" s="7">
        <v>0.17</v>
      </c>
      <c r="H129" s="7">
        <v>0</v>
      </c>
      <c r="I129" s="7">
        <v>0</v>
      </c>
      <c r="J129" s="7">
        <v>0.01</v>
      </c>
      <c r="K129" s="7">
        <v>0.01</v>
      </c>
      <c r="L129" s="7">
        <v>0</v>
      </c>
      <c r="M129" s="7">
        <v>0</v>
      </c>
      <c r="N129" s="7">
        <v>0.08</v>
      </c>
      <c r="O129" s="7">
        <v>0</v>
      </c>
      <c r="P129" s="7">
        <v>0.06</v>
      </c>
      <c r="Q129" s="7">
        <f t="shared" si="20"/>
        <v>0.37000000000000005</v>
      </c>
    </row>
    <row r="130" spans="1:17" x14ac:dyDescent="0.2">
      <c r="B130" s="11"/>
      <c r="C130" s="2" t="s">
        <v>318</v>
      </c>
      <c r="E130" s="7">
        <v>1.23</v>
      </c>
      <c r="F130" s="7">
        <v>1.06</v>
      </c>
      <c r="G130" s="7">
        <v>2.0699999999999998</v>
      </c>
      <c r="H130" s="7">
        <v>0.87</v>
      </c>
      <c r="I130" s="7">
        <v>1.51</v>
      </c>
      <c r="J130" s="7">
        <v>1.49</v>
      </c>
      <c r="K130" s="7">
        <v>1.67</v>
      </c>
      <c r="L130" s="7">
        <v>1.32</v>
      </c>
      <c r="M130" s="7">
        <v>1.41</v>
      </c>
      <c r="N130" s="7">
        <v>1.36</v>
      </c>
      <c r="O130" s="7">
        <v>0.43</v>
      </c>
      <c r="P130" s="7">
        <v>0.15</v>
      </c>
      <c r="Q130" s="7">
        <f t="shared" si="20"/>
        <v>14.569999999999999</v>
      </c>
    </row>
    <row r="131" spans="1:17" x14ac:dyDescent="0.2">
      <c r="B131" s="11"/>
      <c r="C131" s="2" t="s">
        <v>581</v>
      </c>
      <c r="E131" s="7">
        <v>0</v>
      </c>
      <c r="F131" s="7">
        <v>0</v>
      </c>
      <c r="G131" s="7">
        <v>0</v>
      </c>
      <c r="H131" s="7">
        <v>0</v>
      </c>
      <c r="I131" s="7">
        <v>0</v>
      </c>
      <c r="J131" s="7">
        <v>0</v>
      </c>
      <c r="K131" s="7">
        <v>0</v>
      </c>
      <c r="L131" s="7">
        <v>0</v>
      </c>
      <c r="M131" s="7">
        <v>0</v>
      </c>
      <c r="N131" s="7">
        <v>0</v>
      </c>
      <c r="O131" s="7">
        <v>0</v>
      </c>
      <c r="P131" s="7">
        <v>0</v>
      </c>
      <c r="Q131" s="7">
        <f t="shared" si="20"/>
        <v>0</v>
      </c>
    </row>
    <row r="132" spans="1:17" x14ac:dyDescent="0.2">
      <c r="B132" s="11"/>
      <c r="C132" s="2" t="s">
        <v>321</v>
      </c>
      <c r="E132" s="7">
        <v>42.89</v>
      </c>
      <c r="F132" s="7">
        <v>21.08</v>
      </c>
      <c r="G132" s="7">
        <v>45.67</v>
      </c>
      <c r="H132" s="7">
        <v>25.67</v>
      </c>
      <c r="I132" s="7">
        <v>29.14</v>
      </c>
      <c r="J132" s="7">
        <v>31.98</v>
      </c>
      <c r="K132" s="7">
        <v>29.02</v>
      </c>
      <c r="L132" s="7">
        <v>25.56</v>
      </c>
      <c r="M132" s="7">
        <v>27.5</v>
      </c>
      <c r="N132" s="7">
        <v>26.43</v>
      </c>
      <c r="O132" s="7">
        <v>22.22</v>
      </c>
      <c r="P132" s="7">
        <v>20.88</v>
      </c>
      <c r="Q132" s="7">
        <f t="shared" si="20"/>
        <v>348.03999999999996</v>
      </c>
    </row>
    <row r="133" spans="1:17" x14ac:dyDescent="0.2">
      <c r="B133" s="11"/>
      <c r="C133" s="2" t="s">
        <v>322</v>
      </c>
      <c r="E133" s="7">
        <v>2.88</v>
      </c>
      <c r="F133" s="7">
        <v>0.5</v>
      </c>
      <c r="G133" s="7">
        <v>2.04</v>
      </c>
      <c r="H133" s="7">
        <v>0.84</v>
      </c>
      <c r="I133" s="7">
        <v>0.75</v>
      </c>
      <c r="J133" s="7">
        <v>0.82</v>
      </c>
      <c r="K133" s="7">
        <v>1.01</v>
      </c>
      <c r="L133" s="7">
        <v>0.72</v>
      </c>
      <c r="M133" s="7">
        <v>0.84</v>
      </c>
      <c r="N133" s="7">
        <v>0.63</v>
      </c>
      <c r="O133" s="7">
        <v>1.6</v>
      </c>
      <c r="P133" s="7">
        <v>1.18</v>
      </c>
      <c r="Q133" s="7">
        <f t="shared" si="20"/>
        <v>13.81</v>
      </c>
    </row>
    <row r="134" spans="1:17" x14ac:dyDescent="0.2">
      <c r="B134" s="11"/>
      <c r="E134" s="7"/>
      <c r="F134" s="7"/>
      <c r="G134" s="7"/>
      <c r="H134" s="7"/>
      <c r="I134" s="7"/>
      <c r="J134" s="7"/>
      <c r="K134" s="7"/>
      <c r="L134" s="7"/>
      <c r="M134" s="7"/>
      <c r="N134" s="7"/>
      <c r="O134" s="7"/>
      <c r="P134" s="7"/>
      <c r="Q134" s="7"/>
    </row>
    <row r="135" spans="1:17" s="4" customFormat="1" ht="15" x14ac:dyDescent="0.25">
      <c r="A135" s="3" t="s">
        <v>121</v>
      </c>
      <c r="E135" s="5">
        <f t="shared" ref="E135:P135" si="21">SUM(E136:E137)</f>
        <v>1.78</v>
      </c>
      <c r="F135" s="5">
        <f t="shared" si="21"/>
        <v>1.32</v>
      </c>
      <c r="G135" s="5">
        <f t="shared" si="21"/>
        <v>0.97</v>
      </c>
      <c r="H135" s="5">
        <f t="shared" si="21"/>
        <v>0.95</v>
      </c>
      <c r="I135" s="5">
        <f t="shared" si="21"/>
        <v>1.1200000000000001</v>
      </c>
      <c r="J135" s="5">
        <f t="shared" si="21"/>
        <v>2.68</v>
      </c>
      <c r="K135" s="5">
        <f t="shared" si="21"/>
        <v>0.98</v>
      </c>
      <c r="L135" s="5">
        <f t="shared" si="21"/>
        <v>0.87</v>
      </c>
      <c r="M135" s="5">
        <f t="shared" si="21"/>
        <v>1.37</v>
      </c>
      <c r="N135" s="5">
        <f t="shared" si="21"/>
        <v>1.03</v>
      </c>
      <c r="O135" s="5">
        <f t="shared" si="21"/>
        <v>1.21</v>
      </c>
      <c r="P135" s="5">
        <f t="shared" si="21"/>
        <v>1.1100000000000001</v>
      </c>
      <c r="Q135" s="5">
        <f>SUM(E135:P135)</f>
        <v>15.389999999999997</v>
      </c>
    </row>
    <row r="136" spans="1:17" x14ac:dyDescent="0.2">
      <c r="B136" s="11"/>
      <c r="C136" s="2" t="s">
        <v>312</v>
      </c>
      <c r="E136" s="7">
        <v>1.32</v>
      </c>
      <c r="F136" s="7">
        <v>1.03</v>
      </c>
      <c r="G136" s="7">
        <v>0.94</v>
      </c>
      <c r="H136" s="7">
        <v>0.95</v>
      </c>
      <c r="I136" s="7">
        <v>1.1200000000000001</v>
      </c>
      <c r="J136" s="7">
        <v>2.68</v>
      </c>
      <c r="K136" s="7">
        <v>0.98</v>
      </c>
      <c r="L136" s="7">
        <v>0.87</v>
      </c>
      <c r="M136" s="7">
        <v>1.37</v>
      </c>
      <c r="N136" s="7">
        <v>1.03</v>
      </c>
      <c r="O136" s="7">
        <v>1.21</v>
      </c>
      <c r="P136" s="7">
        <v>1.1100000000000001</v>
      </c>
      <c r="Q136" s="7">
        <f>SUM(E136:P136)</f>
        <v>14.61</v>
      </c>
    </row>
    <row r="137" spans="1:17" x14ac:dyDescent="0.2">
      <c r="B137" s="11"/>
      <c r="C137" s="2" t="s">
        <v>582</v>
      </c>
      <c r="E137" s="7">
        <v>0.46</v>
      </c>
      <c r="F137" s="7">
        <v>0.28999999999999998</v>
      </c>
      <c r="G137" s="7">
        <v>0.03</v>
      </c>
      <c r="H137" s="7">
        <v>0</v>
      </c>
      <c r="I137" s="7">
        <v>0</v>
      </c>
      <c r="J137" s="7">
        <v>0</v>
      </c>
      <c r="K137" s="7">
        <v>0</v>
      </c>
      <c r="L137" s="7">
        <v>0</v>
      </c>
      <c r="M137" s="7">
        <v>0</v>
      </c>
      <c r="N137" s="7">
        <v>0</v>
      </c>
      <c r="O137" s="7">
        <v>0</v>
      </c>
      <c r="P137" s="7">
        <v>0</v>
      </c>
      <c r="Q137" s="7">
        <f>SUM(E137:P137)</f>
        <v>0.78</v>
      </c>
    </row>
    <row r="138" spans="1:17" x14ac:dyDescent="0.2">
      <c r="B138" s="11"/>
      <c r="E138" s="7"/>
      <c r="F138" s="7"/>
      <c r="G138" s="7"/>
      <c r="H138" s="7"/>
      <c r="I138" s="7"/>
      <c r="J138" s="7"/>
      <c r="K138" s="7"/>
      <c r="L138" s="7"/>
      <c r="M138" s="7"/>
      <c r="N138" s="7"/>
      <c r="O138" s="7"/>
      <c r="P138" s="7"/>
      <c r="Q138" s="7"/>
    </row>
    <row r="139" spans="1:17" s="4" customFormat="1" ht="15" x14ac:dyDescent="0.25">
      <c r="A139" s="3" t="s">
        <v>324</v>
      </c>
      <c r="E139" s="5">
        <f>SUM(E140:E142)</f>
        <v>0.62</v>
      </c>
      <c r="F139" s="5">
        <f t="shared" ref="F139:Q139" si="22">SUM(F140:F142)</f>
        <v>0.15</v>
      </c>
      <c r="G139" s="5">
        <f t="shared" si="22"/>
        <v>0.59</v>
      </c>
      <c r="H139" s="5">
        <f t="shared" si="22"/>
        <v>0.01</v>
      </c>
      <c r="I139" s="5">
        <f t="shared" si="22"/>
        <v>0.38</v>
      </c>
      <c r="J139" s="5">
        <f t="shared" si="22"/>
        <v>0.43</v>
      </c>
      <c r="K139" s="5">
        <f t="shared" si="22"/>
        <v>0.27</v>
      </c>
      <c r="L139" s="5">
        <f t="shared" si="22"/>
        <v>0.08</v>
      </c>
      <c r="M139" s="5">
        <f t="shared" si="22"/>
        <v>0.23</v>
      </c>
      <c r="N139" s="5">
        <f t="shared" si="22"/>
        <v>0.27</v>
      </c>
      <c r="O139" s="5">
        <f t="shared" si="22"/>
        <v>0.02</v>
      </c>
      <c r="P139" s="5">
        <f t="shared" si="22"/>
        <v>0.28999999999999998</v>
      </c>
      <c r="Q139" s="5">
        <f t="shared" si="22"/>
        <v>3.3400000000000003</v>
      </c>
    </row>
    <row r="140" spans="1:17" x14ac:dyDescent="0.2">
      <c r="B140" s="11"/>
      <c r="C140" s="2" t="s">
        <v>583</v>
      </c>
      <c r="E140" s="7">
        <v>0</v>
      </c>
      <c r="F140" s="7">
        <v>0</v>
      </c>
      <c r="G140" s="7">
        <v>0</v>
      </c>
      <c r="H140" s="7">
        <v>0</v>
      </c>
      <c r="I140" s="7">
        <v>0</v>
      </c>
      <c r="J140" s="7">
        <v>0</v>
      </c>
      <c r="K140" s="7">
        <v>0</v>
      </c>
      <c r="L140" s="7">
        <v>0</v>
      </c>
      <c r="M140" s="7">
        <v>0</v>
      </c>
      <c r="N140" s="7">
        <v>0</v>
      </c>
      <c r="O140" s="7">
        <v>0</v>
      </c>
      <c r="P140" s="7">
        <v>0</v>
      </c>
      <c r="Q140" s="7">
        <f>SUM(E140:P140)</f>
        <v>0</v>
      </c>
    </row>
    <row r="141" spans="1:17" x14ac:dyDescent="0.2">
      <c r="B141" s="11"/>
      <c r="C141" s="2" t="s">
        <v>419</v>
      </c>
      <c r="E141" s="7">
        <v>0.57999999999999996</v>
      </c>
      <c r="F141" s="7">
        <v>0.15</v>
      </c>
      <c r="G141" s="7">
        <v>0.56999999999999995</v>
      </c>
      <c r="H141" s="7">
        <v>0.01</v>
      </c>
      <c r="I141" s="7">
        <v>0.38</v>
      </c>
      <c r="J141" s="7">
        <v>0.43</v>
      </c>
      <c r="K141" s="7">
        <v>0.27</v>
      </c>
      <c r="L141" s="7">
        <v>0.08</v>
      </c>
      <c r="M141" s="7">
        <v>0.23</v>
      </c>
      <c r="N141" s="7">
        <v>0.27</v>
      </c>
      <c r="O141" s="7">
        <v>0.02</v>
      </c>
      <c r="P141" s="7">
        <v>0.28999999999999998</v>
      </c>
      <c r="Q141" s="7">
        <f>SUM(E141:P141)</f>
        <v>3.2800000000000002</v>
      </c>
    </row>
    <row r="142" spans="1:17" x14ac:dyDescent="0.2">
      <c r="A142" s="2" t="s">
        <v>6</v>
      </c>
      <c r="B142" s="11"/>
      <c r="C142" s="2" t="s">
        <v>584</v>
      </c>
      <c r="E142" s="7">
        <v>0.04</v>
      </c>
      <c r="F142" s="7">
        <v>0</v>
      </c>
      <c r="G142" s="7">
        <v>0.02</v>
      </c>
      <c r="H142" s="7">
        <v>0</v>
      </c>
      <c r="I142" s="7">
        <v>0</v>
      </c>
      <c r="J142" s="7">
        <v>0</v>
      </c>
      <c r="K142" s="7">
        <v>0</v>
      </c>
      <c r="L142" s="7">
        <v>0</v>
      </c>
      <c r="M142" s="7">
        <v>0</v>
      </c>
      <c r="N142" s="7">
        <v>0</v>
      </c>
      <c r="O142" s="7">
        <v>0</v>
      </c>
      <c r="P142" s="7">
        <v>0</v>
      </c>
      <c r="Q142" s="7">
        <f>SUM(E142:P142)</f>
        <v>0.06</v>
      </c>
    </row>
    <row r="143" spans="1:17" x14ac:dyDescent="0.2">
      <c r="B143" s="11"/>
      <c r="E143" s="7"/>
      <c r="F143" s="7"/>
      <c r="G143" s="7"/>
      <c r="H143" s="7"/>
      <c r="I143" s="7"/>
      <c r="J143" s="7"/>
      <c r="K143" s="7"/>
      <c r="L143" s="7"/>
      <c r="M143" s="7"/>
      <c r="N143" s="7"/>
      <c r="O143" s="7"/>
      <c r="P143" s="7"/>
      <c r="Q143" s="7"/>
    </row>
    <row r="144" spans="1:17" s="4" customFormat="1" ht="15" x14ac:dyDescent="0.25">
      <c r="A144" s="3" t="s">
        <v>122</v>
      </c>
      <c r="E144" s="5">
        <f t="shared" ref="E144:P144" si="23">SUM(E145:E148)</f>
        <v>35.54</v>
      </c>
      <c r="F144" s="5">
        <f t="shared" si="23"/>
        <v>28.200000000000003</v>
      </c>
      <c r="G144" s="5">
        <f t="shared" si="23"/>
        <v>79.5</v>
      </c>
      <c r="H144" s="5">
        <f t="shared" si="23"/>
        <v>26.07</v>
      </c>
      <c r="I144" s="5">
        <f t="shared" si="23"/>
        <v>61.449999999999996</v>
      </c>
      <c r="J144" s="5">
        <f t="shared" si="23"/>
        <v>69.600000000000009</v>
      </c>
      <c r="K144" s="5">
        <f t="shared" si="23"/>
        <v>41.34</v>
      </c>
      <c r="L144" s="5">
        <f t="shared" si="23"/>
        <v>38.639999999999993</v>
      </c>
      <c r="M144" s="5">
        <f t="shared" si="23"/>
        <v>34.29</v>
      </c>
      <c r="N144" s="5">
        <f t="shared" si="23"/>
        <v>42.57</v>
      </c>
      <c r="O144" s="5">
        <f t="shared" si="23"/>
        <v>29.050000000000004</v>
      </c>
      <c r="P144" s="5">
        <f t="shared" si="23"/>
        <v>41.48</v>
      </c>
      <c r="Q144" s="5">
        <f>SUM(E144:P144)</f>
        <v>527.73</v>
      </c>
    </row>
    <row r="145" spans="1:17" x14ac:dyDescent="0.2">
      <c r="B145" s="11"/>
      <c r="C145" s="2" t="s">
        <v>331</v>
      </c>
      <c r="E145" s="7">
        <v>0.55000000000000004</v>
      </c>
      <c r="F145" s="7">
        <v>0.03</v>
      </c>
      <c r="G145" s="7">
        <v>0.36</v>
      </c>
      <c r="H145" s="7">
        <v>0.16</v>
      </c>
      <c r="I145" s="7">
        <v>0.04</v>
      </c>
      <c r="J145" s="7">
        <v>0.09</v>
      </c>
      <c r="K145" s="7">
        <v>0.82</v>
      </c>
      <c r="L145" s="7">
        <v>0.05</v>
      </c>
      <c r="M145" s="7">
        <v>7.0000000000000007E-2</v>
      </c>
      <c r="N145" s="7">
        <v>0.06</v>
      </c>
      <c r="O145" s="7">
        <v>0.01</v>
      </c>
      <c r="P145" s="7">
        <v>0.21</v>
      </c>
      <c r="Q145" s="7">
        <f>SUM(E145:P145)</f>
        <v>2.4499999999999997</v>
      </c>
    </row>
    <row r="146" spans="1:17" x14ac:dyDescent="0.2">
      <c r="B146" s="11"/>
      <c r="C146" s="2" t="s">
        <v>332</v>
      </c>
      <c r="E146" s="7">
        <v>34.97</v>
      </c>
      <c r="F146" s="7">
        <v>28.17</v>
      </c>
      <c r="G146" s="7">
        <v>79.11</v>
      </c>
      <c r="H146" s="7">
        <v>25.7</v>
      </c>
      <c r="I146" s="7">
        <v>61.41</v>
      </c>
      <c r="J146" s="7">
        <v>69.510000000000005</v>
      </c>
      <c r="K146" s="7">
        <v>40.32</v>
      </c>
      <c r="L146" s="7">
        <v>38.58</v>
      </c>
      <c r="M146" s="7">
        <v>34.18</v>
      </c>
      <c r="N146" s="7">
        <v>42.48</v>
      </c>
      <c r="O146" s="7">
        <v>29.03</v>
      </c>
      <c r="P146" s="7">
        <v>41.26</v>
      </c>
      <c r="Q146" s="7">
        <f>SUM(E146:P146)</f>
        <v>524.72</v>
      </c>
    </row>
    <row r="147" spans="1:17" x14ac:dyDescent="0.2">
      <c r="B147" s="11"/>
      <c r="C147" s="2" t="s">
        <v>450</v>
      </c>
      <c r="E147" s="7">
        <v>0.02</v>
      </c>
      <c r="F147" s="7">
        <v>0</v>
      </c>
      <c r="G147" s="7">
        <v>0</v>
      </c>
      <c r="H147" s="7">
        <v>0.02</v>
      </c>
      <c r="I147" s="7">
        <v>0</v>
      </c>
      <c r="J147" s="7">
        <v>0</v>
      </c>
      <c r="K147" s="7">
        <v>0</v>
      </c>
      <c r="L147" s="7">
        <v>0</v>
      </c>
      <c r="M147" s="7">
        <v>0</v>
      </c>
      <c r="N147" s="7">
        <v>0</v>
      </c>
      <c r="O147" s="7">
        <v>0</v>
      </c>
      <c r="P147" s="7">
        <v>0</v>
      </c>
      <c r="Q147" s="7">
        <f>SUM(E147:P147)</f>
        <v>0.04</v>
      </c>
    </row>
    <row r="148" spans="1:17" x14ac:dyDescent="0.2">
      <c r="B148" s="11"/>
      <c r="C148" s="2" t="s">
        <v>335</v>
      </c>
      <c r="E148" s="7">
        <v>0</v>
      </c>
      <c r="F148" s="7">
        <v>0</v>
      </c>
      <c r="G148" s="7">
        <v>0.03</v>
      </c>
      <c r="H148" s="7">
        <v>0.19</v>
      </c>
      <c r="I148" s="7">
        <v>0</v>
      </c>
      <c r="J148" s="7">
        <v>0</v>
      </c>
      <c r="K148" s="7">
        <v>0.2</v>
      </c>
      <c r="L148" s="7">
        <v>0.01</v>
      </c>
      <c r="M148" s="7">
        <v>0.04</v>
      </c>
      <c r="N148" s="7">
        <v>0.03</v>
      </c>
      <c r="O148" s="7">
        <v>0.01</v>
      </c>
      <c r="P148" s="7">
        <v>0.01</v>
      </c>
      <c r="Q148" s="7">
        <f>SUM(E148:P148)</f>
        <v>0.52</v>
      </c>
    </row>
    <row r="149" spans="1:17" x14ac:dyDescent="0.2">
      <c r="B149" s="11"/>
      <c r="E149" s="7"/>
      <c r="F149" s="7"/>
      <c r="G149" s="7"/>
      <c r="H149" s="7"/>
      <c r="I149" s="7"/>
      <c r="J149" s="7"/>
      <c r="K149" s="7"/>
      <c r="L149" s="7"/>
      <c r="M149" s="7"/>
      <c r="N149" s="7"/>
      <c r="O149" s="7"/>
      <c r="P149" s="7"/>
      <c r="Q149" s="7"/>
    </row>
    <row r="150" spans="1:17" s="4" customFormat="1" ht="15" x14ac:dyDescent="0.25">
      <c r="A150" s="3" t="s">
        <v>128</v>
      </c>
      <c r="E150" s="5">
        <f t="shared" ref="E150:Q150" si="24">SUM(E151:E153)</f>
        <v>27.02</v>
      </c>
      <c r="F150" s="5">
        <f t="shared" si="24"/>
        <v>23.189999999999998</v>
      </c>
      <c r="G150" s="5">
        <f t="shared" si="24"/>
        <v>27.04</v>
      </c>
      <c r="H150" s="5">
        <f t="shared" si="24"/>
        <v>17.93</v>
      </c>
      <c r="I150" s="5">
        <f t="shared" si="24"/>
        <v>21.259999999999998</v>
      </c>
      <c r="J150" s="5">
        <f t="shared" si="24"/>
        <v>13.84</v>
      </c>
      <c r="K150" s="5">
        <f t="shared" si="24"/>
        <v>22.439999999999998</v>
      </c>
      <c r="L150" s="5">
        <f t="shared" si="24"/>
        <v>12.790000000000001</v>
      </c>
      <c r="M150" s="5">
        <f t="shared" si="24"/>
        <v>21.57</v>
      </c>
      <c r="N150" s="5">
        <f t="shared" si="24"/>
        <v>21.27</v>
      </c>
      <c r="O150" s="5">
        <f t="shared" si="24"/>
        <v>17.38</v>
      </c>
      <c r="P150" s="5">
        <f t="shared" si="24"/>
        <v>13.71</v>
      </c>
      <c r="Q150" s="5">
        <f t="shared" si="24"/>
        <v>239.44</v>
      </c>
    </row>
    <row r="151" spans="1:17" x14ac:dyDescent="0.2">
      <c r="B151" s="11"/>
      <c r="C151" s="2" t="s">
        <v>336</v>
      </c>
      <c r="E151" s="7">
        <v>23.2</v>
      </c>
      <c r="F151" s="7">
        <v>19.47</v>
      </c>
      <c r="G151" s="7">
        <v>19.71</v>
      </c>
      <c r="H151" s="7">
        <v>16.52</v>
      </c>
      <c r="I151" s="7">
        <v>18.38</v>
      </c>
      <c r="J151" s="7">
        <v>11.11</v>
      </c>
      <c r="K151" s="7">
        <v>15.43</v>
      </c>
      <c r="L151" s="7">
        <v>9.81</v>
      </c>
      <c r="M151" s="7">
        <v>12.99</v>
      </c>
      <c r="N151" s="7">
        <v>11.99</v>
      </c>
      <c r="O151" s="7">
        <v>12.66</v>
      </c>
      <c r="P151" s="7">
        <v>9.9700000000000006</v>
      </c>
      <c r="Q151" s="7">
        <f>SUM(E151:P151)</f>
        <v>181.24</v>
      </c>
    </row>
    <row r="152" spans="1:17" x14ac:dyDescent="0.2">
      <c r="B152" s="11"/>
      <c r="C152" s="2" t="s">
        <v>338</v>
      </c>
      <c r="E152" s="7">
        <v>3.82</v>
      </c>
      <c r="F152" s="7">
        <v>3.72</v>
      </c>
      <c r="G152" s="7">
        <v>7.33</v>
      </c>
      <c r="H152" s="7">
        <v>1.41</v>
      </c>
      <c r="I152" s="7">
        <v>2.88</v>
      </c>
      <c r="J152" s="7">
        <v>2.73</v>
      </c>
      <c r="K152" s="7">
        <v>7.01</v>
      </c>
      <c r="L152" s="7">
        <v>2.98</v>
      </c>
      <c r="M152" s="7">
        <v>8.58</v>
      </c>
      <c r="N152" s="7">
        <v>9.2799999999999994</v>
      </c>
      <c r="O152" s="7">
        <v>4.72</v>
      </c>
      <c r="P152" s="7">
        <v>3.74</v>
      </c>
      <c r="Q152" s="7">
        <f>SUM(E152:P152)</f>
        <v>58.2</v>
      </c>
    </row>
    <row r="153" spans="1:17" x14ac:dyDescent="0.2">
      <c r="B153" s="11"/>
      <c r="C153" s="2" t="s">
        <v>340</v>
      </c>
      <c r="E153" s="7">
        <v>0</v>
      </c>
      <c r="F153" s="7">
        <v>0</v>
      </c>
      <c r="G153" s="7">
        <v>0</v>
      </c>
      <c r="H153" s="7">
        <v>0</v>
      </c>
      <c r="I153" s="7">
        <v>0</v>
      </c>
      <c r="J153" s="7">
        <v>0</v>
      </c>
      <c r="K153" s="7">
        <v>0</v>
      </c>
      <c r="L153" s="7">
        <v>0</v>
      </c>
      <c r="M153" s="7">
        <v>0</v>
      </c>
      <c r="N153" s="7">
        <v>0</v>
      </c>
      <c r="O153" s="7">
        <v>0</v>
      </c>
      <c r="P153" s="7">
        <v>0</v>
      </c>
      <c r="Q153" s="7">
        <f>SUM(E153:P153)</f>
        <v>0</v>
      </c>
    </row>
    <row r="154" spans="1:17" x14ac:dyDescent="0.2">
      <c r="E154" s="7"/>
      <c r="F154" s="7"/>
      <c r="G154" s="7"/>
      <c r="H154" s="7"/>
      <c r="I154" s="7"/>
      <c r="J154" s="7"/>
      <c r="K154" s="7"/>
      <c r="L154" s="7"/>
      <c r="M154" s="7"/>
      <c r="N154" s="7"/>
      <c r="O154" s="7"/>
      <c r="P154" s="7"/>
      <c r="Q154" s="7"/>
    </row>
    <row r="155" spans="1:17" s="4" customFormat="1" ht="15" x14ac:dyDescent="0.25">
      <c r="A155" s="3" t="s">
        <v>140</v>
      </c>
      <c r="E155" s="5">
        <f t="shared" ref="E155:P155" si="25">SUM(E156:E174)</f>
        <v>8.4000000000000021</v>
      </c>
      <c r="F155" s="5">
        <f t="shared" si="25"/>
        <v>6</v>
      </c>
      <c r="G155" s="5">
        <f t="shared" si="25"/>
        <v>11.1</v>
      </c>
      <c r="H155" s="5">
        <f t="shared" si="25"/>
        <v>3.3899999999999997</v>
      </c>
      <c r="I155" s="5">
        <f t="shared" si="25"/>
        <v>4.84</v>
      </c>
      <c r="J155" s="5">
        <f t="shared" si="25"/>
        <v>8.2799999999999994</v>
      </c>
      <c r="K155" s="5">
        <f t="shared" si="25"/>
        <v>7.6099999999999985</v>
      </c>
      <c r="L155" s="5">
        <f t="shared" si="25"/>
        <v>6.9499999999999993</v>
      </c>
      <c r="M155" s="5">
        <f t="shared" si="25"/>
        <v>7.2</v>
      </c>
      <c r="N155" s="5">
        <f t="shared" si="25"/>
        <v>21.919999999999995</v>
      </c>
      <c r="O155" s="5">
        <f t="shared" si="25"/>
        <v>6.12</v>
      </c>
      <c r="P155" s="5">
        <f t="shared" si="25"/>
        <v>5.2799999999999994</v>
      </c>
      <c r="Q155" s="5">
        <f>SUM(E155:P155)</f>
        <v>97.09</v>
      </c>
    </row>
    <row r="156" spans="1:17" x14ac:dyDescent="0.2">
      <c r="C156" s="2" t="s">
        <v>346</v>
      </c>
      <c r="E156" s="7">
        <v>1.64</v>
      </c>
      <c r="F156" s="7">
        <v>2.4700000000000002</v>
      </c>
      <c r="G156" s="7">
        <v>0.77</v>
      </c>
      <c r="H156" s="7">
        <v>1.1299999999999999</v>
      </c>
      <c r="I156" s="7">
        <v>1.0900000000000001</v>
      </c>
      <c r="J156" s="7">
        <v>0.85</v>
      </c>
      <c r="K156" s="7">
        <v>0.9</v>
      </c>
      <c r="L156" s="7">
        <v>0.74</v>
      </c>
      <c r="M156" s="7">
        <v>0.65</v>
      </c>
      <c r="N156" s="7">
        <v>1.1599999999999999</v>
      </c>
      <c r="O156" s="7">
        <v>0.52</v>
      </c>
      <c r="P156" s="7">
        <v>0.51</v>
      </c>
      <c r="Q156" s="7">
        <f t="shared" ref="Q156:Q174" si="26">SUM(E156:P156)</f>
        <v>12.43</v>
      </c>
    </row>
    <row r="157" spans="1:17" x14ac:dyDescent="0.2">
      <c r="B157" s="11"/>
      <c r="C157" s="2" t="s">
        <v>347</v>
      </c>
      <c r="E157" s="7">
        <v>0.35</v>
      </c>
      <c r="F157" s="7">
        <v>0</v>
      </c>
      <c r="G157" s="7">
        <v>0</v>
      </c>
      <c r="H157" s="7">
        <v>0</v>
      </c>
      <c r="I157" s="7">
        <v>0</v>
      </c>
      <c r="J157" s="7">
        <v>0</v>
      </c>
      <c r="K157" s="7">
        <v>0</v>
      </c>
      <c r="L157" s="7">
        <v>0</v>
      </c>
      <c r="M157" s="7">
        <v>0</v>
      </c>
      <c r="N157" s="7">
        <v>0</v>
      </c>
      <c r="O157" s="7">
        <v>0</v>
      </c>
      <c r="P157" s="7">
        <v>0</v>
      </c>
      <c r="Q157" s="7">
        <f t="shared" si="26"/>
        <v>0.35</v>
      </c>
    </row>
    <row r="158" spans="1:17" x14ac:dyDescent="0.2">
      <c r="B158" s="11"/>
      <c r="C158" s="2" t="s">
        <v>348</v>
      </c>
      <c r="E158" s="7">
        <v>0.06</v>
      </c>
      <c r="F158" s="7">
        <v>0.11</v>
      </c>
      <c r="G158" s="7">
        <v>0.24</v>
      </c>
      <c r="H158" s="7">
        <v>0.08</v>
      </c>
      <c r="I158" s="7">
        <v>0.1</v>
      </c>
      <c r="J158" s="7">
        <v>0.14000000000000001</v>
      </c>
      <c r="K158" s="7">
        <v>0.36</v>
      </c>
      <c r="L158" s="7">
        <v>0.1</v>
      </c>
      <c r="M158" s="7">
        <v>0.16</v>
      </c>
      <c r="N158" s="7">
        <v>0.25</v>
      </c>
      <c r="O158" s="7">
        <v>0.25</v>
      </c>
      <c r="P158" s="7">
        <v>0.08</v>
      </c>
      <c r="Q158" s="7">
        <f t="shared" si="26"/>
        <v>1.93</v>
      </c>
    </row>
    <row r="159" spans="1:17" x14ac:dyDescent="0.2">
      <c r="B159" s="11"/>
      <c r="C159" s="2" t="s">
        <v>349</v>
      </c>
      <c r="E159" s="7">
        <v>0.04</v>
      </c>
      <c r="F159" s="7">
        <v>0.14000000000000001</v>
      </c>
      <c r="G159" s="7">
        <v>0.12</v>
      </c>
      <c r="H159" s="7">
        <v>0.09</v>
      </c>
      <c r="I159" s="7">
        <v>0.18</v>
      </c>
      <c r="J159" s="7">
        <v>0.14000000000000001</v>
      </c>
      <c r="K159" s="7">
        <v>0.21</v>
      </c>
      <c r="L159" s="7">
        <v>0.13</v>
      </c>
      <c r="M159" s="7">
        <v>0.11</v>
      </c>
      <c r="N159" s="7">
        <v>0.11</v>
      </c>
      <c r="O159" s="7">
        <v>0.16</v>
      </c>
      <c r="P159" s="7">
        <v>0.05</v>
      </c>
      <c r="Q159" s="7">
        <f t="shared" si="26"/>
        <v>1.4800000000000002</v>
      </c>
    </row>
    <row r="160" spans="1:17" x14ac:dyDescent="0.2">
      <c r="B160" s="11"/>
      <c r="C160" s="2" t="s">
        <v>350</v>
      </c>
      <c r="E160" s="7">
        <v>1.0900000000000001</v>
      </c>
      <c r="F160" s="7">
        <v>0.48</v>
      </c>
      <c r="G160" s="7">
        <v>1.54</v>
      </c>
      <c r="H160" s="7">
        <v>0.35</v>
      </c>
      <c r="I160" s="7">
        <v>0.49</v>
      </c>
      <c r="J160" s="7">
        <v>1.25</v>
      </c>
      <c r="K160" s="7">
        <v>1.01</v>
      </c>
      <c r="L160" s="7">
        <v>1.06</v>
      </c>
      <c r="M160" s="7">
        <v>1.36</v>
      </c>
      <c r="N160" s="7">
        <v>0.99</v>
      </c>
      <c r="O160" s="7">
        <v>1.34</v>
      </c>
      <c r="P160" s="7">
        <v>0.87</v>
      </c>
      <c r="Q160" s="7">
        <f t="shared" si="26"/>
        <v>11.829999999999998</v>
      </c>
    </row>
    <row r="161" spans="1:17" x14ac:dyDescent="0.2">
      <c r="B161" s="11"/>
      <c r="C161" s="2" t="s">
        <v>351</v>
      </c>
      <c r="E161" s="7">
        <v>1.4</v>
      </c>
      <c r="F161" s="7">
        <v>1.01</v>
      </c>
      <c r="G161" s="7">
        <v>3.43</v>
      </c>
      <c r="H161" s="7">
        <v>0.8</v>
      </c>
      <c r="I161" s="7">
        <v>1.36</v>
      </c>
      <c r="J161" s="7">
        <v>3.39</v>
      </c>
      <c r="K161" s="7">
        <v>2.57</v>
      </c>
      <c r="L161" s="7">
        <v>2.5099999999999998</v>
      </c>
      <c r="M161" s="7">
        <v>2.21</v>
      </c>
      <c r="N161" s="7">
        <v>2.2999999999999998</v>
      </c>
      <c r="O161" s="7">
        <v>1.83</v>
      </c>
      <c r="P161" s="7">
        <v>1.87</v>
      </c>
      <c r="Q161" s="7">
        <f t="shared" si="26"/>
        <v>24.680000000000003</v>
      </c>
    </row>
    <row r="162" spans="1:17" x14ac:dyDescent="0.2">
      <c r="B162" s="11"/>
      <c r="C162" s="2" t="s">
        <v>352</v>
      </c>
      <c r="E162" s="7">
        <v>0</v>
      </c>
      <c r="F162" s="7">
        <v>0.01</v>
      </c>
      <c r="G162" s="7">
        <v>0.02</v>
      </c>
      <c r="H162" s="7">
        <v>0</v>
      </c>
      <c r="I162" s="7">
        <v>0</v>
      </c>
      <c r="J162" s="7">
        <v>0.01</v>
      </c>
      <c r="K162" s="7">
        <v>0</v>
      </c>
      <c r="L162" s="7">
        <v>0</v>
      </c>
      <c r="M162" s="7">
        <v>0.01</v>
      </c>
      <c r="N162" s="7">
        <v>0</v>
      </c>
      <c r="O162" s="7">
        <v>0</v>
      </c>
      <c r="P162" s="7">
        <v>0</v>
      </c>
      <c r="Q162" s="7">
        <f t="shared" si="26"/>
        <v>0.05</v>
      </c>
    </row>
    <row r="163" spans="1:17" x14ac:dyDescent="0.2">
      <c r="B163" s="11"/>
      <c r="C163" s="2" t="s">
        <v>425</v>
      </c>
      <c r="E163" s="7">
        <v>0</v>
      </c>
      <c r="F163" s="7">
        <v>0</v>
      </c>
      <c r="G163" s="7">
        <v>0.01</v>
      </c>
      <c r="H163" s="7">
        <v>0</v>
      </c>
      <c r="I163" s="7">
        <v>0</v>
      </c>
      <c r="J163" s="7">
        <v>0</v>
      </c>
      <c r="K163" s="7">
        <v>0</v>
      </c>
      <c r="L163" s="7">
        <v>0</v>
      </c>
      <c r="M163" s="7">
        <v>0</v>
      </c>
      <c r="N163" s="7">
        <v>0.02</v>
      </c>
      <c r="O163" s="7">
        <v>0</v>
      </c>
      <c r="P163" s="7">
        <v>0</v>
      </c>
      <c r="Q163" s="7">
        <f t="shared" si="26"/>
        <v>0.03</v>
      </c>
    </row>
    <row r="164" spans="1:17" x14ac:dyDescent="0.2">
      <c r="B164" s="11"/>
      <c r="C164" s="2" t="s">
        <v>353</v>
      </c>
      <c r="E164" s="7">
        <v>0.53</v>
      </c>
      <c r="F164" s="7">
        <v>0.15</v>
      </c>
      <c r="G164" s="7">
        <v>0.47</v>
      </c>
      <c r="H164" s="7">
        <v>0.09</v>
      </c>
      <c r="I164" s="7">
        <v>0.25</v>
      </c>
      <c r="J164" s="7">
        <v>0.27</v>
      </c>
      <c r="K164" s="7">
        <v>0.35</v>
      </c>
      <c r="L164" s="7">
        <v>0.3</v>
      </c>
      <c r="M164" s="7">
        <v>0.33</v>
      </c>
      <c r="N164" s="7">
        <v>11.8</v>
      </c>
      <c r="O164" s="7">
        <v>0.36</v>
      </c>
      <c r="P164" s="7">
        <v>0.17</v>
      </c>
      <c r="Q164" s="7">
        <f t="shared" si="26"/>
        <v>15.07</v>
      </c>
    </row>
    <row r="165" spans="1:17" x14ac:dyDescent="0.2">
      <c r="B165" s="11"/>
      <c r="C165" s="2" t="s">
        <v>585</v>
      </c>
      <c r="E165" s="7">
        <v>0</v>
      </c>
      <c r="F165" s="7">
        <v>0</v>
      </c>
      <c r="G165" s="7">
        <v>0</v>
      </c>
      <c r="H165" s="7">
        <v>0</v>
      </c>
      <c r="I165" s="7">
        <v>0</v>
      </c>
      <c r="J165" s="7">
        <v>0</v>
      </c>
      <c r="K165" s="7">
        <v>0.01</v>
      </c>
      <c r="L165" s="7">
        <v>0</v>
      </c>
      <c r="M165" s="7">
        <v>0</v>
      </c>
      <c r="N165" s="7">
        <v>0</v>
      </c>
      <c r="O165" s="7">
        <v>0</v>
      </c>
      <c r="P165" s="7">
        <v>0</v>
      </c>
      <c r="Q165" s="7">
        <f t="shared" si="26"/>
        <v>0.01</v>
      </c>
    </row>
    <row r="166" spans="1:17" x14ac:dyDescent="0.2">
      <c r="B166" s="11"/>
      <c r="C166" s="2" t="s">
        <v>586</v>
      </c>
      <c r="E166" s="7">
        <v>0</v>
      </c>
      <c r="F166" s="7">
        <v>0</v>
      </c>
      <c r="G166" s="7">
        <v>0</v>
      </c>
      <c r="H166" s="7">
        <v>0</v>
      </c>
      <c r="I166" s="7">
        <v>0.02</v>
      </c>
      <c r="J166" s="7">
        <v>0</v>
      </c>
      <c r="K166" s="7">
        <v>0</v>
      </c>
      <c r="L166" s="7">
        <v>0</v>
      </c>
      <c r="M166" s="7">
        <v>0</v>
      </c>
      <c r="N166" s="7">
        <v>0</v>
      </c>
      <c r="O166" s="7">
        <v>0</v>
      </c>
      <c r="P166" s="7">
        <v>0</v>
      </c>
      <c r="Q166" s="7">
        <f t="shared" si="26"/>
        <v>0.02</v>
      </c>
    </row>
    <row r="167" spans="1:17" x14ac:dyDescent="0.2">
      <c r="B167" s="11"/>
      <c r="C167" s="2" t="s">
        <v>587</v>
      </c>
      <c r="E167" s="7">
        <v>0</v>
      </c>
      <c r="F167" s="7">
        <v>0</v>
      </c>
      <c r="G167" s="7">
        <v>0</v>
      </c>
      <c r="H167" s="7">
        <v>0</v>
      </c>
      <c r="I167" s="7">
        <v>0</v>
      </c>
      <c r="J167" s="7">
        <v>0</v>
      </c>
      <c r="K167" s="7">
        <v>0</v>
      </c>
      <c r="L167" s="7">
        <v>0</v>
      </c>
      <c r="M167" s="7">
        <v>0</v>
      </c>
      <c r="N167" s="7">
        <v>0</v>
      </c>
      <c r="O167" s="7">
        <v>0</v>
      </c>
      <c r="P167" s="7">
        <v>0</v>
      </c>
      <c r="Q167" s="7">
        <f t="shared" si="26"/>
        <v>0</v>
      </c>
    </row>
    <row r="168" spans="1:17" x14ac:dyDescent="0.2">
      <c r="B168" s="11"/>
      <c r="C168" s="2" t="s">
        <v>588</v>
      </c>
      <c r="E168" s="7">
        <v>0.01</v>
      </c>
      <c r="F168" s="7">
        <v>0</v>
      </c>
      <c r="G168" s="7">
        <v>0</v>
      </c>
      <c r="H168" s="7">
        <v>0</v>
      </c>
      <c r="I168" s="7">
        <v>0</v>
      </c>
      <c r="J168" s="7">
        <v>0</v>
      </c>
      <c r="K168" s="7">
        <v>0.1</v>
      </c>
      <c r="L168" s="7">
        <v>0.1</v>
      </c>
      <c r="M168" s="7">
        <v>0.2</v>
      </c>
      <c r="N168" s="7">
        <v>2.29</v>
      </c>
      <c r="O168" s="7">
        <v>0</v>
      </c>
      <c r="P168" s="7">
        <v>0</v>
      </c>
      <c r="Q168" s="7">
        <f t="shared" si="26"/>
        <v>2.7</v>
      </c>
    </row>
    <row r="169" spans="1:17" x14ac:dyDescent="0.2">
      <c r="B169" s="11"/>
      <c r="C169" s="2" t="s">
        <v>589</v>
      </c>
      <c r="E169" s="7">
        <v>0.12</v>
      </c>
      <c r="F169" s="7">
        <v>0.02</v>
      </c>
      <c r="G169" s="7">
        <v>0.04</v>
      </c>
      <c r="H169" s="7">
        <v>0.01</v>
      </c>
      <c r="I169" s="7">
        <v>0.01</v>
      </c>
      <c r="J169" s="7">
        <v>0.04</v>
      </c>
      <c r="K169" s="7">
        <v>0.02</v>
      </c>
      <c r="L169" s="7">
        <v>0.01</v>
      </c>
      <c r="M169" s="7">
        <v>0.04</v>
      </c>
      <c r="N169" s="7">
        <v>0.02</v>
      </c>
      <c r="O169" s="7">
        <v>0.03</v>
      </c>
      <c r="P169" s="7">
        <v>0.03</v>
      </c>
      <c r="Q169" s="7">
        <f t="shared" si="26"/>
        <v>0.39</v>
      </c>
    </row>
    <row r="170" spans="1:17" x14ac:dyDescent="0.2">
      <c r="B170" s="11"/>
      <c r="C170" s="2" t="s">
        <v>355</v>
      </c>
      <c r="E170" s="7">
        <v>2.31</v>
      </c>
      <c r="F170" s="7">
        <v>1.27</v>
      </c>
      <c r="G170" s="7">
        <v>3.16</v>
      </c>
      <c r="H170" s="7">
        <v>0.7</v>
      </c>
      <c r="I170" s="7">
        <v>0.97</v>
      </c>
      <c r="J170" s="7">
        <v>1.56</v>
      </c>
      <c r="K170" s="7">
        <v>1.55</v>
      </c>
      <c r="L170" s="7">
        <v>1.37</v>
      </c>
      <c r="M170" s="7">
        <v>1.47</v>
      </c>
      <c r="N170" s="7">
        <v>1.78</v>
      </c>
      <c r="O170" s="7">
        <v>1.1000000000000001</v>
      </c>
      <c r="P170" s="7">
        <v>0.84</v>
      </c>
      <c r="Q170" s="7">
        <f t="shared" si="26"/>
        <v>18.080000000000002</v>
      </c>
    </row>
    <row r="171" spans="1:17" x14ac:dyDescent="0.2">
      <c r="B171" s="11"/>
      <c r="C171" s="2" t="s">
        <v>356</v>
      </c>
      <c r="E171" s="7">
        <v>0.23</v>
      </c>
      <c r="F171" s="7">
        <v>0.13</v>
      </c>
      <c r="G171" s="7">
        <v>0.31</v>
      </c>
      <c r="H171" s="7">
        <v>0.11</v>
      </c>
      <c r="I171" s="7">
        <v>0.19</v>
      </c>
      <c r="J171" s="7">
        <v>0.17</v>
      </c>
      <c r="K171" s="7">
        <v>0.25</v>
      </c>
      <c r="L171" s="7">
        <v>0.25</v>
      </c>
      <c r="M171" s="7">
        <v>0.2</v>
      </c>
      <c r="N171" s="7">
        <v>0.24</v>
      </c>
      <c r="O171" s="7">
        <v>0.15</v>
      </c>
      <c r="P171" s="7">
        <v>0.17</v>
      </c>
      <c r="Q171" s="7">
        <f t="shared" si="26"/>
        <v>2.4</v>
      </c>
    </row>
    <row r="172" spans="1:17" x14ac:dyDescent="0.2">
      <c r="B172" s="11"/>
      <c r="C172" s="2" t="s">
        <v>362</v>
      </c>
      <c r="E172" s="7">
        <v>0</v>
      </c>
      <c r="F172" s="7">
        <v>0</v>
      </c>
      <c r="G172" s="7">
        <v>0</v>
      </c>
      <c r="H172" s="7">
        <v>0</v>
      </c>
      <c r="I172" s="7">
        <v>0</v>
      </c>
      <c r="J172" s="7">
        <v>0</v>
      </c>
      <c r="K172" s="7">
        <v>0</v>
      </c>
      <c r="L172" s="7">
        <v>0</v>
      </c>
      <c r="M172" s="7">
        <v>0</v>
      </c>
      <c r="N172" s="7">
        <v>0.04</v>
      </c>
      <c r="O172" s="7">
        <v>0.01</v>
      </c>
      <c r="P172" s="7">
        <v>0</v>
      </c>
      <c r="Q172" s="7">
        <f t="shared" si="26"/>
        <v>0.05</v>
      </c>
    </row>
    <row r="173" spans="1:17" x14ac:dyDescent="0.2">
      <c r="B173" s="11"/>
      <c r="C173" s="2" t="s">
        <v>357</v>
      </c>
      <c r="E173" s="7">
        <v>0.03</v>
      </c>
      <c r="F173" s="7">
        <v>0</v>
      </c>
      <c r="G173" s="7">
        <v>7.0000000000000007E-2</v>
      </c>
      <c r="H173" s="7">
        <v>0</v>
      </c>
      <c r="I173" s="7">
        <v>0</v>
      </c>
      <c r="J173" s="7">
        <v>0</v>
      </c>
      <c r="K173" s="7">
        <v>0</v>
      </c>
      <c r="L173" s="7">
        <v>0.01</v>
      </c>
      <c r="M173" s="7">
        <v>0.04</v>
      </c>
      <c r="N173" s="7">
        <v>0.22</v>
      </c>
      <c r="O173" s="7">
        <v>0.25</v>
      </c>
      <c r="P173" s="7">
        <v>0.39</v>
      </c>
      <c r="Q173" s="7">
        <f t="shared" si="26"/>
        <v>1.01</v>
      </c>
    </row>
    <row r="174" spans="1:17" x14ac:dyDescent="0.2">
      <c r="B174" s="11"/>
      <c r="C174" s="2" t="s">
        <v>590</v>
      </c>
      <c r="E174" s="7">
        <v>0.59</v>
      </c>
      <c r="F174" s="7">
        <v>0.21</v>
      </c>
      <c r="G174" s="7">
        <v>0.92</v>
      </c>
      <c r="H174" s="7">
        <v>0.03</v>
      </c>
      <c r="I174" s="7">
        <v>0.18</v>
      </c>
      <c r="J174" s="7">
        <v>0.46</v>
      </c>
      <c r="K174" s="7">
        <v>0.28000000000000003</v>
      </c>
      <c r="L174" s="7">
        <v>0.37</v>
      </c>
      <c r="M174" s="7">
        <v>0.42</v>
      </c>
      <c r="N174" s="7">
        <v>0.7</v>
      </c>
      <c r="O174" s="7">
        <v>0.12</v>
      </c>
      <c r="P174" s="7">
        <v>0.3</v>
      </c>
      <c r="Q174" s="7">
        <f t="shared" si="26"/>
        <v>4.58</v>
      </c>
    </row>
    <row r="175" spans="1:17" x14ac:dyDescent="0.2">
      <c r="B175" s="11"/>
      <c r="E175" s="7"/>
      <c r="F175" s="7"/>
      <c r="G175" s="7"/>
      <c r="H175" s="7"/>
      <c r="I175" s="7"/>
      <c r="J175" s="7"/>
      <c r="K175" s="7"/>
      <c r="L175" s="7"/>
      <c r="M175" s="7"/>
      <c r="N175" s="7"/>
      <c r="O175" s="7"/>
      <c r="P175" s="7"/>
      <c r="Q175" s="7"/>
    </row>
    <row r="176" spans="1:17" s="4" customFormat="1" ht="15" x14ac:dyDescent="0.25">
      <c r="A176" s="3" t="s">
        <v>159</v>
      </c>
      <c r="D176" s="3"/>
      <c r="E176" s="5">
        <f t="shared" ref="E176:P176" si="27">SUM(E177:E178)</f>
        <v>1.4</v>
      </c>
      <c r="F176" s="5">
        <f t="shared" si="27"/>
        <v>0.84</v>
      </c>
      <c r="G176" s="5">
        <f t="shared" si="27"/>
        <v>2.19</v>
      </c>
      <c r="H176" s="5">
        <f t="shared" si="27"/>
        <v>1.22</v>
      </c>
      <c r="I176" s="5">
        <f t="shared" si="27"/>
        <v>1.1299999999999999</v>
      </c>
      <c r="J176" s="5">
        <f t="shared" si="27"/>
        <v>0.78</v>
      </c>
      <c r="K176" s="5">
        <f t="shared" si="27"/>
        <v>0.69</v>
      </c>
      <c r="L176" s="5">
        <f t="shared" si="27"/>
        <v>0.67</v>
      </c>
      <c r="M176" s="5">
        <f t="shared" si="27"/>
        <v>0.51</v>
      </c>
      <c r="N176" s="5">
        <f t="shared" si="27"/>
        <v>1.03</v>
      </c>
      <c r="O176" s="5">
        <f t="shared" si="27"/>
        <v>0.49</v>
      </c>
      <c r="P176" s="5">
        <f t="shared" si="27"/>
        <v>0.52</v>
      </c>
      <c r="Q176" s="5">
        <f>SUM(E176:P176)</f>
        <v>11.469999999999999</v>
      </c>
    </row>
    <row r="177" spans="1:17" x14ac:dyDescent="0.2">
      <c r="B177" s="11"/>
      <c r="C177" s="2" t="s">
        <v>363</v>
      </c>
      <c r="E177" s="7">
        <v>1.4</v>
      </c>
      <c r="F177" s="7">
        <v>0.84</v>
      </c>
      <c r="G177" s="7">
        <v>2.17</v>
      </c>
      <c r="H177" s="7">
        <v>1.22</v>
      </c>
      <c r="I177" s="7">
        <v>1.1299999999999999</v>
      </c>
      <c r="J177" s="7">
        <v>0.78</v>
      </c>
      <c r="K177" s="7">
        <v>0.69</v>
      </c>
      <c r="L177" s="7">
        <v>0.67</v>
      </c>
      <c r="M177" s="7">
        <v>0.51</v>
      </c>
      <c r="N177" s="7">
        <v>1.03</v>
      </c>
      <c r="O177" s="7">
        <v>0.49</v>
      </c>
      <c r="P177" s="7">
        <v>0.52</v>
      </c>
      <c r="Q177" s="7">
        <f>SUM(E177:P177)</f>
        <v>11.45</v>
      </c>
    </row>
    <row r="178" spans="1:17" x14ac:dyDescent="0.2">
      <c r="B178" s="11"/>
      <c r="C178" s="2" t="s">
        <v>591</v>
      </c>
      <c r="E178" s="7">
        <v>0</v>
      </c>
      <c r="F178" s="7">
        <v>0</v>
      </c>
      <c r="G178" s="7">
        <v>0.02</v>
      </c>
      <c r="H178" s="7">
        <v>0</v>
      </c>
      <c r="I178" s="7">
        <v>0</v>
      </c>
      <c r="J178" s="7">
        <v>0</v>
      </c>
      <c r="K178" s="7">
        <v>0</v>
      </c>
      <c r="L178" s="7">
        <v>0</v>
      </c>
      <c r="M178" s="7">
        <v>0</v>
      </c>
      <c r="N178" s="7">
        <v>0</v>
      </c>
      <c r="O178" s="7">
        <v>0</v>
      </c>
      <c r="P178" s="7">
        <v>0</v>
      </c>
      <c r="Q178" s="7">
        <f>SUM(E178:P178)</f>
        <v>0.02</v>
      </c>
    </row>
    <row r="179" spans="1:17" x14ac:dyDescent="0.2">
      <c r="B179" s="11"/>
      <c r="E179" s="7"/>
      <c r="F179" s="7"/>
      <c r="G179" s="7"/>
      <c r="H179" s="7"/>
      <c r="I179" s="7"/>
      <c r="J179" s="7"/>
      <c r="K179" s="7"/>
      <c r="L179" s="7"/>
      <c r="M179" s="7"/>
      <c r="N179" s="7"/>
      <c r="O179" s="7"/>
      <c r="P179" s="7"/>
      <c r="Q179" s="7"/>
    </row>
    <row r="180" spans="1:17" s="4" customFormat="1" ht="15" x14ac:dyDescent="0.25">
      <c r="A180" s="3" t="s">
        <v>161</v>
      </c>
      <c r="E180" s="5">
        <f t="shared" ref="E180:P180" si="28">SUM(E181:E183)</f>
        <v>5.24</v>
      </c>
      <c r="F180" s="5">
        <f t="shared" si="28"/>
        <v>1.8900000000000001</v>
      </c>
      <c r="G180" s="5">
        <f t="shared" si="28"/>
        <v>4.43</v>
      </c>
      <c r="H180" s="5">
        <f t="shared" si="28"/>
        <v>1.91</v>
      </c>
      <c r="I180" s="5">
        <f t="shared" si="28"/>
        <v>1.23</v>
      </c>
      <c r="J180" s="5">
        <f t="shared" si="28"/>
        <v>3.74</v>
      </c>
      <c r="K180" s="5">
        <f t="shared" si="28"/>
        <v>3.99</v>
      </c>
      <c r="L180" s="5">
        <f t="shared" si="28"/>
        <v>2.5</v>
      </c>
      <c r="M180" s="5">
        <f t="shared" si="28"/>
        <v>2.09</v>
      </c>
      <c r="N180" s="5">
        <f t="shared" si="28"/>
        <v>1.77</v>
      </c>
      <c r="O180" s="5">
        <f t="shared" si="28"/>
        <v>2.27</v>
      </c>
      <c r="P180" s="5">
        <f t="shared" si="28"/>
        <v>4.3900000000000006</v>
      </c>
      <c r="Q180" s="5">
        <f>SUM(E180:P180)</f>
        <v>35.450000000000003</v>
      </c>
    </row>
    <row r="181" spans="1:17" x14ac:dyDescent="0.2">
      <c r="B181" s="11"/>
      <c r="C181" s="2" t="s">
        <v>364</v>
      </c>
      <c r="E181" s="7">
        <v>0.49</v>
      </c>
      <c r="F181" s="7">
        <v>1.29</v>
      </c>
      <c r="G181" s="7">
        <v>1.03</v>
      </c>
      <c r="H181" s="7">
        <v>0.18</v>
      </c>
      <c r="I181" s="7">
        <v>0.19</v>
      </c>
      <c r="J181" s="7">
        <v>0.25</v>
      </c>
      <c r="K181" s="7">
        <v>0.2</v>
      </c>
      <c r="L181" s="7">
        <v>0.28000000000000003</v>
      </c>
      <c r="M181" s="7">
        <v>0.2</v>
      </c>
      <c r="N181" s="7">
        <v>0.21</v>
      </c>
      <c r="O181" s="7">
        <v>0.21</v>
      </c>
      <c r="P181" s="7">
        <v>0.28000000000000003</v>
      </c>
      <c r="Q181" s="7">
        <f>SUM(E181:P181)</f>
        <v>4.8100000000000005</v>
      </c>
    </row>
    <row r="182" spans="1:17" x14ac:dyDescent="0.2">
      <c r="B182" s="11"/>
      <c r="C182" s="2" t="s">
        <v>365</v>
      </c>
      <c r="E182" s="7">
        <v>0</v>
      </c>
      <c r="F182" s="7">
        <v>0</v>
      </c>
      <c r="G182" s="7">
        <v>0</v>
      </c>
      <c r="H182" s="7">
        <v>0</v>
      </c>
      <c r="I182" s="7">
        <v>0.03</v>
      </c>
      <c r="J182" s="7">
        <v>0</v>
      </c>
      <c r="K182" s="7">
        <v>0</v>
      </c>
      <c r="L182" s="7">
        <v>0</v>
      </c>
      <c r="M182" s="7">
        <v>0</v>
      </c>
      <c r="N182" s="7">
        <v>0.01</v>
      </c>
      <c r="O182" s="7">
        <v>0</v>
      </c>
      <c r="P182" s="7">
        <v>0</v>
      </c>
      <c r="Q182" s="7">
        <f>SUM(E182:P182)</f>
        <v>0.04</v>
      </c>
    </row>
    <row r="183" spans="1:17" x14ac:dyDescent="0.2">
      <c r="B183" s="11"/>
      <c r="C183" s="2" t="s">
        <v>366</v>
      </c>
      <c r="E183" s="7">
        <v>4.75</v>
      </c>
      <c r="F183" s="7">
        <v>0.6</v>
      </c>
      <c r="G183" s="7">
        <v>3.4</v>
      </c>
      <c r="H183" s="7">
        <v>1.73</v>
      </c>
      <c r="I183" s="7">
        <v>1.01</v>
      </c>
      <c r="J183" s="7">
        <v>3.49</v>
      </c>
      <c r="K183" s="7">
        <v>3.79</v>
      </c>
      <c r="L183" s="7">
        <v>2.2200000000000002</v>
      </c>
      <c r="M183" s="7">
        <v>1.89</v>
      </c>
      <c r="N183" s="7">
        <v>1.55</v>
      </c>
      <c r="O183" s="7">
        <v>2.06</v>
      </c>
      <c r="P183" s="7">
        <v>4.1100000000000003</v>
      </c>
      <c r="Q183" s="7">
        <f>SUM(E183:P183)</f>
        <v>30.599999999999998</v>
      </c>
    </row>
    <row r="184" spans="1:17" x14ac:dyDescent="0.2">
      <c r="B184" s="11"/>
      <c r="E184" s="7"/>
      <c r="F184" s="7"/>
      <c r="G184" s="7"/>
      <c r="H184" s="7"/>
      <c r="I184" s="7"/>
      <c r="J184" s="7"/>
      <c r="K184" s="7"/>
      <c r="L184" s="7"/>
      <c r="M184" s="7"/>
      <c r="N184" s="7"/>
      <c r="O184" s="7"/>
      <c r="P184" s="7"/>
      <c r="Q184" s="7"/>
    </row>
    <row r="185" spans="1:17" s="4" customFormat="1" ht="15" x14ac:dyDescent="0.25">
      <c r="A185" s="3" t="s">
        <v>166</v>
      </c>
      <c r="E185" s="5">
        <f t="shared" ref="E185:P185" si="29">SUM(E186:E200)</f>
        <v>19.98</v>
      </c>
      <c r="F185" s="5">
        <f t="shared" si="29"/>
        <v>12.51</v>
      </c>
      <c r="G185" s="5">
        <f t="shared" si="29"/>
        <v>24.91</v>
      </c>
      <c r="H185" s="5">
        <f t="shared" si="29"/>
        <v>12.47</v>
      </c>
      <c r="I185" s="5">
        <f t="shared" si="29"/>
        <v>18.060000000000002</v>
      </c>
      <c r="J185" s="5">
        <f t="shared" si="29"/>
        <v>16.34</v>
      </c>
      <c r="K185" s="5">
        <f t="shared" si="29"/>
        <v>18.189999999999998</v>
      </c>
      <c r="L185" s="5">
        <f t="shared" si="29"/>
        <v>15.659999999999998</v>
      </c>
      <c r="M185" s="5">
        <f t="shared" si="29"/>
        <v>17.22</v>
      </c>
      <c r="N185" s="5">
        <f t="shared" si="29"/>
        <v>17.7</v>
      </c>
      <c r="O185" s="5">
        <f t="shared" si="29"/>
        <v>14.01</v>
      </c>
      <c r="P185" s="5">
        <f t="shared" si="29"/>
        <v>13.67</v>
      </c>
      <c r="Q185" s="5">
        <f>SUM(E185:P185)</f>
        <v>200.71999999999997</v>
      </c>
    </row>
    <row r="186" spans="1:17" x14ac:dyDescent="0.2">
      <c r="C186" s="2" t="s">
        <v>367</v>
      </c>
      <c r="E186" s="7">
        <v>15.55</v>
      </c>
      <c r="F186" s="7">
        <v>10.85</v>
      </c>
      <c r="G186" s="7">
        <v>19.55</v>
      </c>
      <c r="H186" s="7">
        <v>9.91</v>
      </c>
      <c r="I186" s="7">
        <v>14.44</v>
      </c>
      <c r="J186" s="7">
        <v>13.17</v>
      </c>
      <c r="K186" s="7">
        <v>15.59</v>
      </c>
      <c r="L186" s="7">
        <v>13.18</v>
      </c>
      <c r="M186" s="7">
        <v>14.24</v>
      </c>
      <c r="N186" s="7">
        <v>14.32</v>
      </c>
      <c r="O186" s="7">
        <v>11.14</v>
      </c>
      <c r="P186" s="7">
        <v>10.87</v>
      </c>
      <c r="Q186" s="7">
        <f t="shared" ref="Q186:Q200" si="30">SUM(E186:P186)</f>
        <v>162.81</v>
      </c>
    </row>
    <row r="187" spans="1:17" x14ac:dyDescent="0.2">
      <c r="B187" s="11"/>
      <c r="C187" s="2" t="s">
        <v>368</v>
      </c>
      <c r="E187" s="7">
        <v>2.48</v>
      </c>
      <c r="F187" s="7">
        <v>1.57</v>
      </c>
      <c r="G187" s="7">
        <v>5.21</v>
      </c>
      <c r="H187" s="7">
        <v>2.37</v>
      </c>
      <c r="I187" s="7">
        <v>3.22</v>
      </c>
      <c r="J187" s="7">
        <v>2.58</v>
      </c>
      <c r="K187" s="7">
        <v>2.4900000000000002</v>
      </c>
      <c r="L187" s="7">
        <v>2.1800000000000002</v>
      </c>
      <c r="M187" s="7">
        <v>2.48</v>
      </c>
      <c r="N187" s="7">
        <v>2.83</v>
      </c>
      <c r="O187" s="7">
        <v>2.35</v>
      </c>
      <c r="P187" s="7">
        <v>1.79</v>
      </c>
      <c r="Q187" s="7">
        <f t="shared" si="30"/>
        <v>31.550000000000004</v>
      </c>
    </row>
    <row r="188" spans="1:17" x14ac:dyDescent="0.2">
      <c r="B188" s="11"/>
      <c r="C188" s="2" t="s">
        <v>592</v>
      </c>
      <c r="E188" s="7">
        <v>0</v>
      </c>
      <c r="F188" s="7">
        <v>0</v>
      </c>
      <c r="G188" s="7">
        <v>0</v>
      </c>
      <c r="H188" s="7">
        <v>0</v>
      </c>
      <c r="I188" s="7">
        <v>0</v>
      </c>
      <c r="J188" s="7">
        <v>0</v>
      </c>
      <c r="K188" s="7">
        <v>0</v>
      </c>
      <c r="L188" s="7">
        <v>0</v>
      </c>
      <c r="M188" s="7">
        <v>0</v>
      </c>
      <c r="N188" s="7">
        <v>0</v>
      </c>
      <c r="O188" s="7">
        <v>0</v>
      </c>
      <c r="P188" s="7">
        <v>0</v>
      </c>
      <c r="Q188" s="7">
        <f t="shared" si="30"/>
        <v>0</v>
      </c>
    </row>
    <row r="189" spans="1:17" x14ac:dyDescent="0.2">
      <c r="B189" s="11"/>
      <c r="C189" s="2" t="s">
        <v>593</v>
      </c>
      <c r="E189" s="7">
        <v>0</v>
      </c>
      <c r="F189" s="7">
        <v>0</v>
      </c>
      <c r="G189" s="7">
        <v>0</v>
      </c>
      <c r="H189" s="7">
        <v>0</v>
      </c>
      <c r="I189" s="7">
        <v>0</v>
      </c>
      <c r="J189" s="7">
        <v>0</v>
      </c>
      <c r="K189" s="7">
        <v>0</v>
      </c>
      <c r="L189" s="7">
        <v>0</v>
      </c>
      <c r="M189" s="7">
        <v>0</v>
      </c>
      <c r="N189" s="7">
        <v>0</v>
      </c>
      <c r="O189" s="7">
        <v>0</v>
      </c>
      <c r="P189" s="7">
        <v>0</v>
      </c>
      <c r="Q189" s="7">
        <f t="shared" si="30"/>
        <v>0</v>
      </c>
    </row>
    <row r="190" spans="1:17" x14ac:dyDescent="0.2">
      <c r="B190" s="11"/>
      <c r="C190" s="2" t="s">
        <v>369</v>
      </c>
      <c r="E190" s="7">
        <v>0.13</v>
      </c>
      <c r="F190" s="7">
        <v>0.09</v>
      </c>
      <c r="G190" s="7">
        <v>0.06</v>
      </c>
      <c r="H190" s="7">
        <v>0.1</v>
      </c>
      <c r="I190" s="7">
        <v>0.05</v>
      </c>
      <c r="J190" s="7">
        <v>0.04</v>
      </c>
      <c r="K190" s="7">
        <v>7.0000000000000007E-2</v>
      </c>
      <c r="L190" s="7">
        <v>0.04</v>
      </c>
      <c r="M190" s="7">
        <v>0.04</v>
      </c>
      <c r="N190" s="7">
        <v>0.04</v>
      </c>
      <c r="O190" s="7">
        <v>0.02</v>
      </c>
      <c r="P190" s="7">
        <v>0.04</v>
      </c>
      <c r="Q190" s="7">
        <f t="shared" si="30"/>
        <v>0.7200000000000002</v>
      </c>
    </row>
    <row r="191" spans="1:17" x14ac:dyDescent="0.2">
      <c r="B191" s="11"/>
      <c r="C191" s="2" t="s">
        <v>594</v>
      </c>
      <c r="E191" s="7">
        <v>0</v>
      </c>
      <c r="F191" s="7">
        <v>0</v>
      </c>
      <c r="G191" s="7">
        <v>0</v>
      </c>
      <c r="H191" s="7">
        <v>0</v>
      </c>
      <c r="I191" s="7">
        <v>0</v>
      </c>
      <c r="J191" s="7">
        <v>0</v>
      </c>
      <c r="K191" s="7">
        <v>0</v>
      </c>
      <c r="L191" s="7">
        <v>0</v>
      </c>
      <c r="M191" s="7">
        <v>0</v>
      </c>
      <c r="N191" s="7">
        <v>0</v>
      </c>
      <c r="O191" s="7">
        <v>0</v>
      </c>
      <c r="P191" s="7">
        <v>0</v>
      </c>
      <c r="Q191" s="7">
        <f t="shared" si="30"/>
        <v>0</v>
      </c>
    </row>
    <row r="192" spans="1:17" x14ac:dyDescent="0.2">
      <c r="B192" s="11"/>
      <c r="C192" s="2" t="s">
        <v>595</v>
      </c>
      <c r="E192" s="7">
        <v>0</v>
      </c>
      <c r="F192" s="7">
        <v>0</v>
      </c>
      <c r="G192" s="7">
        <v>0</v>
      </c>
      <c r="H192" s="7">
        <v>0</v>
      </c>
      <c r="I192" s="7">
        <v>0</v>
      </c>
      <c r="J192" s="7">
        <v>0</v>
      </c>
      <c r="K192" s="7">
        <v>0</v>
      </c>
      <c r="L192" s="7">
        <v>0</v>
      </c>
      <c r="M192" s="7">
        <v>0</v>
      </c>
      <c r="N192" s="7">
        <v>0</v>
      </c>
      <c r="O192" s="7">
        <v>0</v>
      </c>
      <c r="P192" s="7">
        <v>0</v>
      </c>
      <c r="Q192" s="7">
        <f t="shared" si="30"/>
        <v>0</v>
      </c>
    </row>
    <row r="193" spans="1:17" x14ac:dyDescent="0.2">
      <c r="B193" s="11"/>
      <c r="C193" s="2" t="s">
        <v>370</v>
      </c>
      <c r="E193" s="7">
        <v>0</v>
      </c>
      <c r="F193" s="7">
        <v>0</v>
      </c>
      <c r="G193" s="7">
        <v>0</v>
      </c>
      <c r="H193" s="7">
        <v>0</v>
      </c>
      <c r="I193" s="7">
        <v>0</v>
      </c>
      <c r="J193" s="7">
        <v>0</v>
      </c>
      <c r="K193" s="7">
        <v>0</v>
      </c>
      <c r="L193" s="7">
        <v>0</v>
      </c>
      <c r="M193" s="7">
        <v>0</v>
      </c>
      <c r="N193" s="7">
        <v>0</v>
      </c>
      <c r="O193" s="7">
        <v>0</v>
      </c>
      <c r="P193" s="7">
        <v>0</v>
      </c>
      <c r="Q193" s="7">
        <f t="shared" si="30"/>
        <v>0</v>
      </c>
    </row>
    <row r="194" spans="1:17" x14ac:dyDescent="0.2">
      <c r="B194" s="11"/>
      <c r="C194" s="2" t="s">
        <v>596</v>
      </c>
      <c r="E194" s="7">
        <v>0</v>
      </c>
      <c r="F194" s="7">
        <v>0</v>
      </c>
      <c r="G194" s="7">
        <v>0</v>
      </c>
      <c r="H194" s="7">
        <v>0</v>
      </c>
      <c r="I194" s="7">
        <v>0</v>
      </c>
      <c r="J194" s="7">
        <v>0</v>
      </c>
      <c r="K194" s="7">
        <v>0</v>
      </c>
      <c r="L194" s="7">
        <v>0</v>
      </c>
      <c r="M194" s="7">
        <v>0</v>
      </c>
      <c r="N194" s="7">
        <v>0</v>
      </c>
      <c r="O194" s="7">
        <v>0</v>
      </c>
      <c r="P194" s="7">
        <v>0</v>
      </c>
      <c r="Q194" s="7">
        <f t="shared" si="30"/>
        <v>0</v>
      </c>
    </row>
    <row r="195" spans="1:17" x14ac:dyDescent="0.2">
      <c r="B195" s="11"/>
      <c r="C195" s="2" t="s">
        <v>597</v>
      </c>
      <c r="E195" s="7">
        <v>0</v>
      </c>
      <c r="F195" s="7">
        <v>0</v>
      </c>
      <c r="G195" s="7">
        <v>0</v>
      </c>
      <c r="H195" s="7">
        <v>0</v>
      </c>
      <c r="I195" s="7">
        <v>0</v>
      </c>
      <c r="J195" s="7">
        <v>0</v>
      </c>
      <c r="K195" s="7">
        <v>0</v>
      </c>
      <c r="L195" s="7">
        <v>0</v>
      </c>
      <c r="M195" s="7">
        <v>0</v>
      </c>
      <c r="N195" s="7">
        <v>0</v>
      </c>
      <c r="O195" s="7">
        <v>0</v>
      </c>
      <c r="P195" s="7">
        <v>0</v>
      </c>
      <c r="Q195" s="7">
        <f t="shared" si="30"/>
        <v>0</v>
      </c>
    </row>
    <row r="196" spans="1:17" x14ac:dyDescent="0.2">
      <c r="B196" s="11"/>
      <c r="C196" s="2" t="s">
        <v>372</v>
      </c>
      <c r="E196" s="7">
        <v>1.82</v>
      </c>
      <c r="F196" s="7">
        <v>0</v>
      </c>
      <c r="G196" s="7">
        <v>0.09</v>
      </c>
      <c r="H196" s="7">
        <v>0.09</v>
      </c>
      <c r="I196" s="7">
        <v>0.35</v>
      </c>
      <c r="J196" s="7">
        <v>0.55000000000000004</v>
      </c>
      <c r="K196" s="7">
        <v>0.04</v>
      </c>
      <c r="L196" s="7">
        <v>0.25</v>
      </c>
      <c r="M196" s="7">
        <v>0.46</v>
      </c>
      <c r="N196" s="7">
        <v>0.51</v>
      </c>
      <c r="O196" s="7">
        <v>0.5</v>
      </c>
      <c r="P196" s="7">
        <v>0.97</v>
      </c>
      <c r="Q196" s="7">
        <f t="shared" si="30"/>
        <v>5.63</v>
      </c>
    </row>
    <row r="197" spans="1:17" x14ac:dyDescent="0.2">
      <c r="B197" s="11"/>
      <c r="C197" s="2" t="s">
        <v>598</v>
      </c>
      <c r="E197" s="7">
        <v>0</v>
      </c>
      <c r="F197" s="7">
        <v>0</v>
      </c>
      <c r="G197" s="7">
        <v>0</v>
      </c>
      <c r="H197" s="7">
        <v>0</v>
      </c>
      <c r="I197" s="7">
        <v>0</v>
      </c>
      <c r="J197" s="7">
        <v>0</v>
      </c>
      <c r="K197" s="7">
        <v>0</v>
      </c>
      <c r="L197" s="7">
        <v>0.01</v>
      </c>
      <c r="M197" s="7">
        <v>0</v>
      </c>
      <c r="N197" s="7">
        <v>0</v>
      </c>
      <c r="O197" s="7">
        <v>0</v>
      </c>
      <c r="P197" s="7">
        <v>0</v>
      </c>
      <c r="Q197" s="7">
        <f t="shared" si="30"/>
        <v>0.01</v>
      </c>
    </row>
    <row r="198" spans="1:17" x14ac:dyDescent="0.2">
      <c r="B198" s="11"/>
      <c r="C198" s="2" t="s">
        <v>599</v>
      </c>
      <c r="E198" s="7">
        <v>0</v>
      </c>
      <c r="F198" s="7">
        <v>0</v>
      </c>
      <c r="G198" s="7">
        <v>0</v>
      </c>
      <c r="H198" s="7">
        <v>0</v>
      </c>
      <c r="I198" s="7">
        <v>0</v>
      </c>
      <c r="J198" s="7">
        <v>0</v>
      </c>
      <c r="K198" s="7">
        <v>0</v>
      </c>
      <c r="L198" s="7">
        <v>0</v>
      </c>
      <c r="M198" s="7">
        <v>0</v>
      </c>
      <c r="N198" s="7">
        <v>0</v>
      </c>
      <c r="O198" s="7">
        <v>0</v>
      </c>
      <c r="P198" s="7">
        <v>0</v>
      </c>
      <c r="Q198" s="7">
        <f t="shared" si="30"/>
        <v>0</v>
      </c>
    </row>
    <row r="199" spans="1:17" x14ac:dyDescent="0.2">
      <c r="B199" s="11"/>
      <c r="C199" s="2" t="s">
        <v>600</v>
      </c>
      <c r="E199" s="7">
        <v>0</v>
      </c>
      <c r="F199" s="7">
        <v>0</v>
      </c>
      <c r="G199" s="7">
        <v>0</v>
      </c>
      <c r="H199" s="7">
        <v>0</v>
      </c>
      <c r="I199" s="7">
        <v>0</v>
      </c>
      <c r="J199" s="7">
        <v>0</v>
      </c>
      <c r="K199" s="7">
        <v>0</v>
      </c>
      <c r="L199" s="7">
        <v>0</v>
      </c>
      <c r="M199" s="7">
        <v>0</v>
      </c>
      <c r="N199" s="7">
        <v>0</v>
      </c>
      <c r="O199" s="7">
        <v>0</v>
      </c>
      <c r="P199" s="7">
        <v>0</v>
      </c>
      <c r="Q199" s="7">
        <f t="shared" si="30"/>
        <v>0</v>
      </c>
    </row>
    <row r="200" spans="1:17" x14ac:dyDescent="0.2">
      <c r="B200" s="11"/>
      <c r="C200" s="2" t="s">
        <v>601</v>
      </c>
      <c r="E200" s="7">
        <v>0</v>
      </c>
      <c r="F200" s="7">
        <v>0</v>
      </c>
      <c r="G200" s="7">
        <v>0</v>
      </c>
      <c r="H200" s="7">
        <v>0</v>
      </c>
      <c r="I200" s="7">
        <v>0</v>
      </c>
      <c r="J200" s="7">
        <v>0</v>
      </c>
      <c r="K200" s="7">
        <v>0</v>
      </c>
      <c r="L200" s="7">
        <v>0</v>
      </c>
      <c r="M200" s="7">
        <v>0</v>
      </c>
      <c r="N200" s="7">
        <v>0</v>
      </c>
      <c r="O200" s="7">
        <v>0</v>
      </c>
      <c r="P200" s="7">
        <v>0</v>
      </c>
      <c r="Q200" s="7">
        <f t="shared" si="30"/>
        <v>0</v>
      </c>
    </row>
    <row r="201" spans="1:17" x14ac:dyDescent="0.2">
      <c r="B201" s="11"/>
      <c r="E201" s="7"/>
      <c r="F201" s="7"/>
      <c r="G201" s="7"/>
      <c r="H201" s="7"/>
      <c r="I201" s="7"/>
      <c r="J201" s="7"/>
      <c r="K201" s="7"/>
      <c r="L201" s="7"/>
      <c r="M201" s="7"/>
      <c r="N201" s="7"/>
      <c r="O201" s="7"/>
      <c r="P201" s="7"/>
      <c r="Q201" s="7"/>
    </row>
    <row r="202" spans="1:17" s="4" customFormat="1" ht="15" x14ac:dyDescent="0.25">
      <c r="A202" s="3" t="s">
        <v>174</v>
      </c>
      <c r="D202" s="3"/>
      <c r="E202" s="5">
        <f t="shared" ref="E202:P202" si="31">SUM(E203:E210)</f>
        <v>291.73</v>
      </c>
      <c r="F202" s="5">
        <f t="shared" si="31"/>
        <v>232.6</v>
      </c>
      <c r="G202" s="5">
        <f t="shared" si="31"/>
        <v>374.72999999999996</v>
      </c>
      <c r="H202" s="5">
        <f t="shared" si="31"/>
        <v>248.49</v>
      </c>
      <c r="I202" s="5">
        <f t="shared" si="31"/>
        <v>311.34999999999997</v>
      </c>
      <c r="J202" s="5">
        <f t="shared" si="31"/>
        <v>337.27000000000004</v>
      </c>
      <c r="K202" s="5">
        <f t="shared" si="31"/>
        <v>353.06</v>
      </c>
      <c r="L202" s="5">
        <f t="shared" si="31"/>
        <v>280.21000000000004</v>
      </c>
      <c r="M202" s="5">
        <f t="shared" si="31"/>
        <v>336.15</v>
      </c>
      <c r="N202" s="5">
        <f t="shared" si="31"/>
        <v>335.37</v>
      </c>
      <c r="O202" s="5">
        <f t="shared" si="31"/>
        <v>254.60000000000002</v>
      </c>
      <c r="P202" s="5">
        <f t="shared" si="31"/>
        <v>225.5</v>
      </c>
      <c r="Q202" s="5">
        <f>SUM(E202:P202)</f>
        <v>3581.06</v>
      </c>
    </row>
    <row r="203" spans="1:17" x14ac:dyDescent="0.2">
      <c r="C203" s="2" t="s">
        <v>373</v>
      </c>
      <c r="E203" s="7">
        <v>25.22</v>
      </c>
      <c r="F203" s="7">
        <v>16.68</v>
      </c>
      <c r="G203" s="7">
        <v>20.27</v>
      </c>
      <c r="H203" s="7">
        <v>24.76</v>
      </c>
      <c r="I203" s="7">
        <v>27.44</v>
      </c>
      <c r="J203" s="7">
        <v>34.93</v>
      </c>
      <c r="K203" s="7">
        <v>34.89</v>
      </c>
      <c r="L203" s="7">
        <v>27.19</v>
      </c>
      <c r="M203" s="7">
        <v>33.880000000000003</v>
      </c>
      <c r="N203" s="7">
        <v>30.26</v>
      </c>
      <c r="O203" s="7">
        <v>27.19</v>
      </c>
      <c r="P203" s="7">
        <v>21.22</v>
      </c>
      <c r="Q203" s="7">
        <f t="shared" ref="Q203:Q210" si="32">SUM(E203:P203)</f>
        <v>323.92999999999995</v>
      </c>
    </row>
    <row r="204" spans="1:17" x14ac:dyDescent="0.2">
      <c r="C204" s="2" t="s">
        <v>602</v>
      </c>
      <c r="E204" s="7">
        <v>0</v>
      </c>
      <c r="F204" s="7">
        <v>0.02</v>
      </c>
      <c r="G204" s="7">
        <v>0</v>
      </c>
      <c r="H204" s="7">
        <v>0</v>
      </c>
      <c r="I204" s="7">
        <v>0</v>
      </c>
      <c r="J204" s="7">
        <v>0</v>
      </c>
      <c r="K204" s="7">
        <v>0</v>
      </c>
      <c r="L204" s="7">
        <v>0</v>
      </c>
      <c r="M204" s="7">
        <v>0</v>
      </c>
      <c r="N204" s="7">
        <v>0</v>
      </c>
      <c r="O204" s="7">
        <v>0</v>
      </c>
      <c r="P204" s="7">
        <v>0</v>
      </c>
      <c r="Q204" s="7">
        <f t="shared" si="32"/>
        <v>0.02</v>
      </c>
    </row>
    <row r="205" spans="1:17" x14ac:dyDescent="0.2">
      <c r="B205" s="11"/>
      <c r="C205" s="2" t="s">
        <v>377</v>
      </c>
      <c r="E205" s="7">
        <v>0</v>
      </c>
      <c r="F205" s="7">
        <v>0</v>
      </c>
      <c r="G205" s="7">
        <v>0</v>
      </c>
      <c r="H205" s="7">
        <v>0.01</v>
      </c>
      <c r="I205" s="7">
        <v>0</v>
      </c>
      <c r="J205" s="7">
        <v>0</v>
      </c>
      <c r="K205" s="7">
        <v>0.06</v>
      </c>
      <c r="L205" s="7">
        <v>0</v>
      </c>
      <c r="M205" s="7">
        <v>0</v>
      </c>
      <c r="N205" s="7">
        <v>0</v>
      </c>
      <c r="O205" s="7">
        <v>0</v>
      </c>
      <c r="P205" s="7">
        <v>0</v>
      </c>
      <c r="Q205" s="7">
        <f t="shared" si="32"/>
        <v>6.9999999999999993E-2</v>
      </c>
    </row>
    <row r="206" spans="1:17" x14ac:dyDescent="0.2">
      <c r="B206" s="11"/>
      <c r="C206" s="2" t="s">
        <v>374</v>
      </c>
      <c r="E206" s="7">
        <v>4.01</v>
      </c>
      <c r="F206" s="7">
        <v>2.1</v>
      </c>
      <c r="G206" s="7">
        <v>6.82</v>
      </c>
      <c r="H206" s="7">
        <v>2.27</v>
      </c>
      <c r="I206" s="7">
        <v>2.4500000000000002</v>
      </c>
      <c r="J206" s="7">
        <v>4.4000000000000004</v>
      </c>
      <c r="K206" s="7">
        <v>6.52</v>
      </c>
      <c r="L206" s="7">
        <v>5.14</v>
      </c>
      <c r="M206" s="7">
        <v>4.83</v>
      </c>
      <c r="N206" s="7">
        <v>3.98</v>
      </c>
      <c r="O206" s="7">
        <v>3.23</v>
      </c>
      <c r="P206" s="7">
        <v>4.04</v>
      </c>
      <c r="Q206" s="7">
        <f t="shared" si="32"/>
        <v>49.789999999999985</v>
      </c>
    </row>
    <row r="207" spans="1:17" x14ac:dyDescent="0.2">
      <c r="B207" s="11"/>
      <c r="C207" s="2" t="s">
        <v>375</v>
      </c>
      <c r="E207" s="7">
        <v>40.81</v>
      </c>
      <c r="F207" s="7">
        <v>33.5</v>
      </c>
      <c r="G207" s="7">
        <v>56.69</v>
      </c>
      <c r="H207" s="7">
        <v>33.08</v>
      </c>
      <c r="I207" s="7">
        <v>47.43</v>
      </c>
      <c r="J207" s="7">
        <v>43.89</v>
      </c>
      <c r="K207" s="7">
        <v>49.28</v>
      </c>
      <c r="L207" s="7">
        <v>38.19</v>
      </c>
      <c r="M207" s="7">
        <v>54.1</v>
      </c>
      <c r="N207" s="7">
        <v>63.19</v>
      </c>
      <c r="O207" s="7">
        <v>30.17</v>
      </c>
      <c r="P207" s="7">
        <v>30.34</v>
      </c>
      <c r="Q207" s="7">
        <f t="shared" si="32"/>
        <v>520.66999999999996</v>
      </c>
    </row>
    <row r="208" spans="1:17" x14ac:dyDescent="0.2">
      <c r="B208" s="11"/>
      <c r="C208" s="2" t="s">
        <v>376</v>
      </c>
      <c r="E208" s="7">
        <v>190.07</v>
      </c>
      <c r="F208" s="7">
        <v>157.77000000000001</v>
      </c>
      <c r="G208" s="7">
        <v>243.87</v>
      </c>
      <c r="H208" s="7">
        <v>161.86000000000001</v>
      </c>
      <c r="I208" s="7">
        <v>199.32</v>
      </c>
      <c r="J208" s="7">
        <v>217.88</v>
      </c>
      <c r="K208" s="7">
        <v>215.32</v>
      </c>
      <c r="L208" s="7">
        <v>176.1</v>
      </c>
      <c r="M208" s="7">
        <v>207.82</v>
      </c>
      <c r="N208" s="7">
        <v>200.24</v>
      </c>
      <c r="O208" s="7">
        <v>159.43</v>
      </c>
      <c r="P208" s="7">
        <v>141.02000000000001</v>
      </c>
      <c r="Q208" s="7">
        <f t="shared" si="32"/>
        <v>2270.6999999999998</v>
      </c>
    </row>
    <row r="209" spans="1:17" x14ac:dyDescent="0.2">
      <c r="B209" s="11"/>
      <c r="C209" s="2" t="s">
        <v>378</v>
      </c>
      <c r="E209" s="7">
        <v>31.62</v>
      </c>
      <c r="F209" s="7">
        <v>22.48</v>
      </c>
      <c r="G209" s="7">
        <v>47.07</v>
      </c>
      <c r="H209" s="7">
        <v>26.51</v>
      </c>
      <c r="I209" s="7">
        <v>34.71</v>
      </c>
      <c r="J209" s="7">
        <v>36.17</v>
      </c>
      <c r="K209" s="7">
        <v>46.99</v>
      </c>
      <c r="L209" s="7">
        <v>33.590000000000003</v>
      </c>
      <c r="M209" s="7">
        <v>35.520000000000003</v>
      </c>
      <c r="N209" s="7">
        <v>37.700000000000003</v>
      </c>
      <c r="O209" s="7">
        <v>34.58</v>
      </c>
      <c r="P209" s="7">
        <v>28.88</v>
      </c>
      <c r="Q209" s="7">
        <f t="shared" si="32"/>
        <v>415.81999999999994</v>
      </c>
    </row>
    <row r="210" spans="1:17" x14ac:dyDescent="0.2">
      <c r="C210" s="2" t="s">
        <v>379</v>
      </c>
      <c r="E210" s="7">
        <v>0</v>
      </c>
      <c r="F210" s="7">
        <v>0.05</v>
      </c>
      <c r="G210" s="7">
        <v>0.01</v>
      </c>
      <c r="H210" s="7">
        <v>0</v>
      </c>
      <c r="I210" s="7">
        <v>0</v>
      </c>
      <c r="J210" s="7">
        <v>0</v>
      </c>
      <c r="K210" s="7">
        <v>0</v>
      </c>
      <c r="L210" s="7">
        <v>0</v>
      </c>
      <c r="M210" s="7">
        <v>0</v>
      </c>
      <c r="N210" s="7">
        <v>0</v>
      </c>
      <c r="O210" s="7">
        <v>0</v>
      </c>
      <c r="P210" s="7">
        <v>0</v>
      </c>
      <c r="Q210" s="7">
        <f t="shared" si="32"/>
        <v>6.0000000000000005E-2</v>
      </c>
    </row>
    <row r="211" spans="1:17" x14ac:dyDescent="0.2">
      <c r="E211" s="7"/>
      <c r="F211" s="7"/>
      <c r="G211" s="7"/>
      <c r="H211" s="7"/>
      <c r="I211" s="7"/>
      <c r="J211" s="7"/>
      <c r="K211" s="7"/>
      <c r="L211" s="7"/>
      <c r="M211" s="7"/>
      <c r="N211" s="7"/>
      <c r="O211" s="7"/>
      <c r="P211" s="7"/>
      <c r="Q211" s="7"/>
    </row>
    <row r="212" spans="1:17" s="4" customFormat="1" ht="15" x14ac:dyDescent="0.25">
      <c r="A212" s="3" t="s">
        <v>182</v>
      </c>
      <c r="E212" s="5">
        <f>SUM(E213:E237)</f>
        <v>9.86</v>
      </c>
      <c r="F212" s="5">
        <f t="shared" ref="F212:Q212" si="33">SUM(F213:F237)</f>
        <v>4.799999999999998</v>
      </c>
      <c r="G212" s="5">
        <f t="shared" si="33"/>
        <v>10.989999999999998</v>
      </c>
      <c r="H212" s="5">
        <f t="shared" si="33"/>
        <v>123.32</v>
      </c>
      <c r="I212" s="5">
        <f t="shared" si="33"/>
        <v>28.400000000000002</v>
      </c>
      <c r="J212" s="5">
        <f t="shared" si="33"/>
        <v>68.239999999999995</v>
      </c>
      <c r="K212" s="5">
        <f t="shared" si="33"/>
        <v>30.999999999999996</v>
      </c>
      <c r="L212" s="5">
        <f t="shared" si="33"/>
        <v>30.939999999999991</v>
      </c>
      <c r="M212" s="5">
        <f t="shared" si="33"/>
        <v>24.29</v>
      </c>
      <c r="N212" s="5">
        <f t="shared" si="33"/>
        <v>202.46</v>
      </c>
      <c r="O212" s="5">
        <f t="shared" si="33"/>
        <v>41.579999999999991</v>
      </c>
      <c r="P212" s="5">
        <f t="shared" si="33"/>
        <v>19.75</v>
      </c>
      <c r="Q212" s="5">
        <f t="shared" si="33"/>
        <v>595.62999999999988</v>
      </c>
    </row>
    <row r="213" spans="1:17" x14ac:dyDescent="0.2">
      <c r="C213" s="2" t="s">
        <v>380</v>
      </c>
      <c r="E213" s="7">
        <v>0.98</v>
      </c>
      <c r="F213" s="7">
        <v>0.88</v>
      </c>
      <c r="G213" s="7">
        <v>0.97</v>
      </c>
      <c r="H213" s="7">
        <v>1.22</v>
      </c>
      <c r="I213" s="7">
        <v>1.82</v>
      </c>
      <c r="J213" s="7">
        <v>1.84</v>
      </c>
      <c r="K213" s="7">
        <v>1.25</v>
      </c>
      <c r="L213" s="7">
        <v>1.29</v>
      </c>
      <c r="M213" s="7">
        <v>1.27</v>
      </c>
      <c r="N213" s="7">
        <v>1.04</v>
      </c>
      <c r="O213" s="7">
        <v>0.48</v>
      </c>
      <c r="P213" s="7">
        <v>1.35</v>
      </c>
      <c r="Q213" s="7">
        <f t="shared" ref="Q213:Q237" si="34">SUM(E213:P213)</f>
        <v>14.389999999999999</v>
      </c>
    </row>
    <row r="214" spans="1:17" x14ac:dyDescent="0.2">
      <c r="C214" s="2" t="s">
        <v>381</v>
      </c>
      <c r="E214" s="7">
        <v>1.04</v>
      </c>
      <c r="F214" s="7">
        <v>0.43</v>
      </c>
      <c r="G214" s="7">
        <v>0.76</v>
      </c>
      <c r="H214" s="7">
        <v>100.1</v>
      </c>
      <c r="I214" s="7">
        <v>1.73</v>
      </c>
      <c r="J214" s="7">
        <v>1.86</v>
      </c>
      <c r="K214" s="7">
        <v>3.35</v>
      </c>
      <c r="L214" s="7">
        <v>4.7699999999999996</v>
      </c>
      <c r="M214" s="7">
        <v>1.75</v>
      </c>
      <c r="N214" s="7">
        <v>3.27</v>
      </c>
      <c r="O214" s="7">
        <v>1.87</v>
      </c>
      <c r="P214" s="7">
        <v>2.89</v>
      </c>
      <c r="Q214" s="7">
        <f t="shared" si="34"/>
        <v>123.82</v>
      </c>
    </row>
    <row r="215" spans="1:17" x14ac:dyDescent="0.2">
      <c r="C215" s="2" t="s">
        <v>383</v>
      </c>
      <c r="E215" s="7">
        <v>0</v>
      </c>
      <c r="F215" s="7">
        <v>0</v>
      </c>
      <c r="G215" s="7">
        <v>0</v>
      </c>
      <c r="H215" s="7">
        <v>19.88</v>
      </c>
      <c r="I215" s="7">
        <v>21.83</v>
      </c>
      <c r="J215" s="7">
        <v>57.69</v>
      </c>
      <c r="K215" s="7">
        <v>17.149999999999999</v>
      </c>
      <c r="L215" s="7">
        <v>19.559999999999999</v>
      </c>
      <c r="M215" s="7">
        <v>17.14</v>
      </c>
      <c r="N215" s="7">
        <v>193.43</v>
      </c>
      <c r="O215" s="7">
        <v>35.93</v>
      </c>
      <c r="P215" s="7">
        <v>12.81</v>
      </c>
      <c r="Q215" s="7">
        <f t="shared" si="34"/>
        <v>395.42</v>
      </c>
    </row>
    <row r="216" spans="1:17" x14ac:dyDescent="0.2">
      <c r="C216" s="2" t="s">
        <v>385</v>
      </c>
      <c r="E216" s="7">
        <v>0</v>
      </c>
      <c r="F216" s="7">
        <v>0</v>
      </c>
      <c r="G216" s="7">
        <v>0</v>
      </c>
      <c r="H216" s="7">
        <v>0</v>
      </c>
      <c r="I216" s="7">
        <v>0</v>
      </c>
      <c r="J216" s="7">
        <v>0.01</v>
      </c>
      <c r="K216" s="7">
        <v>0</v>
      </c>
      <c r="L216" s="7">
        <v>0</v>
      </c>
      <c r="M216" s="7">
        <v>0</v>
      </c>
      <c r="N216" s="7">
        <v>0</v>
      </c>
      <c r="O216" s="7">
        <v>0</v>
      </c>
      <c r="P216" s="7">
        <v>0</v>
      </c>
      <c r="Q216" s="7">
        <f t="shared" si="34"/>
        <v>0.01</v>
      </c>
    </row>
    <row r="217" spans="1:17" x14ac:dyDescent="0.2">
      <c r="C217" s="2" t="s">
        <v>388</v>
      </c>
      <c r="E217" s="7">
        <v>1.56</v>
      </c>
      <c r="F217" s="7">
        <v>2.2799999999999998</v>
      </c>
      <c r="G217" s="7">
        <v>5.57</v>
      </c>
      <c r="H217" s="7">
        <v>1.31</v>
      </c>
      <c r="I217" s="7">
        <v>1.78</v>
      </c>
      <c r="J217" s="7">
        <v>3.24</v>
      </c>
      <c r="K217" s="7">
        <v>6.46</v>
      </c>
      <c r="L217" s="7">
        <v>3.51</v>
      </c>
      <c r="M217" s="7">
        <v>2.89</v>
      </c>
      <c r="N217" s="7">
        <v>2.77</v>
      </c>
      <c r="O217" s="7">
        <v>2.17</v>
      </c>
      <c r="P217" s="7">
        <v>1.66</v>
      </c>
      <c r="Q217" s="7">
        <f t="shared" si="34"/>
        <v>35.199999999999996</v>
      </c>
    </row>
    <row r="218" spans="1:17" x14ac:dyDescent="0.2">
      <c r="C218" s="2" t="s">
        <v>441</v>
      </c>
      <c r="E218" s="7">
        <v>0</v>
      </c>
      <c r="F218" s="7">
        <v>0.01</v>
      </c>
      <c r="G218" s="7">
        <v>0.08</v>
      </c>
      <c r="H218" s="7">
        <v>0.01</v>
      </c>
      <c r="I218" s="7">
        <v>0</v>
      </c>
      <c r="J218" s="7">
        <v>0.05</v>
      </c>
      <c r="K218" s="7">
        <v>0.04</v>
      </c>
      <c r="L218" s="7">
        <v>0.04</v>
      </c>
      <c r="M218" s="7">
        <v>0</v>
      </c>
      <c r="N218" s="7">
        <v>0</v>
      </c>
      <c r="O218" s="7">
        <v>0.01</v>
      </c>
      <c r="P218" s="7">
        <v>0</v>
      </c>
      <c r="Q218" s="7">
        <f t="shared" si="34"/>
        <v>0.24000000000000002</v>
      </c>
    </row>
    <row r="219" spans="1:17" x14ac:dyDescent="0.2">
      <c r="C219" s="2" t="s">
        <v>393</v>
      </c>
      <c r="E219" s="7">
        <v>3.03</v>
      </c>
      <c r="F219" s="7">
        <v>0.28999999999999998</v>
      </c>
      <c r="G219" s="7">
        <v>2.02</v>
      </c>
      <c r="H219" s="7">
        <v>0.02</v>
      </c>
      <c r="I219" s="7">
        <v>0.39</v>
      </c>
      <c r="J219" s="7">
        <v>0.2</v>
      </c>
      <c r="K219" s="7">
        <v>0.15</v>
      </c>
      <c r="L219" s="7">
        <v>0.08</v>
      </c>
      <c r="M219" s="7">
        <v>7.0000000000000007E-2</v>
      </c>
      <c r="N219" s="7">
        <v>0.12</v>
      </c>
      <c r="O219" s="7">
        <v>0.22</v>
      </c>
      <c r="P219" s="7">
        <v>0.15</v>
      </c>
      <c r="Q219" s="7">
        <f t="shared" si="34"/>
        <v>6.74</v>
      </c>
    </row>
    <row r="220" spans="1:17" x14ac:dyDescent="0.2">
      <c r="C220" s="2" t="s">
        <v>394</v>
      </c>
      <c r="E220" s="7">
        <v>0.46</v>
      </c>
      <c r="F220" s="7">
        <v>0</v>
      </c>
      <c r="G220" s="7">
        <v>0.25</v>
      </c>
      <c r="H220" s="7">
        <v>0.02</v>
      </c>
      <c r="I220" s="7">
        <v>0.08</v>
      </c>
      <c r="J220" s="7">
        <v>0.57999999999999996</v>
      </c>
      <c r="K220" s="7">
        <v>0.1</v>
      </c>
      <c r="L220" s="7">
        <v>0.06</v>
      </c>
      <c r="M220" s="7">
        <v>0.15</v>
      </c>
      <c r="N220" s="7">
        <v>0.42</v>
      </c>
      <c r="O220" s="7">
        <v>0.01</v>
      </c>
      <c r="P220" s="7">
        <v>0.05</v>
      </c>
      <c r="Q220" s="7">
        <f>SUM(E220:P220)</f>
        <v>2.1799999999999997</v>
      </c>
    </row>
    <row r="221" spans="1:17" x14ac:dyDescent="0.2">
      <c r="C221" s="2" t="s">
        <v>403</v>
      </c>
      <c r="E221" s="7">
        <v>0</v>
      </c>
      <c r="F221" s="7">
        <v>0</v>
      </c>
      <c r="G221" s="7">
        <v>0</v>
      </c>
      <c r="H221" s="7">
        <v>0</v>
      </c>
      <c r="I221" s="7">
        <v>0.01</v>
      </c>
      <c r="J221" s="7">
        <v>0</v>
      </c>
      <c r="K221" s="7">
        <v>0</v>
      </c>
      <c r="L221" s="7">
        <v>0</v>
      </c>
      <c r="M221" s="7">
        <v>0</v>
      </c>
      <c r="N221" s="7">
        <v>0</v>
      </c>
      <c r="O221" s="7">
        <v>0.01</v>
      </c>
      <c r="P221" s="7">
        <v>0</v>
      </c>
      <c r="Q221" s="7">
        <f t="shared" si="34"/>
        <v>0.02</v>
      </c>
    </row>
    <row r="222" spans="1:17" x14ac:dyDescent="0.2">
      <c r="C222" s="2" t="s">
        <v>409</v>
      </c>
      <c r="E222" s="7">
        <v>0.02</v>
      </c>
      <c r="F222" s="7">
        <v>0</v>
      </c>
      <c r="G222" s="7">
        <v>0</v>
      </c>
      <c r="H222" s="7">
        <v>0</v>
      </c>
      <c r="I222" s="7">
        <v>0</v>
      </c>
      <c r="J222" s="7">
        <v>0</v>
      </c>
      <c r="K222" s="7">
        <v>0</v>
      </c>
      <c r="L222" s="7">
        <v>0</v>
      </c>
      <c r="M222" s="7">
        <v>0</v>
      </c>
      <c r="N222" s="7">
        <v>0</v>
      </c>
      <c r="O222" s="7">
        <v>0.01</v>
      </c>
      <c r="P222" s="7">
        <v>0</v>
      </c>
      <c r="Q222" s="7">
        <f t="shared" si="34"/>
        <v>0.03</v>
      </c>
    </row>
    <row r="223" spans="1:17" x14ac:dyDescent="0.2">
      <c r="C223" s="2" t="s">
        <v>603</v>
      </c>
      <c r="E223" s="7">
        <v>0.08</v>
      </c>
      <c r="F223" s="7">
        <v>0.05</v>
      </c>
      <c r="G223" s="7">
        <v>0.14000000000000001</v>
      </c>
      <c r="H223" s="7">
        <v>0</v>
      </c>
      <c r="I223" s="7">
        <v>0</v>
      </c>
      <c r="J223" s="7">
        <v>0.1</v>
      </c>
      <c r="K223" s="7">
        <v>0</v>
      </c>
      <c r="L223" s="7">
        <v>0.39</v>
      </c>
      <c r="M223" s="7">
        <v>0</v>
      </c>
      <c r="N223" s="7">
        <v>0.25</v>
      </c>
      <c r="O223" s="7">
        <v>0</v>
      </c>
      <c r="P223" s="7">
        <v>0</v>
      </c>
      <c r="Q223" s="7">
        <f t="shared" si="34"/>
        <v>1.01</v>
      </c>
    </row>
    <row r="224" spans="1:17" x14ac:dyDescent="0.2">
      <c r="C224" s="2" t="s">
        <v>395</v>
      </c>
      <c r="E224" s="7">
        <v>0.75</v>
      </c>
      <c r="F224" s="7">
        <v>0.14000000000000001</v>
      </c>
      <c r="G224" s="7">
        <v>0.11</v>
      </c>
      <c r="H224" s="7">
        <v>0.06</v>
      </c>
      <c r="I224" s="7">
        <v>0</v>
      </c>
      <c r="J224" s="7">
        <v>0</v>
      </c>
      <c r="K224" s="7">
        <v>0</v>
      </c>
      <c r="L224" s="7">
        <v>0</v>
      </c>
      <c r="M224" s="7">
        <v>0</v>
      </c>
      <c r="N224" s="7">
        <v>0.22</v>
      </c>
      <c r="O224" s="7">
        <v>0.01</v>
      </c>
      <c r="P224" s="7">
        <v>0</v>
      </c>
      <c r="Q224" s="7">
        <f t="shared" si="34"/>
        <v>1.29</v>
      </c>
    </row>
    <row r="225" spans="3:17" x14ac:dyDescent="0.2">
      <c r="C225" s="2" t="s">
        <v>604</v>
      </c>
      <c r="E225" s="7">
        <v>0.02</v>
      </c>
      <c r="F225" s="7">
        <v>0</v>
      </c>
      <c r="G225" s="7">
        <v>0.02</v>
      </c>
      <c r="H225" s="7">
        <v>0</v>
      </c>
      <c r="I225" s="7">
        <v>0</v>
      </c>
      <c r="J225" s="7">
        <v>0</v>
      </c>
      <c r="K225" s="7">
        <v>0</v>
      </c>
      <c r="L225" s="7">
        <v>0</v>
      </c>
      <c r="M225" s="7">
        <v>0</v>
      </c>
      <c r="N225" s="7">
        <v>0</v>
      </c>
      <c r="O225" s="7">
        <v>0</v>
      </c>
      <c r="P225" s="7">
        <v>0</v>
      </c>
      <c r="Q225" s="7">
        <f t="shared" si="34"/>
        <v>0.04</v>
      </c>
    </row>
    <row r="226" spans="3:17" x14ac:dyDescent="0.2">
      <c r="C226" s="2" t="s">
        <v>605</v>
      </c>
      <c r="E226" s="7">
        <v>0</v>
      </c>
      <c r="F226" s="7">
        <v>0.04</v>
      </c>
      <c r="G226" s="7">
        <v>0</v>
      </c>
      <c r="H226" s="7">
        <v>0</v>
      </c>
      <c r="I226" s="7">
        <v>0</v>
      </c>
      <c r="J226" s="7">
        <v>0</v>
      </c>
      <c r="K226" s="7">
        <v>0.28999999999999998</v>
      </c>
      <c r="L226" s="7">
        <v>0</v>
      </c>
      <c r="M226" s="7">
        <v>0</v>
      </c>
      <c r="N226" s="7">
        <v>0</v>
      </c>
      <c r="O226" s="7">
        <v>0</v>
      </c>
      <c r="P226" s="7">
        <v>0</v>
      </c>
      <c r="Q226" s="7">
        <f t="shared" si="34"/>
        <v>0.32999999999999996</v>
      </c>
    </row>
    <row r="227" spans="3:17" x14ac:dyDescent="0.2">
      <c r="C227" s="2" t="s">
        <v>606</v>
      </c>
      <c r="E227" s="7">
        <v>0</v>
      </c>
      <c r="F227" s="7">
        <v>0</v>
      </c>
      <c r="G227" s="7">
        <v>0.02</v>
      </c>
      <c r="H227" s="7">
        <v>0</v>
      </c>
      <c r="I227" s="7">
        <v>0</v>
      </c>
      <c r="J227" s="7">
        <v>0</v>
      </c>
      <c r="K227" s="7">
        <v>0</v>
      </c>
      <c r="L227" s="7">
        <v>0</v>
      </c>
      <c r="M227" s="7">
        <v>0</v>
      </c>
      <c r="N227" s="7">
        <v>0</v>
      </c>
      <c r="O227" s="7">
        <v>0</v>
      </c>
      <c r="P227" s="7">
        <v>0</v>
      </c>
      <c r="Q227" s="7">
        <f t="shared" si="34"/>
        <v>0.02</v>
      </c>
    </row>
    <row r="228" spans="3:17" x14ac:dyDescent="0.2">
      <c r="C228" s="2" t="s">
        <v>607</v>
      </c>
      <c r="E228" s="7">
        <v>0.04</v>
      </c>
      <c r="F228" s="7">
        <v>0</v>
      </c>
      <c r="G228" s="7">
        <v>0</v>
      </c>
      <c r="H228" s="7">
        <v>0</v>
      </c>
      <c r="I228" s="7">
        <v>0.01</v>
      </c>
      <c r="J228" s="7">
        <v>0.34</v>
      </c>
      <c r="K228" s="7">
        <v>0</v>
      </c>
      <c r="L228" s="7">
        <v>0</v>
      </c>
      <c r="M228" s="7">
        <v>0</v>
      </c>
      <c r="N228" s="7">
        <v>0</v>
      </c>
      <c r="O228" s="7">
        <v>0</v>
      </c>
      <c r="P228" s="7">
        <v>0</v>
      </c>
      <c r="Q228" s="7">
        <f t="shared" si="34"/>
        <v>0.39</v>
      </c>
    </row>
    <row r="229" spans="3:17" x14ac:dyDescent="0.2">
      <c r="C229" s="2" t="s">
        <v>608</v>
      </c>
      <c r="E229" s="7">
        <v>0.01</v>
      </c>
      <c r="F229" s="7">
        <v>0</v>
      </c>
      <c r="G229" s="7">
        <v>0.01</v>
      </c>
      <c r="H229" s="7">
        <v>0</v>
      </c>
      <c r="I229" s="7">
        <v>0</v>
      </c>
      <c r="J229" s="7">
        <v>0</v>
      </c>
      <c r="K229" s="7">
        <v>0</v>
      </c>
      <c r="L229" s="7">
        <v>0</v>
      </c>
      <c r="M229" s="7">
        <v>0</v>
      </c>
      <c r="N229" s="7">
        <v>0</v>
      </c>
      <c r="O229" s="7">
        <v>0</v>
      </c>
      <c r="P229" s="7">
        <v>0</v>
      </c>
      <c r="Q229" s="7">
        <f t="shared" si="34"/>
        <v>0.02</v>
      </c>
    </row>
    <row r="230" spans="3:17" x14ac:dyDescent="0.2">
      <c r="C230" s="2" t="s">
        <v>609</v>
      </c>
      <c r="E230" s="7">
        <v>0.06</v>
      </c>
      <c r="F230" s="7">
        <v>0.02</v>
      </c>
      <c r="G230" s="7">
        <v>0</v>
      </c>
      <c r="H230" s="7">
        <v>0</v>
      </c>
      <c r="I230" s="7">
        <v>0</v>
      </c>
      <c r="J230" s="7">
        <v>0</v>
      </c>
      <c r="K230" s="7">
        <v>0</v>
      </c>
      <c r="L230" s="7">
        <v>0</v>
      </c>
      <c r="M230" s="7">
        <v>0</v>
      </c>
      <c r="N230" s="7">
        <v>0</v>
      </c>
      <c r="O230" s="7">
        <v>0</v>
      </c>
      <c r="P230" s="7">
        <v>0</v>
      </c>
      <c r="Q230" s="7">
        <f t="shared" si="34"/>
        <v>0.08</v>
      </c>
    </row>
    <row r="231" spans="3:17" x14ac:dyDescent="0.2">
      <c r="C231" s="2" t="s">
        <v>399</v>
      </c>
      <c r="E231" s="7">
        <v>0.04</v>
      </c>
      <c r="F231" s="7">
        <v>0</v>
      </c>
      <c r="G231" s="7">
        <v>0</v>
      </c>
      <c r="H231" s="7">
        <v>0</v>
      </c>
      <c r="I231" s="7">
        <v>0.01</v>
      </c>
      <c r="J231" s="7">
        <v>0</v>
      </c>
      <c r="K231" s="7">
        <v>0.04</v>
      </c>
      <c r="L231" s="7">
        <v>0</v>
      </c>
      <c r="M231" s="7">
        <v>0</v>
      </c>
      <c r="N231" s="7">
        <v>0</v>
      </c>
      <c r="O231" s="7">
        <v>0</v>
      </c>
      <c r="P231" s="7">
        <v>0</v>
      </c>
      <c r="Q231" s="7">
        <f t="shared" si="34"/>
        <v>0.09</v>
      </c>
    </row>
    <row r="232" spans="3:17" x14ac:dyDescent="0.2">
      <c r="C232" s="2" t="s">
        <v>397</v>
      </c>
      <c r="E232" s="7">
        <v>0.02</v>
      </c>
      <c r="F232" s="7">
        <v>0</v>
      </c>
      <c r="G232" s="7">
        <v>0.01</v>
      </c>
      <c r="H232" s="7">
        <v>0</v>
      </c>
      <c r="I232" s="7">
        <v>0</v>
      </c>
      <c r="J232" s="7">
        <v>0</v>
      </c>
      <c r="K232" s="7">
        <v>0</v>
      </c>
      <c r="L232" s="7">
        <v>0</v>
      </c>
      <c r="M232" s="7">
        <v>0</v>
      </c>
      <c r="N232" s="7">
        <v>0</v>
      </c>
      <c r="O232" s="7">
        <v>0</v>
      </c>
      <c r="P232" s="7">
        <v>0</v>
      </c>
      <c r="Q232" s="7">
        <f t="shared" si="34"/>
        <v>0.03</v>
      </c>
    </row>
    <row r="233" spans="3:17" x14ac:dyDescent="0.2">
      <c r="C233" s="2" t="s">
        <v>398</v>
      </c>
      <c r="E233" s="7">
        <v>0.06</v>
      </c>
      <c r="F233" s="7">
        <v>0.05</v>
      </c>
      <c r="G233" s="7">
        <v>0.04</v>
      </c>
      <c r="H233" s="7">
        <v>0</v>
      </c>
      <c r="I233" s="7">
        <v>0</v>
      </c>
      <c r="J233" s="7">
        <v>0.02</v>
      </c>
      <c r="K233" s="7">
        <v>0</v>
      </c>
      <c r="L233" s="7">
        <v>0</v>
      </c>
      <c r="M233" s="7">
        <v>0</v>
      </c>
      <c r="N233" s="7">
        <v>0</v>
      </c>
      <c r="O233" s="7">
        <v>0</v>
      </c>
      <c r="P233" s="7">
        <v>0</v>
      </c>
      <c r="Q233" s="7">
        <f t="shared" si="34"/>
        <v>0.16999999999999998</v>
      </c>
    </row>
    <row r="234" spans="3:17" x14ac:dyDescent="0.2">
      <c r="C234" s="2" t="s">
        <v>456</v>
      </c>
      <c r="E234" s="7">
        <v>0.89</v>
      </c>
      <c r="F234" s="7">
        <v>0.01</v>
      </c>
      <c r="G234" s="7">
        <v>0.24</v>
      </c>
      <c r="H234" s="7">
        <v>0</v>
      </c>
      <c r="I234" s="7">
        <v>0</v>
      </c>
      <c r="J234" s="7">
        <v>0</v>
      </c>
      <c r="K234" s="7">
        <v>0</v>
      </c>
      <c r="L234" s="7">
        <v>0</v>
      </c>
      <c r="M234" s="7">
        <v>0</v>
      </c>
      <c r="N234" s="7">
        <v>0</v>
      </c>
      <c r="O234" s="7">
        <v>0</v>
      </c>
      <c r="P234" s="7">
        <v>0</v>
      </c>
      <c r="Q234" s="7">
        <f t="shared" si="34"/>
        <v>1.1400000000000001</v>
      </c>
    </row>
    <row r="235" spans="3:17" x14ac:dyDescent="0.2">
      <c r="C235" s="2" t="s">
        <v>452</v>
      </c>
      <c r="E235" s="7">
        <v>0</v>
      </c>
      <c r="F235" s="7">
        <v>0</v>
      </c>
      <c r="G235" s="7">
        <v>0</v>
      </c>
      <c r="H235" s="7">
        <v>0</v>
      </c>
      <c r="I235" s="7">
        <v>0</v>
      </c>
      <c r="J235" s="7">
        <v>0</v>
      </c>
      <c r="K235" s="7">
        <v>0</v>
      </c>
      <c r="L235" s="7">
        <v>0.02</v>
      </c>
      <c r="M235" s="7">
        <v>0</v>
      </c>
      <c r="N235" s="7">
        <v>0</v>
      </c>
      <c r="O235" s="7">
        <v>0</v>
      </c>
      <c r="P235" s="7">
        <v>0.02</v>
      </c>
      <c r="Q235" s="7">
        <f t="shared" si="34"/>
        <v>0.04</v>
      </c>
    </row>
    <row r="236" spans="3:17" x14ac:dyDescent="0.2">
      <c r="C236" s="2" t="s">
        <v>407</v>
      </c>
      <c r="E236" s="7">
        <v>0</v>
      </c>
      <c r="F236" s="7">
        <v>0</v>
      </c>
      <c r="G236" s="7">
        <v>0</v>
      </c>
      <c r="H236" s="7">
        <v>0</v>
      </c>
      <c r="I236" s="7">
        <v>0</v>
      </c>
      <c r="J236" s="7">
        <v>0</v>
      </c>
      <c r="K236" s="7">
        <v>0.04</v>
      </c>
      <c r="L236" s="7">
        <v>0.05</v>
      </c>
      <c r="M236" s="7">
        <v>0</v>
      </c>
      <c r="N236" s="7">
        <v>0.03</v>
      </c>
      <c r="O236" s="7">
        <v>0.06</v>
      </c>
      <c r="P236" s="7">
        <v>0.01</v>
      </c>
      <c r="Q236" s="7">
        <f t="shared" si="34"/>
        <v>0.19</v>
      </c>
    </row>
    <row r="237" spans="3:17" x14ac:dyDescent="0.2">
      <c r="C237" s="2" t="s">
        <v>410</v>
      </c>
      <c r="E237" s="7">
        <v>0.8</v>
      </c>
      <c r="F237" s="7">
        <v>0.6</v>
      </c>
      <c r="G237" s="7">
        <v>0.75</v>
      </c>
      <c r="H237" s="7">
        <v>0.7</v>
      </c>
      <c r="I237" s="7">
        <v>0.74</v>
      </c>
      <c r="J237" s="7">
        <v>2.31</v>
      </c>
      <c r="K237" s="7">
        <v>2.13</v>
      </c>
      <c r="L237" s="7">
        <v>1.17</v>
      </c>
      <c r="M237" s="7">
        <v>1.02</v>
      </c>
      <c r="N237" s="7">
        <v>0.91</v>
      </c>
      <c r="O237" s="7">
        <v>0.8</v>
      </c>
      <c r="P237" s="7">
        <v>0.81</v>
      </c>
      <c r="Q237" s="7">
        <f t="shared" si="34"/>
        <v>12.740000000000002</v>
      </c>
    </row>
    <row r="238" spans="3:17" x14ac:dyDescent="0.2">
      <c r="E238" s="7"/>
      <c r="F238" s="7"/>
      <c r="G238" s="7"/>
      <c r="H238" s="7"/>
      <c r="I238" s="7"/>
      <c r="J238" s="7"/>
      <c r="Q238" s="7"/>
    </row>
    <row r="239" spans="3:17" ht="15" x14ac:dyDescent="0.25">
      <c r="D239" s="1" t="s">
        <v>552</v>
      </c>
      <c r="E239" s="16">
        <f t="shared" ref="E239:Q239" si="35">E10+E37+E44+E62+E66+E70+E77+E87+E93+E98+E107+E112+E120+E135+E139+E144+E150+E155+E176+E180+E185+E202+E212</f>
        <v>1398.14</v>
      </c>
      <c r="F239" s="16">
        <f t="shared" si="35"/>
        <v>1510.47</v>
      </c>
      <c r="G239" s="16">
        <f t="shared" si="35"/>
        <v>2129.9099999999994</v>
      </c>
      <c r="H239" s="16">
        <f t="shared" si="35"/>
        <v>1218.45</v>
      </c>
      <c r="I239" s="16">
        <f t="shared" si="35"/>
        <v>1475.44</v>
      </c>
      <c r="J239" s="16">
        <f t="shared" si="35"/>
        <v>1739.3899999999999</v>
      </c>
      <c r="K239" s="16">
        <f t="shared" si="35"/>
        <v>1617.02</v>
      </c>
      <c r="L239" s="16">
        <f t="shared" si="35"/>
        <v>1368.0500000000004</v>
      </c>
      <c r="M239" s="16">
        <f t="shared" si="35"/>
        <v>1435.33</v>
      </c>
      <c r="N239" s="16">
        <f t="shared" si="35"/>
        <v>2913.9500000000007</v>
      </c>
      <c r="O239" s="16">
        <f t="shared" si="35"/>
        <v>1272.19</v>
      </c>
      <c r="P239" s="16">
        <f t="shared" si="35"/>
        <v>1176.4299999999998</v>
      </c>
      <c r="Q239" s="16">
        <f t="shared" si="35"/>
        <v>19254.77</v>
      </c>
    </row>
    <row r="240" spans="3:17" ht="15" x14ac:dyDescent="0.25">
      <c r="D240" s="1"/>
      <c r="E240" s="18"/>
      <c r="F240" s="18"/>
      <c r="G240" s="18"/>
      <c r="H240" s="18"/>
      <c r="I240" s="18"/>
      <c r="J240" s="18"/>
      <c r="K240" s="18"/>
      <c r="L240" s="18"/>
      <c r="M240" s="18"/>
      <c r="N240" s="18"/>
      <c r="O240" s="18"/>
      <c r="P240" s="18"/>
      <c r="Q240" s="18"/>
    </row>
    <row r="241" spans="3:17" ht="15" x14ac:dyDescent="0.25">
      <c r="C241" s="2" t="s">
        <v>6</v>
      </c>
      <c r="D241" s="1"/>
      <c r="E241" s="18"/>
      <c r="F241" s="18"/>
      <c r="G241" s="18"/>
      <c r="H241" s="18"/>
      <c r="I241" s="18"/>
      <c r="J241" s="18"/>
      <c r="K241" s="18"/>
      <c r="L241" s="18"/>
      <c r="M241" s="18"/>
      <c r="N241" s="18"/>
      <c r="O241" s="18"/>
      <c r="P241" s="18"/>
      <c r="Q241" s="18"/>
    </row>
    <row r="244" spans="3:17" x14ac:dyDescent="0.2">
      <c r="C244" s="2" t="s">
        <v>709</v>
      </c>
    </row>
    <row r="245" spans="3:17" x14ac:dyDescent="0.2">
      <c r="C245" s="2" t="s">
        <v>6</v>
      </c>
    </row>
  </sheetData>
  <mergeCells count="2">
    <mergeCell ref="A3:Q3"/>
    <mergeCell ref="A7:D7"/>
  </mergeCells>
  <printOptions horizontalCentered="1"/>
  <pageMargins left="0" right="0" top="0.59055118110236227" bottom="0.59055118110236227" header="0.31496062992125984" footer="0.51181102362204722"/>
  <pageSetup paperSize="9" scale="47" orientation="portrait" r:id="rId1"/>
  <headerFooter alignWithMargins="0">
    <oddHeader>Page &amp;P</oddHeader>
  </headerFooter>
  <rowBreaks count="2" manualBreakCount="2">
    <brk id="118" max="16383" man="1"/>
    <brk id="21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36"/>
  <sheetViews>
    <sheetView zoomScaleNormal="100" workbookViewId="0">
      <pane xSplit="4" ySplit="6" topLeftCell="E13" activePane="bottomRight" state="frozen"/>
      <selection pane="topRight" activeCell="E1" sqref="E1"/>
      <selection pane="bottomLeft" activeCell="A7" sqref="A7"/>
      <selection pane="bottomRight" activeCell="C61" sqref="C61"/>
    </sheetView>
  </sheetViews>
  <sheetFormatPr defaultColWidth="8.85546875" defaultRowHeight="14.25" x14ac:dyDescent="0.2"/>
  <cols>
    <col min="1" max="1" width="2.42578125" style="2" customWidth="1"/>
    <col min="2" max="2" width="4" style="2" customWidth="1"/>
    <col min="3" max="3" width="56.7109375" style="2" customWidth="1"/>
    <col min="4" max="4" width="0.140625" style="2" customWidth="1"/>
    <col min="5" max="8" width="10.42578125" style="2" bestFit="1" customWidth="1"/>
    <col min="9" max="9" width="8.7109375" style="2" bestFit="1" customWidth="1"/>
    <col min="10" max="10" width="7.42578125" style="2" bestFit="1" customWidth="1"/>
    <col min="11" max="11" width="8.7109375" style="2" bestFit="1" customWidth="1"/>
    <col min="12" max="15" width="10.42578125" style="2" bestFit="1" customWidth="1"/>
    <col min="16" max="16" width="8.7109375" style="2" bestFit="1" customWidth="1"/>
    <col min="17" max="17" width="11.42578125" style="2" bestFit="1" customWidth="1"/>
    <col min="18" max="256" width="9.140625" style="2"/>
    <col min="257" max="257" width="2.42578125" style="2" customWidth="1"/>
    <col min="258" max="258" width="4" style="2" customWidth="1"/>
    <col min="259" max="259" width="46.7109375" style="2" customWidth="1"/>
    <col min="260" max="260" width="0.140625" style="2" customWidth="1"/>
    <col min="261" max="271" width="7.28515625" style="2" customWidth="1"/>
    <col min="272" max="272" width="6.42578125" style="2" customWidth="1"/>
    <col min="273" max="273" width="8.42578125" style="2" customWidth="1"/>
    <col min="274" max="512" width="9.140625" style="2"/>
    <col min="513" max="513" width="2.42578125" style="2" customWidth="1"/>
    <col min="514" max="514" width="4" style="2" customWidth="1"/>
    <col min="515" max="515" width="46.7109375" style="2" customWidth="1"/>
    <col min="516" max="516" width="0.140625" style="2" customWidth="1"/>
    <col min="517" max="527" width="7.28515625" style="2" customWidth="1"/>
    <col min="528" max="528" width="6.42578125" style="2" customWidth="1"/>
    <col min="529" max="529" width="8.42578125" style="2" customWidth="1"/>
    <col min="530" max="768" width="9.140625" style="2"/>
    <col min="769" max="769" width="2.42578125" style="2" customWidth="1"/>
    <col min="770" max="770" width="4" style="2" customWidth="1"/>
    <col min="771" max="771" width="46.7109375" style="2" customWidth="1"/>
    <col min="772" max="772" width="0.140625" style="2" customWidth="1"/>
    <col min="773" max="783" width="7.28515625" style="2" customWidth="1"/>
    <col min="784" max="784" width="6.42578125" style="2" customWidth="1"/>
    <col min="785" max="785" width="8.42578125" style="2" customWidth="1"/>
    <col min="786" max="1024" width="9.140625" style="2"/>
    <col min="1025" max="1025" width="2.42578125" style="2" customWidth="1"/>
    <col min="1026" max="1026" width="4" style="2" customWidth="1"/>
    <col min="1027" max="1027" width="46.7109375" style="2" customWidth="1"/>
    <col min="1028" max="1028" width="0.140625" style="2" customWidth="1"/>
    <col min="1029" max="1039" width="7.28515625" style="2" customWidth="1"/>
    <col min="1040" max="1040" width="6.42578125" style="2" customWidth="1"/>
    <col min="1041" max="1041" width="8.42578125" style="2" customWidth="1"/>
    <col min="1042" max="1280" width="9.140625" style="2"/>
    <col min="1281" max="1281" width="2.42578125" style="2" customWidth="1"/>
    <col min="1282" max="1282" width="4" style="2" customWidth="1"/>
    <col min="1283" max="1283" width="46.7109375" style="2" customWidth="1"/>
    <col min="1284" max="1284" width="0.140625" style="2" customWidth="1"/>
    <col min="1285" max="1295" width="7.28515625" style="2" customWidth="1"/>
    <col min="1296" max="1296" width="6.42578125" style="2" customWidth="1"/>
    <col min="1297" max="1297" width="8.42578125" style="2" customWidth="1"/>
    <col min="1298" max="1536" width="9.140625" style="2"/>
    <col min="1537" max="1537" width="2.42578125" style="2" customWidth="1"/>
    <col min="1538" max="1538" width="4" style="2" customWidth="1"/>
    <col min="1539" max="1539" width="46.7109375" style="2" customWidth="1"/>
    <col min="1540" max="1540" width="0.140625" style="2" customWidth="1"/>
    <col min="1541" max="1551" width="7.28515625" style="2" customWidth="1"/>
    <col min="1552" max="1552" width="6.42578125" style="2" customWidth="1"/>
    <col min="1553" max="1553" width="8.42578125" style="2" customWidth="1"/>
    <col min="1554" max="1792" width="9.140625" style="2"/>
    <col min="1793" max="1793" width="2.42578125" style="2" customWidth="1"/>
    <col min="1794" max="1794" width="4" style="2" customWidth="1"/>
    <col min="1795" max="1795" width="46.7109375" style="2" customWidth="1"/>
    <col min="1796" max="1796" width="0.140625" style="2" customWidth="1"/>
    <col min="1797" max="1807" width="7.28515625" style="2" customWidth="1"/>
    <col min="1808" max="1808" width="6.42578125" style="2" customWidth="1"/>
    <col min="1809" max="1809" width="8.42578125" style="2" customWidth="1"/>
    <col min="1810" max="2048" width="9.140625" style="2"/>
    <col min="2049" max="2049" width="2.42578125" style="2" customWidth="1"/>
    <col min="2050" max="2050" width="4" style="2" customWidth="1"/>
    <col min="2051" max="2051" width="46.7109375" style="2" customWidth="1"/>
    <col min="2052" max="2052" width="0.140625" style="2" customWidth="1"/>
    <col min="2053" max="2063" width="7.28515625" style="2" customWidth="1"/>
    <col min="2064" max="2064" width="6.42578125" style="2" customWidth="1"/>
    <col min="2065" max="2065" width="8.42578125" style="2" customWidth="1"/>
    <col min="2066" max="2304" width="9.140625" style="2"/>
    <col min="2305" max="2305" width="2.42578125" style="2" customWidth="1"/>
    <col min="2306" max="2306" width="4" style="2" customWidth="1"/>
    <col min="2307" max="2307" width="46.7109375" style="2" customWidth="1"/>
    <col min="2308" max="2308" width="0.140625" style="2" customWidth="1"/>
    <col min="2309" max="2319" width="7.28515625" style="2" customWidth="1"/>
    <col min="2320" max="2320" width="6.42578125" style="2" customWidth="1"/>
    <col min="2321" max="2321" width="8.42578125" style="2" customWidth="1"/>
    <col min="2322" max="2560" width="9.140625" style="2"/>
    <col min="2561" max="2561" width="2.42578125" style="2" customWidth="1"/>
    <col min="2562" max="2562" width="4" style="2" customWidth="1"/>
    <col min="2563" max="2563" width="46.7109375" style="2" customWidth="1"/>
    <col min="2564" max="2564" width="0.140625" style="2" customWidth="1"/>
    <col min="2565" max="2575" width="7.28515625" style="2" customWidth="1"/>
    <col min="2576" max="2576" width="6.42578125" style="2" customWidth="1"/>
    <col min="2577" max="2577" width="8.42578125" style="2" customWidth="1"/>
    <col min="2578" max="2816" width="9.140625" style="2"/>
    <col min="2817" max="2817" width="2.42578125" style="2" customWidth="1"/>
    <col min="2818" max="2818" width="4" style="2" customWidth="1"/>
    <col min="2819" max="2819" width="46.7109375" style="2" customWidth="1"/>
    <col min="2820" max="2820" width="0.140625" style="2" customWidth="1"/>
    <col min="2821" max="2831" width="7.28515625" style="2" customWidth="1"/>
    <col min="2832" max="2832" width="6.42578125" style="2" customWidth="1"/>
    <col min="2833" max="2833" width="8.42578125" style="2" customWidth="1"/>
    <col min="2834" max="3072" width="9.140625" style="2"/>
    <col min="3073" max="3073" width="2.42578125" style="2" customWidth="1"/>
    <col min="3074" max="3074" width="4" style="2" customWidth="1"/>
    <col min="3075" max="3075" width="46.7109375" style="2" customWidth="1"/>
    <col min="3076" max="3076" width="0.140625" style="2" customWidth="1"/>
    <col min="3077" max="3087" width="7.28515625" style="2" customWidth="1"/>
    <col min="3088" max="3088" width="6.42578125" style="2" customWidth="1"/>
    <col min="3089" max="3089" width="8.42578125" style="2" customWidth="1"/>
    <col min="3090" max="3328" width="9.140625" style="2"/>
    <col min="3329" max="3329" width="2.42578125" style="2" customWidth="1"/>
    <col min="3330" max="3330" width="4" style="2" customWidth="1"/>
    <col min="3331" max="3331" width="46.7109375" style="2" customWidth="1"/>
    <col min="3332" max="3332" width="0.140625" style="2" customWidth="1"/>
    <col min="3333" max="3343" width="7.28515625" style="2" customWidth="1"/>
    <col min="3344" max="3344" width="6.42578125" style="2" customWidth="1"/>
    <col min="3345" max="3345" width="8.42578125" style="2" customWidth="1"/>
    <col min="3346" max="3584" width="9.140625" style="2"/>
    <col min="3585" max="3585" width="2.42578125" style="2" customWidth="1"/>
    <col min="3586" max="3586" width="4" style="2" customWidth="1"/>
    <col min="3587" max="3587" width="46.7109375" style="2" customWidth="1"/>
    <col min="3588" max="3588" width="0.140625" style="2" customWidth="1"/>
    <col min="3589" max="3599" width="7.28515625" style="2" customWidth="1"/>
    <col min="3600" max="3600" width="6.42578125" style="2" customWidth="1"/>
    <col min="3601" max="3601" width="8.42578125" style="2" customWidth="1"/>
    <col min="3602" max="3840" width="9.140625" style="2"/>
    <col min="3841" max="3841" width="2.42578125" style="2" customWidth="1"/>
    <col min="3842" max="3842" width="4" style="2" customWidth="1"/>
    <col min="3843" max="3843" width="46.7109375" style="2" customWidth="1"/>
    <col min="3844" max="3844" width="0.140625" style="2" customWidth="1"/>
    <col min="3845" max="3855" width="7.28515625" style="2" customWidth="1"/>
    <col min="3856" max="3856" width="6.42578125" style="2" customWidth="1"/>
    <col min="3857" max="3857" width="8.42578125" style="2" customWidth="1"/>
    <col min="3858" max="4096" width="9.140625" style="2"/>
    <col min="4097" max="4097" width="2.42578125" style="2" customWidth="1"/>
    <col min="4098" max="4098" width="4" style="2" customWidth="1"/>
    <col min="4099" max="4099" width="46.7109375" style="2" customWidth="1"/>
    <col min="4100" max="4100" width="0.140625" style="2" customWidth="1"/>
    <col min="4101" max="4111" width="7.28515625" style="2" customWidth="1"/>
    <col min="4112" max="4112" width="6.42578125" style="2" customWidth="1"/>
    <col min="4113" max="4113" width="8.42578125" style="2" customWidth="1"/>
    <col min="4114" max="4352" width="9.140625" style="2"/>
    <col min="4353" max="4353" width="2.42578125" style="2" customWidth="1"/>
    <col min="4354" max="4354" width="4" style="2" customWidth="1"/>
    <col min="4355" max="4355" width="46.7109375" style="2" customWidth="1"/>
    <col min="4356" max="4356" width="0.140625" style="2" customWidth="1"/>
    <col min="4357" max="4367" width="7.28515625" style="2" customWidth="1"/>
    <col min="4368" max="4368" width="6.42578125" style="2" customWidth="1"/>
    <col min="4369" max="4369" width="8.42578125" style="2" customWidth="1"/>
    <col min="4370" max="4608" width="9.140625" style="2"/>
    <col min="4609" max="4609" width="2.42578125" style="2" customWidth="1"/>
    <col min="4610" max="4610" width="4" style="2" customWidth="1"/>
    <col min="4611" max="4611" width="46.7109375" style="2" customWidth="1"/>
    <col min="4612" max="4612" width="0.140625" style="2" customWidth="1"/>
    <col min="4613" max="4623" width="7.28515625" style="2" customWidth="1"/>
    <col min="4624" max="4624" width="6.42578125" style="2" customWidth="1"/>
    <col min="4625" max="4625" width="8.42578125" style="2" customWidth="1"/>
    <col min="4626" max="4864" width="9.140625" style="2"/>
    <col min="4865" max="4865" width="2.42578125" style="2" customWidth="1"/>
    <col min="4866" max="4866" width="4" style="2" customWidth="1"/>
    <col min="4867" max="4867" width="46.7109375" style="2" customWidth="1"/>
    <col min="4868" max="4868" width="0.140625" style="2" customWidth="1"/>
    <col min="4869" max="4879" width="7.28515625" style="2" customWidth="1"/>
    <col min="4880" max="4880" width="6.42578125" style="2" customWidth="1"/>
    <col min="4881" max="4881" width="8.42578125" style="2" customWidth="1"/>
    <col min="4882" max="5120" width="9.140625" style="2"/>
    <col min="5121" max="5121" width="2.42578125" style="2" customWidth="1"/>
    <col min="5122" max="5122" width="4" style="2" customWidth="1"/>
    <col min="5123" max="5123" width="46.7109375" style="2" customWidth="1"/>
    <col min="5124" max="5124" width="0.140625" style="2" customWidth="1"/>
    <col min="5125" max="5135" width="7.28515625" style="2" customWidth="1"/>
    <col min="5136" max="5136" width="6.42578125" style="2" customWidth="1"/>
    <col min="5137" max="5137" width="8.42578125" style="2" customWidth="1"/>
    <col min="5138" max="5376" width="9.140625" style="2"/>
    <col min="5377" max="5377" width="2.42578125" style="2" customWidth="1"/>
    <col min="5378" max="5378" width="4" style="2" customWidth="1"/>
    <col min="5379" max="5379" width="46.7109375" style="2" customWidth="1"/>
    <col min="5380" max="5380" width="0.140625" style="2" customWidth="1"/>
    <col min="5381" max="5391" width="7.28515625" style="2" customWidth="1"/>
    <col min="5392" max="5392" width="6.42578125" style="2" customWidth="1"/>
    <col min="5393" max="5393" width="8.42578125" style="2" customWidth="1"/>
    <col min="5394" max="5632" width="9.140625" style="2"/>
    <col min="5633" max="5633" width="2.42578125" style="2" customWidth="1"/>
    <col min="5634" max="5634" width="4" style="2" customWidth="1"/>
    <col min="5635" max="5635" width="46.7109375" style="2" customWidth="1"/>
    <col min="5636" max="5636" width="0.140625" style="2" customWidth="1"/>
    <col min="5637" max="5647" width="7.28515625" style="2" customWidth="1"/>
    <col min="5648" max="5648" width="6.42578125" style="2" customWidth="1"/>
    <col min="5649" max="5649" width="8.42578125" style="2" customWidth="1"/>
    <col min="5650" max="5888" width="9.140625" style="2"/>
    <col min="5889" max="5889" width="2.42578125" style="2" customWidth="1"/>
    <col min="5890" max="5890" width="4" style="2" customWidth="1"/>
    <col min="5891" max="5891" width="46.7109375" style="2" customWidth="1"/>
    <col min="5892" max="5892" width="0.140625" style="2" customWidth="1"/>
    <col min="5893" max="5903" width="7.28515625" style="2" customWidth="1"/>
    <col min="5904" max="5904" width="6.42578125" style="2" customWidth="1"/>
    <col min="5905" max="5905" width="8.42578125" style="2" customWidth="1"/>
    <col min="5906" max="6144" width="9.140625" style="2"/>
    <col min="6145" max="6145" width="2.42578125" style="2" customWidth="1"/>
    <col min="6146" max="6146" width="4" style="2" customWidth="1"/>
    <col min="6147" max="6147" width="46.7109375" style="2" customWidth="1"/>
    <col min="6148" max="6148" width="0.140625" style="2" customWidth="1"/>
    <col min="6149" max="6159" width="7.28515625" style="2" customWidth="1"/>
    <col min="6160" max="6160" width="6.42578125" style="2" customWidth="1"/>
    <col min="6161" max="6161" width="8.42578125" style="2" customWidth="1"/>
    <col min="6162" max="6400" width="9.140625" style="2"/>
    <col min="6401" max="6401" width="2.42578125" style="2" customWidth="1"/>
    <col min="6402" max="6402" width="4" style="2" customWidth="1"/>
    <col min="6403" max="6403" width="46.7109375" style="2" customWidth="1"/>
    <col min="6404" max="6404" width="0.140625" style="2" customWidth="1"/>
    <col min="6405" max="6415" width="7.28515625" style="2" customWidth="1"/>
    <col min="6416" max="6416" width="6.42578125" style="2" customWidth="1"/>
    <col min="6417" max="6417" width="8.42578125" style="2" customWidth="1"/>
    <col min="6418" max="6656" width="9.140625" style="2"/>
    <col min="6657" max="6657" width="2.42578125" style="2" customWidth="1"/>
    <col min="6658" max="6658" width="4" style="2" customWidth="1"/>
    <col min="6659" max="6659" width="46.7109375" style="2" customWidth="1"/>
    <col min="6660" max="6660" width="0.140625" style="2" customWidth="1"/>
    <col min="6661" max="6671" width="7.28515625" style="2" customWidth="1"/>
    <col min="6672" max="6672" width="6.42578125" style="2" customWidth="1"/>
    <col min="6673" max="6673" width="8.42578125" style="2" customWidth="1"/>
    <col min="6674" max="6912" width="9.140625" style="2"/>
    <col min="6913" max="6913" width="2.42578125" style="2" customWidth="1"/>
    <col min="6914" max="6914" width="4" style="2" customWidth="1"/>
    <col min="6915" max="6915" width="46.7109375" style="2" customWidth="1"/>
    <col min="6916" max="6916" width="0.140625" style="2" customWidth="1"/>
    <col min="6917" max="6927" width="7.28515625" style="2" customWidth="1"/>
    <col min="6928" max="6928" width="6.42578125" style="2" customWidth="1"/>
    <col min="6929" max="6929" width="8.42578125" style="2" customWidth="1"/>
    <col min="6930" max="7168" width="9.140625" style="2"/>
    <col min="7169" max="7169" width="2.42578125" style="2" customWidth="1"/>
    <col min="7170" max="7170" width="4" style="2" customWidth="1"/>
    <col min="7171" max="7171" width="46.7109375" style="2" customWidth="1"/>
    <col min="7172" max="7172" width="0.140625" style="2" customWidth="1"/>
    <col min="7173" max="7183" width="7.28515625" style="2" customWidth="1"/>
    <col min="7184" max="7184" width="6.42578125" style="2" customWidth="1"/>
    <col min="7185" max="7185" width="8.42578125" style="2" customWidth="1"/>
    <col min="7186" max="7424" width="9.140625" style="2"/>
    <col min="7425" max="7425" width="2.42578125" style="2" customWidth="1"/>
    <col min="7426" max="7426" width="4" style="2" customWidth="1"/>
    <col min="7427" max="7427" width="46.7109375" style="2" customWidth="1"/>
    <col min="7428" max="7428" width="0.140625" style="2" customWidth="1"/>
    <col min="7429" max="7439" width="7.28515625" style="2" customWidth="1"/>
    <col min="7440" max="7440" width="6.42578125" style="2" customWidth="1"/>
    <col min="7441" max="7441" width="8.42578125" style="2" customWidth="1"/>
    <col min="7442" max="7680" width="9.140625" style="2"/>
    <col min="7681" max="7681" width="2.42578125" style="2" customWidth="1"/>
    <col min="7682" max="7682" width="4" style="2" customWidth="1"/>
    <col min="7683" max="7683" width="46.7109375" style="2" customWidth="1"/>
    <col min="7684" max="7684" width="0.140625" style="2" customWidth="1"/>
    <col min="7685" max="7695" width="7.28515625" style="2" customWidth="1"/>
    <col min="7696" max="7696" width="6.42578125" style="2" customWidth="1"/>
    <col min="7697" max="7697" width="8.42578125" style="2" customWidth="1"/>
    <col min="7698" max="7936" width="9.140625" style="2"/>
    <col min="7937" max="7937" width="2.42578125" style="2" customWidth="1"/>
    <col min="7938" max="7938" width="4" style="2" customWidth="1"/>
    <col min="7939" max="7939" width="46.7109375" style="2" customWidth="1"/>
    <col min="7940" max="7940" width="0.140625" style="2" customWidth="1"/>
    <col min="7941" max="7951" width="7.28515625" style="2" customWidth="1"/>
    <col min="7952" max="7952" width="6.42578125" style="2" customWidth="1"/>
    <col min="7953" max="7953" width="8.42578125" style="2" customWidth="1"/>
    <col min="7954" max="8192" width="9.140625" style="2"/>
    <col min="8193" max="8193" width="2.42578125" style="2" customWidth="1"/>
    <col min="8194" max="8194" width="4" style="2" customWidth="1"/>
    <col min="8195" max="8195" width="46.7109375" style="2" customWidth="1"/>
    <col min="8196" max="8196" width="0.140625" style="2" customWidth="1"/>
    <col min="8197" max="8207" width="7.28515625" style="2" customWidth="1"/>
    <col min="8208" max="8208" width="6.42578125" style="2" customWidth="1"/>
    <col min="8209" max="8209" width="8.42578125" style="2" customWidth="1"/>
    <col min="8210" max="8448" width="9.140625" style="2"/>
    <col min="8449" max="8449" width="2.42578125" style="2" customWidth="1"/>
    <col min="8450" max="8450" width="4" style="2" customWidth="1"/>
    <col min="8451" max="8451" width="46.7109375" style="2" customWidth="1"/>
    <col min="8452" max="8452" width="0.140625" style="2" customWidth="1"/>
    <col min="8453" max="8463" width="7.28515625" style="2" customWidth="1"/>
    <col min="8464" max="8464" width="6.42578125" style="2" customWidth="1"/>
    <col min="8465" max="8465" width="8.42578125" style="2" customWidth="1"/>
    <col min="8466" max="8704" width="9.140625" style="2"/>
    <col min="8705" max="8705" width="2.42578125" style="2" customWidth="1"/>
    <col min="8706" max="8706" width="4" style="2" customWidth="1"/>
    <col min="8707" max="8707" width="46.7109375" style="2" customWidth="1"/>
    <col min="8708" max="8708" width="0.140625" style="2" customWidth="1"/>
    <col min="8709" max="8719" width="7.28515625" style="2" customWidth="1"/>
    <col min="8720" max="8720" width="6.42578125" style="2" customWidth="1"/>
    <col min="8721" max="8721" width="8.42578125" style="2" customWidth="1"/>
    <col min="8722" max="8960" width="9.140625" style="2"/>
    <col min="8961" max="8961" width="2.42578125" style="2" customWidth="1"/>
    <col min="8962" max="8962" width="4" style="2" customWidth="1"/>
    <col min="8963" max="8963" width="46.7109375" style="2" customWidth="1"/>
    <col min="8964" max="8964" width="0.140625" style="2" customWidth="1"/>
    <col min="8965" max="8975" width="7.28515625" style="2" customWidth="1"/>
    <col min="8976" max="8976" width="6.42578125" style="2" customWidth="1"/>
    <col min="8977" max="8977" width="8.42578125" style="2" customWidth="1"/>
    <col min="8978" max="9216" width="9.140625" style="2"/>
    <col min="9217" max="9217" width="2.42578125" style="2" customWidth="1"/>
    <col min="9218" max="9218" width="4" style="2" customWidth="1"/>
    <col min="9219" max="9219" width="46.7109375" style="2" customWidth="1"/>
    <col min="9220" max="9220" width="0.140625" style="2" customWidth="1"/>
    <col min="9221" max="9231" width="7.28515625" style="2" customWidth="1"/>
    <col min="9232" max="9232" width="6.42578125" style="2" customWidth="1"/>
    <col min="9233" max="9233" width="8.42578125" style="2" customWidth="1"/>
    <col min="9234" max="9472" width="9.140625" style="2"/>
    <col min="9473" max="9473" width="2.42578125" style="2" customWidth="1"/>
    <col min="9474" max="9474" width="4" style="2" customWidth="1"/>
    <col min="9475" max="9475" width="46.7109375" style="2" customWidth="1"/>
    <col min="9476" max="9476" width="0.140625" style="2" customWidth="1"/>
    <col min="9477" max="9487" width="7.28515625" style="2" customWidth="1"/>
    <col min="9488" max="9488" width="6.42578125" style="2" customWidth="1"/>
    <col min="9489" max="9489" width="8.42578125" style="2" customWidth="1"/>
    <col min="9490" max="9728" width="9.140625" style="2"/>
    <col min="9729" max="9729" width="2.42578125" style="2" customWidth="1"/>
    <col min="9730" max="9730" width="4" style="2" customWidth="1"/>
    <col min="9731" max="9731" width="46.7109375" style="2" customWidth="1"/>
    <col min="9732" max="9732" width="0.140625" style="2" customWidth="1"/>
    <col min="9733" max="9743" width="7.28515625" style="2" customWidth="1"/>
    <col min="9744" max="9744" width="6.42578125" style="2" customWidth="1"/>
    <col min="9745" max="9745" width="8.42578125" style="2" customWidth="1"/>
    <col min="9746" max="9984" width="9.140625" style="2"/>
    <col min="9985" max="9985" width="2.42578125" style="2" customWidth="1"/>
    <col min="9986" max="9986" width="4" style="2" customWidth="1"/>
    <col min="9987" max="9987" width="46.7109375" style="2" customWidth="1"/>
    <col min="9988" max="9988" width="0.140625" style="2" customWidth="1"/>
    <col min="9989" max="9999" width="7.28515625" style="2" customWidth="1"/>
    <col min="10000" max="10000" width="6.42578125" style="2" customWidth="1"/>
    <col min="10001" max="10001" width="8.42578125" style="2" customWidth="1"/>
    <col min="10002" max="10240" width="9.140625" style="2"/>
    <col min="10241" max="10241" width="2.42578125" style="2" customWidth="1"/>
    <col min="10242" max="10242" width="4" style="2" customWidth="1"/>
    <col min="10243" max="10243" width="46.7109375" style="2" customWidth="1"/>
    <col min="10244" max="10244" width="0.140625" style="2" customWidth="1"/>
    <col min="10245" max="10255" width="7.28515625" style="2" customWidth="1"/>
    <col min="10256" max="10256" width="6.42578125" style="2" customWidth="1"/>
    <col min="10257" max="10257" width="8.42578125" style="2" customWidth="1"/>
    <col min="10258" max="10496" width="9.140625" style="2"/>
    <col min="10497" max="10497" width="2.42578125" style="2" customWidth="1"/>
    <col min="10498" max="10498" width="4" style="2" customWidth="1"/>
    <col min="10499" max="10499" width="46.7109375" style="2" customWidth="1"/>
    <col min="10500" max="10500" width="0.140625" style="2" customWidth="1"/>
    <col min="10501" max="10511" width="7.28515625" style="2" customWidth="1"/>
    <col min="10512" max="10512" width="6.42578125" style="2" customWidth="1"/>
    <col min="10513" max="10513" width="8.42578125" style="2" customWidth="1"/>
    <col min="10514" max="10752" width="9.140625" style="2"/>
    <col min="10753" max="10753" width="2.42578125" style="2" customWidth="1"/>
    <col min="10754" max="10754" width="4" style="2" customWidth="1"/>
    <col min="10755" max="10755" width="46.7109375" style="2" customWidth="1"/>
    <col min="10756" max="10756" width="0.140625" style="2" customWidth="1"/>
    <col min="10757" max="10767" width="7.28515625" style="2" customWidth="1"/>
    <col min="10768" max="10768" width="6.42578125" style="2" customWidth="1"/>
    <col min="10769" max="10769" width="8.42578125" style="2" customWidth="1"/>
    <col min="10770" max="11008" width="9.140625" style="2"/>
    <col min="11009" max="11009" width="2.42578125" style="2" customWidth="1"/>
    <col min="11010" max="11010" width="4" style="2" customWidth="1"/>
    <col min="11011" max="11011" width="46.7109375" style="2" customWidth="1"/>
    <col min="11012" max="11012" width="0.140625" style="2" customWidth="1"/>
    <col min="11013" max="11023" width="7.28515625" style="2" customWidth="1"/>
    <col min="11024" max="11024" width="6.42578125" style="2" customWidth="1"/>
    <col min="11025" max="11025" width="8.42578125" style="2" customWidth="1"/>
    <col min="11026" max="11264" width="9.140625" style="2"/>
    <col min="11265" max="11265" width="2.42578125" style="2" customWidth="1"/>
    <col min="11266" max="11266" width="4" style="2" customWidth="1"/>
    <col min="11267" max="11267" width="46.7109375" style="2" customWidth="1"/>
    <col min="11268" max="11268" width="0.140625" style="2" customWidth="1"/>
    <col min="11269" max="11279" width="7.28515625" style="2" customWidth="1"/>
    <col min="11280" max="11280" width="6.42578125" style="2" customWidth="1"/>
    <col min="11281" max="11281" width="8.42578125" style="2" customWidth="1"/>
    <col min="11282" max="11520" width="9.140625" style="2"/>
    <col min="11521" max="11521" width="2.42578125" style="2" customWidth="1"/>
    <col min="11522" max="11522" width="4" style="2" customWidth="1"/>
    <col min="11523" max="11523" width="46.7109375" style="2" customWidth="1"/>
    <col min="11524" max="11524" width="0.140625" style="2" customWidth="1"/>
    <col min="11525" max="11535" width="7.28515625" style="2" customWidth="1"/>
    <col min="11536" max="11536" width="6.42578125" style="2" customWidth="1"/>
    <col min="11537" max="11537" width="8.42578125" style="2" customWidth="1"/>
    <col min="11538" max="11776" width="9.140625" style="2"/>
    <col min="11777" max="11777" width="2.42578125" style="2" customWidth="1"/>
    <col min="11778" max="11778" width="4" style="2" customWidth="1"/>
    <col min="11779" max="11779" width="46.7109375" style="2" customWidth="1"/>
    <col min="11780" max="11780" width="0.140625" style="2" customWidth="1"/>
    <col min="11781" max="11791" width="7.28515625" style="2" customWidth="1"/>
    <col min="11792" max="11792" width="6.42578125" style="2" customWidth="1"/>
    <col min="11793" max="11793" width="8.42578125" style="2" customWidth="1"/>
    <col min="11794" max="12032" width="9.140625" style="2"/>
    <col min="12033" max="12033" width="2.42578125" style="2" customWidth="1"/>
    <col min="12034" max="12034" width="4" style="2" customWidth="1"/>
    <col min="12035" max="12035" width="46.7109375" style="2" customWidth="1"/>
    <col min="12036" max="12036" width="0.140625" style="2" customWidth="1"/>
    <col min="12037" max="12047" width="7.28515625" style="2" customWidth="1"/>
    <col min="12048" max="12048" width="6.42578125" style="2" customWidth="1"/>
    <col min="12049" max="12049" width="8.42578125" style="2" customWidth="1"/>
    <col min="12050" max="12288" width="9.140625" style="2"/>
    <col min="12289" max="12289" width="2.42578125" style="2" customWidth="1"/>
    <col min="12290" max="12290" width="4" style="2" customWidth="1"/>
    <col min="12291" max="12291" width="46.7109375" style="2" customWidth="1"/>
    <col min="12292" max="12292" width="0.140625" style="2" customWidth="1"/>
    <col min="12293" max="12303" width="7.28515625" style="2" customWidth="1"/>
    <col min="12304" max="12304" width="6.42578125" style="2" customWidth="1"/>
    <col min="12305" max="12305" width="8.42578125" style="2" customWidth="1"/>
    <col min="12306" max="12544" width="9.140625" style="2"/>
    <col min="12545" max="12545" width="2.42578125" style="2" customWidth="1"/>
    <col min="12546" max="12546" width="4" style="2" customWidth="1"/>
    <col min="12547" max="12547" width="46.7109375" style="2" customWidth="1"/>
    <col min="12548" max="12548" width="0.140625" style="2" customWidth="1"/>
    <col min="12549" max="12559" width="7.28515625" style="2" customWidth="1"/>
    <col min="12560" max="12560" width="6.42578125" style="2" customWidth="1"/>
    <col min="12561" max="12561" width="8.42578125" style="2" customWidth="1"/>
    <col min="12562" max="12800" width="9.140625" style="2"/>
    <col min="12801" max="12801" width="2.42578125" style="2" customWidth="1"/>
    <col min="12802" max="12802" width="4" style="2" customWidth="1"/>
    <col min="12803" max="12803" width="46.7109375" style="2" customWidth="1"/>
    <col min="12804" max="12804" width="0.140625" style="2" customWidth="1"/>
    <col min="12805" max="12815" width="7.28515625" style="2" customWidth="1"/>
    <col min="12816" max="12816" width="6.42578125" style="2" customWidth="1"/>
    <col min="12817" max="12817" width="8.42578125" style="2" customWidth="1"/>
    <col min="12818" max="13056" width="9.140625" style="2"/>
    <col min="13057" max="13057" width="2.42578125" style="2" customWidth="1"/>
    <col min="13058" max="13058" width="4" style="2" customWidth="1"/>
    <col min="13059" max="13059" width="46.7109375" style="2" customWidth="1"/>
    <col min="13060" max="13060" width="0.140625" style="2" customWidth="1"/>
    <col min="13061" max="13071" width="7.28515625" style="2" customWidth="1"/>
    <col min="13072" max="13072" width="6.42578125" style="2" customWidth="1"/>
    <col min="13073" max="13073" width="8.42578125" style="2" customWidth="1"/>
    <col min="13074" max="13312" width="9.140625" style="2"/>
    <col min="13313" max="13313" width="2.42578125" style="2" customWidth="1"/>
    <col min="13314" max="13314" width="4" style="2" customWidth="1"/>
    <col min="13315" max="13315" width="46.7109375" style="2" customWidth="1"/>
    <col min="13316" max="13316" width="0.140625" style="2" customWidth="1"/>
    <col min="13317" max="13327" width="7.28515625" style="2" customWidth="1"/>
    <col min="13328" max="13328" width="6.42578125" style="2" customWidth="1"/>
    <col min="13329" max="13329" width="8.42578125" style="2" customWidth="1"/>
    <col min="13330" max="13568" width="9.140625" style="2"/>
    <col min="13569" max="13569" width="2.42578125" style="2" customWidth="1"/>
    <col min="13570" max="13570" width="4" style="2" customWidth="1"/>
    <col min="13571" max="13571" width="46.7109375" style="2" customWidth="1"/>
    <col min="13572" max="13572" width="0.140625" style="2" customWidth="1"/>
    <col min="13573" max="13583" width="7.28515625" style="2" customWidth="1"/>
    <col min="13584" max="13584" width="6.42578125" style="2" customWidth="1"/>
    <col min="13585" max="13585" width="8.42578125" style="2" customWidth="1"/>
    <col min="13586" max="13824" width="9.140625" style="2"/>
    <col min="13825" max="13825" width="2.42578125" style="2" customWidth="1"/>
    <col min="13826" max="13826" width="4" style="2" customWidth="1"/>
    <col min="13827" max="13827" width="46.7109375" style="2" customWidth="1"/>
    <col min="13828" max="13828" width="0.140625" style="2" customWidth="1"/>
    <col min="13829" max="13839" width="7.28515625" style="2" customWidth="1"/>
    <col min="13840" max="13840" width="6.42578125" style="2" customWidth="1"/>
    <col min="13841" max="13841" width="8.42578125" style="2" customWidth="1"/>
    <col min="13842" max="14080" width="9.140625" style="2"/>
    <col min="14081" max="14081" width="2.42578125" style="2" customWidth="1"/>
    <col min="14082" max="14082" width="4" style="2" customWidth="1"/>
    <col min="14083" max="14083" width="46.7109375" style="2" customWidth="1"/>
    <col min="14084" max="14084" width="0.140625" style="2" customWidth="1"/>
    <col min="14085" max="14095" width="7.28515625" style="2" customWidth="1"/>
    <col min="14096" max="14096" width="6.42578125" style="2" customWidth="1"/>
    <col min="14097" max="14097" width="8.42578125" style="2" customWidth="1"/>
    <col min="14098" max="14336" width="9.140625" style="2"/>
    <col min="14337" max="14337" width="2.42578125" style="2" customWidth="1"/>
    <col min="14338" max="14338" width="4" style="2" customWidth="1"/>
    <col min="14339" max="14339" width="46.7109375" style="2" customWidth="1"/>
    <col min="14340" max="14340" width="0.140625" style="2" customWidth="1"/>
    <col min="14341" max="14351" width="7.28515625" style="2" customWidth="1"/>
    <col min="14352" max="14352" width="6.42578125" style="2" customWidth="1"/>
    <col min="14353" max="14353" width="8.42578125" style="2" customWidth="1"/>
    <col min="14354" max="14592" width="9.140625" style="2"/>
    <col min="14593" max="14593" width="2.42578125" style="2" customWidth="1"/>
    <col min="14594" max="14594" width="4" style="2" customWidth="1"/>
    <col min="14595" max="14595" width="46.7109375" style="2" customWidth="1"/>
    <col min="14596" max="14596" width="0.140625" style="2" customWidth="1"/>
    <col min="14597" max="14607" width="7.28515625" style="2" customWidth="1"/>
    <col min="14608" max="14608" width="6.42578125" style="2" customWidth="1"/>
    <col min="14609" max="14609" width="8.42578125" style="2" customWidth="1"/>
    <col min="14610" max="14848" width="9.140625" style="2"/>
    <col min="14849" max="14849" width="2.42578125" style="2" customWidth="1"/>
    <col min="14850" max="14850" width="4" style="2" customWidth="1"/>
    <col min="14851" max="14851" width="46.7109375" style="2" customWidth="1"/>
    <col min="14852" max="14852" width="0.140625" style="2" customWidth="1"/>
    <col min="14853" max="14863" width="7.28515625" style="2" customWidth="1"/>
    <col min="14864" max="14864" width="6.42578125" style="2" customWidth="1"/>
    <col min="14865" max="14865" width="8.42578125" style="2" customWidth="1"/>
    <col min="14866" max="15104" width="9.140625" style="2"/>
    <col min="15105" max="15105" width="2.42578125" style="2" customWidth="1"/>
    <col min="15106" max="15106" width="4" style="2" customWidth="1"/>
    <col min="15107" max="15107" width="46.7109375" style="2" customWidth="1"/>
    <col min="15108" max="15108" width="0.140625" style="2" customWidth="1"/>
    <col min="15109" max="15119" width="7.28515625" style="2" customWidth="1"/>
    <col min="15120" max="15120" width="6.42578125" style="2" customWidth="1"/>
    <col min="15121" max="15121" width="8.42578125" style="2" customWidth="1"/>
    <col min="15122" max="15360" width="9.140625" style="2"/>
    <col min="15361" max="15361" width="2.42578125" style="2" customWidth="1"/>
    <col min="15362" max="15362" width="4" style="2" customWidth="1"/>
    <col min="15363" max="15363" width="46.7109375" style="2" customWidth="1"/>
    <col min="15364" max="15364" width="0.140625" style="2" customWidth="1"/>
    <col min="15365" max="15375" width="7.28515625" style="2" customWidth="1"/>
    <col min="15376" max="15376" width="6.42578125" style="2" customWidth="1"/>
    <col min="15377" max="15377" width="8.42578125" style="2" customWidth="1"/>
    <col min="15378" max="15616" width="9.140625" style="2"/>
    <col min="15617" max="15617" width="2.42578125" style="2" customWidth="1"/>
    <col min="15618" max="15618" width="4" style="2" customWidth="1"/>
    <col min="15619" max="15619" width="46.7109375" style="2" customWidth="1"/>
    <col min="15620" max="15620" width="0.140625" style="2" customWidth="1"/>
    <col min="15621" max="15631" width="7.28515625" style="2" customWidth="1"/>
    <col min="15632" max="15632" width="6.42578125" style="2" customWidth="1"/>
    <col min="15633" max="15633" width="8.42578125" style="2" customWidth="1"/>
    <col min="15634" max="15872" width="9.140625" style="2"/>
    <col min="15873" max="15873" width="2.42578125" style="2" customWidth="1"/>
    <col min="15874" max="15874" width="4" style="2" customWidth="1"/>
    <col min="15875" max="15875" width="46.7109375" style="2" customWidth="1"/>
    <col min="15876" max="15876" width="0.140625" style="2" customWidth="1"/>
    <col min="15877" max="15887" width="7.28515625" style="2" customWidth="1"/>
    <col min="15888" max="15888" width="6.42578125" style="2" customWidth="1"/>
    <col min="15889" max="15889" width="8.42578125" style="2" customWidth="1"/>
    <col min="15890" max="16128" width="9.140625" style="2"/>
    <col min="16129" max="16129" width="2.42578125" style="2" customWidth="1"/>
    <col min="16130" max="16130" width="4" style="2" customWidth="1"/>
    <col min="16131" max="16131" width="46.7109375" style="2" customWidth="1"/>
    <col min="16132" max="16132" width="0.140625" style="2" customWidth="1"/>
    <col min="16133" max="16143" width="7.28515625" style="2" customWidth="1"/>
    <col min="16144" max="16144" width="6.42578125" style="2" customWidth="1"/>
    <col min="16145" max="16145" width="8.42578125" style="2" customWidth="1"/>
    <col min="16146" max="16384" width="9.140625" style="2"/>
  </cols>
  <sheetData>
    <row r="1" spans="1:17" ht="15" x14ac:dyDescent="0.25">
      <c r="A1" s="1" t="s">
        <v>0</v>
      </c>
      <c r="B1" s="1"/>
      <c r="C1" s="1"/>
      <c r="D1" s="1"/>
      <c r="E1" s="1"/>
      <c r="F1" s="1"/>
      <c r="G1" s="1"/>
      <c r="H1" s="1"/>
      <c r="I1" s="1"/>
      <c r="J1" s="1"/>
      <c r="K1" s="1"/>
      <c r="L1" s="1"/>
      <c r="M1" s="1"/>
      <c r="N1" s="1"/>
      <c r="O1" s="1"/>
      <c r="P1" s="1"/>
      <c r="Q1" s="1"/>
    </row>
    <row r="2" spans="1:17" ht="15" x14ac:dyDescent="0.25">
      <c r="A2" s="1" t="s">
        <v>1</v>
      </c>
      <c r="B2" s="1"/>
      <c r="C2" s="1"/>
      <c r="D2" s="1"/>
      <c r="E2" s="1"/>
      <c r="F2" s="1"/>
      <c r="G2" s="1"/>
      <c r="H2" s="1"/>
      <c r="I2" s="1"/>
      <c r="J2" s="1"/>
      <c r="K2" s="1"/>
      <c r="L2" s="1"/>
      <c r="M2" s="1"/>
      <c r="N2" s="1"/>
      <c r="O2" s="1"/>
      <c r="P2" s="1"/>
      <c r="Q2" s="1"/>
    </row>
    <row r="3" spans="1:17" ht="15" x14ac:dyDescent="0.25">
      <c r="A3" s="315" t="s">
        <v>610</v>
      </c>
      <c r="B3" s="315"/>
      <c r="C3" s="315"/>
      <c r="D3" s="315"/>
      <c r="E3" s="315"/>
      <c r="F3" s="315"/>
      <c r="G3" s="315"/>
      <c r="H3" s="315"/>
      <c r="I3" s="315"/>
      <c r="J3" s="315"/>
      <c r="K3" s="315"/>
      <c r="L3" s="315"/>
      <c r="M3" s="315"/>
      <c r="N3" s="315"/>
      <c r="O3" s="315"/>
      <c r="P3" s="315"/>
      <c r="Q3" s="315"/>
    </row>
    <row r="4" spans="1:17" x14ac:dyDescent="0.2">
      <c r="A4" s="2" t="s">
        <v>3</v>
      </c>
    </row>
    <row r="6" spans="1:17" ht="4.5" customHeight="1" x14ac:dyDescent="0.2">
      <c r="A6" s="126"/>
      <c r="B6" s="126"/>
      <c r="C6" s="126"/>
      <c r="D6" s="126"/>
      <c r="E6" s="126"/>
      <c r="F6" s="126"/>
      <c r="G6" s="126"/>
      <c r="H6" s="126"/>
      <c r="I6" s="126"/>
      <c r="J6" s="126"/>
      <c r="K6" s="126"/>
      <c r="L6" s="126"/>
      <c r="M6" s="126"/>
      <c r="N6" s="126"/>
      <c r="O6" s="126"/>
      <c r="P6" s="126"/>
      <c r="Q6" s="126"/>
    </row>
    <row r="7" spans="1:17" x14ac:dyDescent="0.2">
      <c r="A7" s="328" t="s">
        <v>5</v>
      </c>
      <c r="B7" s="328"/>
      <c r="C7" s="328"/>
      <c r="D7" s="328"/>
      <c r="E7" s="122" t="s">
        <v>461</v>
      </c>
      <c r="F7" s="122" t="s">
        <v>462</v>
      </c>
      <c r="G7" s="122" t="s">
        <v>463</v>
      </c>
      <c r="H7" s="122" t="s">
        <v>464</v>
      </c>
      <c r="I7" s="122" t="s">
        <v>465</v>
      </c>
      <c r="J7" s="122" t="s">
        <v>466</v>
      </c>
      <c r="K7" s="122" t="s">
        <v>467</v>
      </c>
      <c r="L7" s="122" t="s">
        <v>468</v>
      </c>
      <c r="M7" s="122" t="s">
        <v>469</v>
      </c>
      <c r="N7" s="122" t="s">
        <v>470</v>
      </c>
      <c r="O7" s="122" t="s">
        <v>471</v>
      </c>
      <c r="P7" s="122" t="s">
        <v>472</v>
      </c>
      <c r="Q7" s="122" t="s">
        <v>238</v>
      </c>
    </row>
    <row r="8" spans="1:17" ht="6.75" customHeight="1" thickBot="1" x14ac:dyDescent="0.25">
      <c r="A8" s="127"/>
      <c r="B8" s="127"/>
      <c r="C8" s="127"/>
      <c r="D8" s="127"/>
      <c r="E8" s="127"/>
      <c r="F8" s="127"/>
      <c r="G8" s="127"/>
      <c r="H8" s="127"/>
      <c r="I8" s="127"/>
      <c r="J8" s="127"/>
      <c r="K8" s="127"/>
      <c r="L8" s="127"/>
      <c r="M8" s="127"/>
      <c r="N8" s="127"/>
      <c r="O8" s="127"/>
      <c r="P8" s="127"/>
      <c r="Q8" s="127"/>
    </row>
    <row r="9" spans="1:17" ht="15" thickTop="1" x14ac:dyDescent="0.2"/>
    <row r="10" spans="1:17" s="4" customFormat="1" ht="15" x14ac:dyDescent="0.25">
      <c r="A10" s="3" t="s">
        <v>20</v>
      </c>
      <c r="E10" s="19">
        <f t="shared" ref="E10:P10" si="0">SUM(E12:E36)</f>
        <v>223.5</v>
      </c>
      <c r="F10" s="19">
        <f t="shared" si="0"/>
        <v>556.49</v>
      </c>
      <c r="G10" s="19">
        <f t="shared" si="0"/>
        <v>126.43999999999998</v>
      </c>
      <c r="H10" s="19">
        <f t="shared" si="0"/>
        <v>835.63</v>
      </c>
      <c r="I10" s="19">
        <f t="shared" si="0"/>
        <v>75.63000000000001</v>
      </c>
      <c r="J10" s="19">
        <f t="shared" si="0"/>
        <v>4.63</v>
      </c>
      <c r="K10" s="19">
        <f t="shared" si="0"/>
        <v>125.41000000000003</v>
      </c>
      <c r="L10" s="19">
        <f t="shared" si="0"/>
        <v>233.14999999999998</v>
      </c>
      <c r="M10" s="19">
        <f t="shared" si="0"/>
        <v>286.14999999999998</v>
      </c>
      <c r="N10" s="19">
        <f t="shared" si="0"/>
        <v>1520.2600000000002</v>
      </c>
      <c r="O10" s="19">
        <f t="shared" si="0"/>
        <v>209.67999999999998</v>
      </c>
      <c r="P10" s="19">
        <f t="shared" si="0"/>
        <v>148.61000000000001</v>
      </c>
      <c r="Q10" s="19">
        <f>SUM(E10:P10)</f>
        <v>4345.58</v>
      </c>
    </row>
    <row r="11" spans="1:17" ht="7.5" customHeight="1" x14ac:dyDescent="0.25">
      <c r="A11" s="1"/>
      <c r="E11" s="175"/>
      <c r="F11" s="175"/>
      <c r="G11" s="175"/>
      <c r="H11" s="175"/>
      <c r="I11" s="175"/>
      <c r="J11" s="175"/>
      <c r="K11" s="175"/>
      <c r="L11" s="175"/>
      <c r="M11" s="175"/>
      <c r="N11" s="175"/>
      <c r="O11" s="175"/>
      <c r="P11" s="175"/>
      <c r="Q11" s="175"/>
    </row>
    <row r="12" spans="1:17" x14ac:dyDescent="0.2">
      <c r="B12" s="6"/>
      <c r="C12" s="2" t="s">
        <v>555</v>
      </c>
      <c r="E12" s="114">
        <v>0</v>
      </c>
      <c r="F12" s="114">
        <v>0</v>
      </c>
      <c r="G12" s="114">
        <v>0</v>
      </c>
      <c r="H12" s="114">
        <v>0</v>
      </c>
      <c r="I12" s="114">
        <v>0</v>
      </c>
      <c r="J12" s="114">
        <v>0</v>
      </c>
      <c r="K12" s="114">
        <v>0</v>
      </c>
      <c r="L12" s="114">
        <v>0</v>
      </c>
      <c r="M12" s="114">
        <v>0</v>
      </c>
      <c r="N12" s="114">
        <v>0</v>
      </c>
      <c r="O12" s="114">
        <v>0</v>
      </c>
      <c r="P12" s="114">
        <v>0</v>
      </c>
      <c r="Q12" s="114">
        <f t="shared" ref="Q12:Q36" si="1">SUM(E12:P12)</f>
        <v>0</v>
      </c>
    </row>
    <row r="13" spans="1:17" x14ac:dyDescent="0.2">
      <c r="B13" s="6"/>
      <c r="C13" s="2" t="s">
        <v>240</v>
      </c>
      <c r="E13" s="114">
        <v>2.52</v>
      </c>
      <c r="F13" s="114">
        <v>1.54</v>
      </c>
      <c r="G13" s="114">
        <v>2.4</v>
      </c>
      <c r="H13" s="114">
        <v>5.4</v>
      </c>
      <c r="I13" s="114">
        <v>1.9</v>
      </c>
      <c r="J13" s="114">
        <v>0.02</v>
      </c>
      <c r="K13" s="114">
        <v>2.15</v>
      </c>
      <c r="L13" s="114">
        <v>2.35</v>
      </c>
      <c r="M13" s="114">
        <v>3.53</v>
      </c>
      <c r="N13" s="114">
        <v>2.85</v>
      </c>
      <c r="O13" s="114">
        <v>2.2400000000000002</v>
      </c>
      <c r="P13" s="114">
        <v>1.64</v>
      </c>
      <c r="Q13" s="114">
        <f t="shared" si="1"/>
        <v>28.540000000000006</v>
      </c>
    </row>
    <row r="14" spans="1:17" x14ac:dyDescent="0.2">
      <c r="B14" s="6"/>
      <c r="C14" s="2" t="s">
        <v>611</v>
      </c>
      <c r="E14" s="114">
        <v>0.69</v>
      </c>
      <c r="F14" s="114">
        <v>0.55000000000000004</v>
      </c>
      <c r="G14" s="114">
        <v>0.78</v>
      </c>
      <c r="H14" s="114">
        <v>0.92</v>
      </c>
      <c r="I14" s="114">
        <v>0.33</v>
      </c>
      <c r="J14" s="114">
        <v>0.04</v>
      </c>
      <c r="K14" s="114">
        <v>0.41</v>
      </c>
      <c r="L14" s="114">
        <v>0.94</v>
      </c>
      <c r="M14" s="114">
        <v>1.29</v>
      </c>
      <c r="N14" s="114">
        <v>0.88</v>
      </c>
      <c r="O14" s="114">
        <v>0.69</v>
      </c>
      <c r="P14" s="114">
        <v>0.6</v>
      </c>
      <c r="Q14" s="114">
        <f t="shared" si="1"/>
        <v>8.1199999999999992</v>
      </c>
    </row>
    <row r="15" spans="1:17" x14ac:dyDescent="0.2">
      <c r="B15" s="6"/>
      <c r="C15" s="2" t="s">
        <v>242</v>
      </c>
      <c r="E15" s="114">
        <v>2.94</v>
      </c>
      <c r="F15" s="114">
        <v>3.14</v>
      </c>
      <c r="G15" s="114">
        <v>1.57</v>
      </c>
      <c r="H15" s="114">
        <v>1.51</v>
      </c>
      <c r="I15" s="114">
        <v>0.28999999999999998</v>
      </c>
      <c r="J15" s="114">
        <v>0.01</v>
      </c>
      <c r="K15" s="114">
        <v>0.75</v>
      </c>
      <c r="L15" s="114">
        <v>1.46</v>
      </c>
      <c r="M15" s="114">
        <v>1.1499999999999999</v>
      </c>
      <c r="N15" s="114">
        <v>1.1599999999999999</v>
      </c>
      <c r="O15" s="114">
        <v>0.94</v>
      </c>
      <c r="P15" s="114">
        <v>0.76</v>
      </c>
      <c r="Q15" s="114">
        <f t="shared" si="1"/>
        <v>15.679999999999998</v>
      </c>
    </row>
    <row r="16" spans="1:17" x14ac:dyDescent="0.2">
      <c r="B16" s="6"/>
      <c r="C16" s="2" t="s">
        <v>243</v>
      </c>
      <c r="E16" s="114">
        <v>8.43</v>
      </c>
      <c r="F16" s="114">
        <v>5.85</v>
      </c>
      <c r="G16" s="114">
        <v>6.23</v>
      </c>
      <c r="H16" s="114">
        <v>8.98</v>
      </c>
      <c r="I16" s="114">
        <v>2.65</v>
      </c>
      <c r="J16" s="114">
        <v>0</v>
      </c>
      <c r="K16" s="114">
        <v>5.38</v>
      </c>
      <c r="L16" s="114">
        <v>11.77</v>
      </c>
      <c r="M16" s="114">
        <v>17.95</v>
      </c>
      <c r="N16" s="114">
        <v>293.56</v>
      </c>
      <c r="O16" s="114">
        <v>4.5599999999999996</v>
      </c>
      <c r="P16" s="114">
        <v>6.26</v>
      </c>
      <c r="Q16" s="114">
        <f t="shared" si="1"/>
        <v>371.62</v>
      </c>
    </row>
    <row r="17" spans="2:17" x14ac:dyDescent="0.2">
      <c r="B17" s="6"/>
      <c r="C17" s="2" t="s">
        <v>444</v>
      </c>
      <c r="E17" s="114">
        <v>0</v>
      </c>
      <c r="F17" s="114">
        <v>0</v>
      </c>
      <c r="G17" s="114">
        <v>0</v>
      </c>
      <c r="H17" s="114">
        <v>0</v>
      </c>
      <c r="I17" s="114">
        <v>0</v>
      </c>
      <c r="J17" s="114">
        <v>0</v>
      </c>
      <c r="K17" s="114">
        <v>0</v>
      </c>
      <c r="L17" s="114">
        <v>0</v>
      </c>
      <c r="M17" s="114">
        <v>0</v>
      </c>
      <c r="N17" s="114">
        <v>0</v>
      </c>
      <c r="O17" s="114">
        <v>0</v>
      </c>
      <c r="P17" s="114">
        <v>0</v>
      </c>
      <c r="Q17" s="114">
        <f t="shared" si="1"/>
        <v>0</v>
      </c>
    </row>
    <row r="18" spans="2:17" x14ac:dyDescent="0.2">
      <c r="B18" s="6"/>
      <c r="C18" s="2" t="s">
        <v>244</v>
      </c>
      <c r="E18" s="114">
        <v>0.77</v>
      </c>
      <c r="F18" s="114">
        <v>1.38</v>
      </c>
      <c r="G18" s="114">
        <v>0.36</v>
      </c>
      <c r="H18" s="114">
        <v>1.52</v>
      </c>
      <c r="I18" s="114">
        <v>0.04</v>
      </c>
      <c r="J18" s="114">
        <v>0.01</v>
      </c>
      <c r="K18" s="114">
        <v>0.35</v>
      </c>
      <c r="L18" s="114">
        <v>0.11</v>
      </c>
      <c r="M18" s="114">
        <v>0.08</v>
      </c>
      <c r="N18" s="114">
        <v>0.73</v>
      </c>
      <c r="O18" s="114">
        <v>0.09</v>
      </c>
      <c r="P18" s="114">
        <v>0.05</v>
      </c>
      <c r="Q18" s="114">
        <f t="shared" si="1"/>
        <v>5.4899999999999993</v>
      </c>
    </row>
    <row r="19" spans="2:17" x14ac:dyDescent="0.2">
      <c r="B19" s="6"/>
      <c r="C19" s="2" t="s">
        <v>245</v>
      </c>
      <c r="E19" s="114">
        <v>0</v>
      </c>
      <c r="F19" s="114">
        <v>0</v>
      </c>
      <c r="G19" s="114">
        <v>0</v>
      </c>
      <c r="H19" s="114">
        <v>0.06</v>
      </c>
      <c r="I19" s="114">
        <v>0</v>
      </c>
      <c r="J19" s="114">
        <v>0</v>
      </c>
      <c r="K19" s="114">
        <v>0</v>
      </c>
      <c r="L19" s="114">
        <v>0.01</v>
      </c>
      <c r="M19" s="114">
        <v>0</v>
      </c>
      <c r="N19" s="114">
        <v>0.02</v>
      </c>
      <c r="O19" s="114">
        <v>0.01</v>
      </c>
      <c r="P19" s="114">
        <v>0.02</v>
      </c>
      <c r="Q19" s="114">
        <f t="shared" si="1"/>
        <v>0.12</v>
      </c>
    </row>
    <row r="20" spans="2:17" x14ac:dyDescent="0.2">
      <c r="B20" s="6"/>
      <c r="C20" s="2" t="s">
        <v>556</v>
      </c>
      <c r="E20" s="114">
        <v>0</v>
      </c>
      <c r="F20" s="114">
        <v>0</v>
      </c>
      <c r="G20" s="114">
        <v>0</v>
      </c>
      <c r="H20" s="114">
        <v>0</v>
      </c>
      <c r="I20" s="114">
        <v>0</v>
      </c>
      <c r="J20" s="114">
        <v>0</v>
      </c>
      <c r="K20" s="114">
        <v>0</v>
      </c>
      <c r="L20" s="114">
        <v>0</v>
      </c>
      <c r="M20" s="114">
        <v>0</v>
      </c>
      <c r="N20" s="114">
        <v>0</v>
      </c>
      <c r="O20" s="114">
        <v>0</v>
      </c>
      <c r="P20" s="114">
        <v>0</v>
      </c>
      <c r="Q20" s="114">
        <f t="shared" si="1"/>
        <v>0</v>
      </c>
    </row>
    <row r="21" spans="2:17" x14ac:dyDescent="0.2">
      <c r="B21" s="6"/>
      <c r="C21" s="2" t="s">
        <v>557</v>
      </c>
      <c r="E21" s="114">
        <v>0</v>
      </c>
      <c r="F21" s="114">
        <v>0</v>
      </c>
      <c r="G21" s="114">
        <v>0</v>
      </c>
      <c r="H21" s="114">
        <v>0</v>
      </c>
      <c r="I21" s="114">
        <v>0</v>
      </c>
      <c r="J21" s="114">
        <v>0</v>
      </c>
      <c r="K21" s="114">
        <v>0</v>
      </c>
      <c r="L21" s="114">
        <v>0</v>
      </c>
      <c r="M21" s="114">
        <v>0</v>
      </c>
      <c r="N21" s="114">
        <v>0</v>
      </c>
      <c r="O21" s="114">
        <v>0</v>
      </c>
      <c r="P21" s="114">
        <v>0</v>
      </c>
      <c r="Q21" s="114">
        <f t="shared" si="1"/>
        <v>0</v>
      </c>
    </row>
    <row r="22" spans="2:17" x14ac:dyDescent="0.2">
      <c r="B22" s="6"/>
      <c r="C22" s="2" t="s">
        <v>246</v>
      </c>
      <c r="E22" s="114">
        <v>10.09</v>
      </c>
      <c r="F22" s="114">
        <v>4.55</v>
      </c>
      <c r="G22" s="114">
        <v>3.92</v>
      </c>
      <c r="H22" s="114">
        <v>6.11</v>
      </c>
      <c r="I22" s="114">
        <v>1.25</v>
      </c>
      <c r="J22" s="114">
        <v>0</v>
      </c>
      <c r="K22" s="114">
        <v>2.58</v>
      </c>
      <c r="L22" s="114">
        <v>5.74</v>
      </c>
      <c r="M22" s="114">
        <v>4.0199999999999996</v>
      </c>
      <c r="N22" s="114">
        <v>6.35</v>
      </c>
      <c r="O22" s="114">
        <v>4.78</v>
      </c>
      <c r="P22" s="114">
        <v>6.38</v>
      </c>
      <c r="Q22" s="114">
        <f t="shared" si="1"/>
        <v>55.77000000000001</v>
      </c>
    </row>
    <row r="23" spans="2:17" x14ac:dyDescent="0.2">
      <c r="B23" s="6"/>
      <c r="C23" s="2" t="s">
        <v>247</v>
      </c>
      <c r="E23" s="114">
        <v>0.01</v>
      </c>
      <c r="F23" s="114">
        <v>0.11</v>
      </c>
      <c r="G23" s="114">
        <v>0.01</v>
      </c>
      <c r="H23" s="114">
        <v>0.01</v>
      </c>
      <c r="I23" s="114">
        <v>0.04</v>
      </c>
      <c r="J23" s="114">
        <v>0</v>
      </c>
      <c r="K23" s="114">
        <v>0.01</v>
      </c>
      <c r="L23" s="114">
        <v>0.03</v>
      </c>
      <c r="M23" s="114">
        <v>0.35</v>
      </c>
      <c r="N23" s="114">
        <v>0.01</v>
      </c>
      <c r="O23" s="114">
        <v>0.01</v>
      </c>
      <c r="P23" s="114">
        <v>0</v>
      </c>
      <c r="Q23" s="114">
        <f t="shared" si="1"/>
        <v>0.59000000000000008</v>
      </c>
    </row>
    <row r="24" spans="2:17" x14ac:dyDescent="0.2">
      <c r="B24" s="6"/>
      <c r="C24" s="2" t="s">
        <v>248</v>
      </c>
      <c r="E24" s="114">
        <v>0.01</v>
      </c>
      <c r="F24" s="114">
        <v>0.28999999999999998</v>
      </c>
      <c r="G24" s="114">
        <v>0.02</v>
      </c>
      <c r="H24" s="114">
        <v>0</v>
      </c>
      <c r="I24" s="114">
        <v>0</v>
      </c>
      <c r="J24" s="114">
        <v>0</v>
      </c>
      <c r="K24" s="114">
        <v>0</v>
      </c>
      <c r="L24" s="114">
        <v>0</v>
      </c>
      <c r="M24" s="114">
        <v>0</v>
      </c>
      <c r="N24" s="114">
        <v>0</v>
      </c>
      <c r="O24" s="114">
        <v>0.01</v>
      </c>
      <c r="P24" s="114">
        <v>0</v>
      </c>
      <c r="Q24" s="114">
        <f t="shared" si="1"/>
        <v>0.33</v>
      </c>
    </row>
    <row r="25" spans="2:17" x14ac:dyDescent="0.2">
      <c r="B25" s="6"/>
      <c r="C25" s="2" t="s">
        <v>558</v>
      </c>
      <c r="E25" s="114">
        <v>0</v>
      </c>
      <c r="F25" s="114">
        <v>0</v>
      </c>
      <c r="G25" s="114">
        <v>0.02</v>
      </c>
      <c r="H25" s="114">
        <v>0</v>
      </c>
      <c r="I25" s="114">
        <v>0</v>
      </c>
      <c r="J25" s="114">
        <v>0</v>
      </c>
      <c r="K25" s="114">
        <v>0.11</v>
      </c>
      <c r="L25" s="114">
        <v>0</v>
      </c>
      <c r="M25" s="114">
        <v>0</v>
      </c>
      <c r="N25" s="114">
        <v>0</v>
      </c>
      <c r="O25" s="114">
        <v>0.01</v>
      </c>
      <c r="P25" s="114">
        <v>0</v>
      </c>
      <c r="Q25" s="114">
        <f t="shared" si="1"/>
        <v>0.14000000000000001</v>
      </c>
    </row>
    <row r="26" spans="2:17" x14ac:dyDescent="0.2">
      <c r="B26" s="6"/>
      <c r="C26" s="2" t="s">
        <v>249</v>
      </c>
      <c r="E26" s="114">
        <v>0.94</v>
      </c>
      <c r="F26" s="114">
        <v>0.44</v>
      </c>
      <c r="G26" s="114">
        <v>0.32</v>
      </c>
      <c r="H26" s="114">
        <v>0.28999999999999998</v>
      </c>
      <c r="I26" s="114">
        <v>0.06</v>
      </c>
      <c r="J26" s="114">
        <v>0</v>
      </c>
      <c r="K26" s="114">
        <v>0.01</v>
      </c>
      <c r="L26" s="114">
        <v>0.11</v>
      </c>
      <c r="M26" s="114">
        <v>0.26</v>
      </c>
      <c r="N26" s="114">
        <v>0.19</v>
      </c>
      <c r="O26" s="114">
        <v>0.11</v>
      </c>
      <c r="P26" s="114">
        <v>0.11</v>
      </c>
      <c r="Q26" s="114">
        <f t="shared" si="1"/>
        <v>2.8399999999999994</v>
      </c>
    </row>
    <row r="27" spans="2:17" x14ac:dyDescent="0.2">
      <c r="B27" s="6"/>
      <c r="C27" s="2" t="s">
        <v>250</v>
      </c>
      <c r="E27" s="114">
        <v>0.83</v>
      </c>
      <c r="F27" s="114">
        <v>0.72</v>
      </c>
      <c r="G27" s="114">
        <v>0.49</v>
      </c>
      <c r="H27" s="114">
        <v>0.21</v>
      </c>
      <c r="I27" s="114">
        <v>0.04</v>
      </c>
      <c r="J27" s="114">
        <v>0</v>
      </c>
      <c r="K27" s="114">
        <v>0.01</v>
      </c>
      <c r="L27" s="114">
        <v>0.56999999999999995</v>
      </c>
      <c r="M27" s="114">
        <v>0.38</v>
      </c>
      <c r="N27" s="114">
        <v>0.42</v>
      </c>
      <c r="O27" s="114">
        <v>0.44</v>
      </c>
      <c r="P27" s="114">
        <v>0.65</v>
      </c>
      <c r="Q27" s="114">
        <f t="shared" si="1"/>
        <v>4.76</v>
      </c>
    </row>
    <row r="28" spans="2:17" x14ac:dyDescent="0.2">
      <c r="B28" s="6"/>
      <c r="C28" s="2" t="s">
        <v>251</v>
      </c>
      <c r="E28" s="114">
        <v>101.84</v>
      </c>
      <c r="F28" s="114">
        <v>471.14</v>
      </c>
      <c r="G28" s="114">
        <v>44.17</v>
      </c>
      <c r="H28" s="114">
        <v>686.81</v>
      </c>
      <c r="I28" s="114">
        <v>41.7</v>
      </c>
      <c r="J28" s="114">
        <v>2.02</v>
      </c>
      <c r="K28" s="114">
        <v>63.14</v>
      </c>
      <c r="L28" s="114">
        <v>109.56</v>
      </c>
      <c r="M28" s="114">
        <v>149.5</v>
      </c>
      <c r="N28" s="114">
        <v>1114.83</v>
      </c>
      <c r="O28" s="114">
        <v>147.63</v>
      </c>
      <c r="P28" s="114">
        <v>73.09</v>
      </c>
      <c r="Q28" s="114">
        <f t="shared" si="1"/>
        <v>3005.4300000000003</v>
      </c>
    </row>
    <row r="29" spans="2:17" x14ac:dyDescent="0.2">
      <c r="B29" s="6"/>
      <c r="C29" s="2" t="s">
        <v>239</v>
      </c>
      <c r="E29" s="114">
        <v>1.92</v>
      </c>
      <c r="F29" s="114">
        <v>0.86</v>
      </c>
      <c r="G29" s="114">
        <v>0.66</v>
      </c>
      <c r="H29" s="114">
        <v>0.7</v>
      </c>
      <c r="I29" s="114">
        <v>0.21</v>
      </c>
      <c r="J29" s="114">
        <v>0</v>
      </c>
      <c r="K29" s="114">
        <v>0.34</v>
      </c>
      <c r="L29" s="114">
        <v>0.73</v>
      </c>
      <c r="M29" s="114">
        <v>0.59</v>
      </c>
      <c r="N29" s="114">
        <v>0.38</v>
      </c>
      <c r="O29" s="114">
        <v>0.71</v>
      </c>
      <c r="P29" s="114">
        <v>1.33</v>
      </c>
      <c r="Q29" s="114">
        <f t="shared" si="1"/>
        <v>8.43</v>
      </c>
    </row>
    <row r="30" spans="2:17" x14ac:dyDescent="0.2">
      <c r="B30" s="6"/>
      <c r="C30" s="2" t="s">
        <v>252</v>
      </c>
      <c r="E30" s="114">
        <v>2.86</v>
      </c>
      <c r="F30" s="114">
        <v>1.05</v>
      </c>
      <c r="G30" s="114">
        <v>1.08</v>
      </c>
      <c r="H30" s="114">
        <v>0.28000000000000003</v>
      </c>
      <c r="I30" s="114">
        <v>0.09</v>
      </c>
      <c r="J30" s="114">
        <v>0</v>
      </c>
      <c r="K30" s="114">
        <v>0.09</v>
      </c>
      <c r="L30" s="114">
        <v>0.25</v>
      </c>
      <c r="M30" s="114">
        <v>0.18</v>
      </c>
      <c r="N30" s="114">
        <v>0.18</v>
      </c>
      <c r="O30" s="114">
        <v>0.61</v>
      </c>
      <c r="P30" s="114">
        <v>0.56999999999999995</v>
      </c>
      <c r="Q30" s="114">
        <f t="shared" si="1"/>
        <v>7.24</v>
      </c>
    </row>
    <row r="31" spans="2:17" x14ac:dyDescent="0.2">
      <c r="B31" s="6"/>
      <c r="C31" s="2" t="s">
        <v>253</v>
      </c>
      <c r="E31" s="114">
        <v>13.61</v>
      </c>
      <c r="F31" s="114">
        <v>6.29</v>
      </c>
      <c r="G31" s="114">
        <v>5.6</v>
      </c>
      <c r="H31" s="114">
        <v>2.08</v>
      </c>
      <c r="I31" s="114">
        <v>3.45</v>
      </c>
      <c r="J31" s="114">
        <v>0</v>
      </c>
      <c r="K31" s="114">
        <v>2.0499999999999998</v>
      </c>
      <c r="L31" s="114">
        <v>4.2</v>
      </c>
      <c r="M31" s="114">
        <v>1.93</v>
      </c>
      <c r="N31" s="114">
        <v>11.33</v>
      </c>
      <c r="O31" s="114">
        <v>1.39</v>
      </c>
      <c r="P31" s="114">
        <v>4.82</v>
      </c>
      <c r="Q31" s="114">
        <f t="shared" si="1"/>
        <v>56.75</v>
      </c>
    </row>
    <row r="32" spans="2:17" x14ac:dyDescent="0.2">
      <c r="B32" s="6"/>
      <c r="C32" s="2" t="s">
        <v>254</v>
      </c>
      <c r="E32" s="114">
        <v>0</v>
      </c>
      <c r="F32" s="114">
        <v>0</v>
      </c>
      <c r="G32" s="114">
        <v>0</v>
      </c>
      <c r="H32" s="114">
        <v>0</v>
      </c>
      <c r="I32" s="114">
        <v>0</v>
      </c>
      <c r="J32" s="114">
        <v>0</v>
      </c>
      <c r="K32" s="114">
        <v>0</v>
      </c>
      <c r="L32" s="114">
        <v>0</v>
      </c>
      <c r="M32" s="114">
        <v>0</v>
      </c>
      <c r="N32" s="114">
        <v>0</v>
      </c>
      <c r="O32" s="114">
        <v>0</v>
      </c>
      <c r="P32" s="114">
        <v>0</v>
      </c>
      <c r="Q32" s="114">
        <f t="shared" si="1"/>
        <v>0</v>
      </c>
    </row>
    <row r="33" spans="1:17" x14ac:dyDescent="0.2">
      <c r="B33" s="6"/>
      <c r="C33" s="2" t="s">
        <v>559</v>
      </c>
      <c r="E33" s="114">
        <v>0</v>
      </c>
      <c r="F33" s="114">
        <v>0</v>
      </c>
      <c r="G33" s="114">
        <v>0</v>
      </c>
      <c r="H33" s="114">
        <v>0</v>
      </c>
      <c r="I33" s="114">
        <v>0</v>
      </c>
      <c r="J33" s="114">
        <v>0</v>
      </c>
      <c r="K33" s="114">
        <v>0</v>
      </c>
      <c r="L33" s="114">
        <v>0</v>
      </c>
      <c r="M33" s="114">
        <v>0</v>
      </c>
      <c r="N33" s="114">
        <v>0</v>
      </c>
      <c r="O33" s="114">
        <v>0.09</v>
      </c>
      <c r="P33" s="114">
        <v>0.08</v>
      </c>
      <c r="Q33" s="114">
        <f t="shared" si="1"/>
        <v>0.16999999999999998</v>
      </c>
    </row>
    <row r="34" spans="1:17" x14ac:dyDescent="0.2">
      <c r="B34" s="6"/>
      <c r="C34" s="2" t="s">
        <v>255</v>
      </c>
      <c r="E34" s="114">
        <v>69.73</v>
      </c>
      <c r="F34" s="114">
        <v>53.81</v>
      </c>
      <c r="G34" s="114">
        <v>55.63</v>
      </c>
      <c r="H34" s="114">
        <v>115.54</v>
      </c>
      <c r="I34" s="114">
        <v>21.72</v>
      </c>
      <c r="J34" s="114">
        <v>2.5</v>
      </c>
      <c r="K34" s="114">
        <v>46.2</v>
      </c>
      <c r="L34" s="114">
        <v>91.72</v>
      </c>
      <c r="M34" s="114">
        <v>101.28</v>
      </c>
      <c r="N34" s="114">
        <v>84.9</v>
      </c>
      <c r="O34" s="114">
        <v>42.83</v>
      </c>
      <c r="P34" s="114">
        <v>50.51</v>
      </c>
      <c r="Q34" s="114">
        <f t="shared" si="1"/>
        <v>736.37</v>
      </c>
    </row>
    <row r="35" spans="1:17" x14ac:dyDescent="0.2">
      <c r="B35" s="6"/>
      <c r="C35" s="2" t="s">
        <v>257</v>
      </c>
      <c r="E35" s="114">
        <v>0.13</v>
      </c>
      <c r="F35" s="114">
        <v>0.13</v>
      </c>
      <c r="G35" s="114">
        <v>0.08</v>
      </c>
      <c r="H35" s="114">
        <v>0.11</v>
      </c>
      <c r="I35" s="114">
        <v>0.02</v>
      </c>
      <c r="J35" s="114">
        <v>0</v>
      </c>
      <c r="K35" s="114">
        <v>0.04</v>
      </c>
      <c r="L35" s="114">
        <v>0.12</v>
      </c>
      <c r="M35" s="114">
        <v>0.09</v>
      </c>
      <c r="N35" s="114">
        <v>0.09</v>
      </c>
      <c r="O35" s="114">
        <v>7.0000000000000007E-2</v>
      </c>
      <c r="P35" s="114">
        <v>0.06</v>
      </c>
      <c r="Q35" s="114">
        <f t="shared" si="1"/>
        <v>0.94</v>
      </c>
    </row>
    <row r="36" spans="1:17" x14ac:dyDescent="0.2">
      <c r="B36" s="6"/>
      <c r="C36" s="2" t="s">
        <v>259</v>
      </c>
      <c r="E36" s="114">
        <v>6.18</v>
      </c>
      <c r="F36" s="114">
        <v>4.6399999999999997</v>
      </c>
      <c r="G36" s="114">
        <v>3.1</v>
      </c>
      <c r="H36" s="114">
        <v>5.0999999999999996</v>
      </c>
      <c r="I36" s="114">
        <v>1.84</v>
      </c>
      <c r="J36" s="114">
        <v>0.03</v>
      </c>
      <c r="K36" s="114">
        <v>1.79</v>
      </c>
      <c r="L36" s="114">
        <v>3.48</v>
      </c>
      <c r="M36" s="114">
        <v>3.57</v>
      </c>
      <c r="N36" s="114">
        <v>2.38</v>
      </c>
      <c r="O36" s="114">
        <v>2.46</v>
      </c>
      <c r="P36" s="114">
        <v>1.68</v>
      </c>
      <c r="Q36" s="114">
        <f t="shared" si="1"/>
        <v>36.25</v>
      </c>
    </row>
    <row r="37" spans="1:17" x14ac:dyDescent="0.2">
      <c r="B37" s="6"/>
      <c r="E37" s="114"/>
      <c r="F37" s="114"/>
      <c r="G37" s="114"/>
      <c r="H37" s="114"/>
      <c r="I37" s="114"/>
      <c r="J37" s="114"/>
      <c r="K37" s="114"/>
      <c r="L37" s="114"/>
      <c r="M37" s="114"/>
      <c r="N37" s="114"/>
      <c r="O37" s="114"/>
      <c r="P37" s="114"/>
      <c r="Q37" s="114"/>
    </row>
    <row r="38" spans="1:17" s="4" customFormat="1" ht="15" x14ac:dyDescent="0.25">
      <c r="A38" s="3" t="s">
        <v>46</v>
      </c>
      <c r="B38" s="8"/>
      <c r="E38" s="19">
        <f>SUM(E40:E45)</f>
        <v>12.37</v>
      </c>
      <c r="F38" s="19">
        <f t="shared" ref="F38:Q38" si="2">SUM(F40:F45)</f>
        <v>8.7499999999999982</v>
      </c>
      <c r="G38" s="19">
        <f t="shared" si="2"/>
        <v>12.770000000000001</v>
      </c>
      <c r="H38" s="19">
        <f t="shared" si="2"/>
        <v>12.87</v>
      </c>
      <c r="I38" s="19">
        <f t="shared" si="2"/>
        <v>12.12</v>
      </c>
      <c r="J38" s="19">
        <f t="shared" si="2"/>
        <v>0</v>
      </c>
      <c r="K38" s="19">
        <f t="shared" si="2"/>
        <v>0.96000000000000008</v>
      </c>
      <c r="L38" s="19">
        <f t="shared" si="2"/>
        <v>17.399999999999999</v>
      </c>
      <c r="M38" s="19">
        <f t="shared" si="2"/>
        <v>14.59</v>
      </c>
      <c r="N38" s="19">
        <f t="shared" si="2"/>
        <v>15.42</v>
      </c>
      <c r="O38" s="19">
        <f t="shared" si="2"/>
        <v>9.1999999999999993</v>
      </c>
      <c r="P38" s="19">
        <f t="shared" si="2"/>
        <v>10.319999999999999</v>
      </c>
      <c r="Q38" s="19">
        <f t="shared" si="2"/>
        <v>126.77000000000001</v>
      </c>
    </row>
    <row r="39" spans="1:17" ht="15" x14ac:dyDescent="0.25">
      <c r="A39" s="1"/>
      <c r="B39" s="6"/>
      <c r="E39" s="183"/>
      <c r="F39" s="183"/>
      <c r="G39" s="183"/>
      <c r="H39" s="183"/>
      <c r="I39" s="183"/>
      <c r="J39" s="183"/>
      <c r="K39" s="183"/>
      <c r="L39" s="183"/>
      <c r="M39" s="183"/>
      <c r="N39" s="183"/>
      <c r="O39" s="183"/>
      <c r="P39" s="183"/>
      <c r="Q39" s="183"/>
    </row>
    <row r="40" spans="1:17" x14ac:dyDescent="0.2">
      <c r="B40" s="9" t="s">
        <v>560</v>
      </c>
      <c r="C40" s="2" t="s">
        <v>261</v>
      </c>
      <c r="E40" s="114">
        <v>0.09</v>
      </c>
      <c r="F40" s="114">
        <v>0.12</v>
      </c>
      <c r="G40" s="114">
        <v>0.22</v>
      </c>
      <c r="H40" s="114">
        <v>0.06</v>
      </c>
      <c r="I40" s="114">
        <v>0</v>
      </c>
      <c r="J40" s="114">
        <v>0</v>
      </c>
      <c r="K40" s="114">
        <v>0.15</v>
      </c>
      <c r="L40" s="114">
        <v>0.08</v>
      </c>
      <c r="M40" s="114">
        <v>0.28000000000000003</v>
      </c>
      <c r="N40" s="114">
        <v>0</v>
      </c>
      <c r="O40" s="114">
        <v>0.4</v>
      </c>
      <c r="P40" s="114">
        <v>0.02</v>
      </c>
      <c r="Q40" s="114">
        <f t="shared" ref="Q40:Q45" si="3">SUM(E40:P40)</f>
        <v>1.42</v>
      </c>
    </row>
    <row r="41" spans="1:17" x14ac:dyDescent="0.2">
      <c r="B41" s="6"/>
      <c r="C41" s="2" t="s">
        <v>612</v>
      </c>
      <c r="E41" s="114">
        <v>0</v>
      </c>
      <c r="F41" s="114">
        <v>0</v>
      </c>
      <c r="G41" s="114">
        <v>0</v>
      </c>
      <c r="H41" s="114">
        <v>0</v>
      </c>
      <c r="I41" s="114">
        <v>0</v>
      </c>
      <c r="J41" s="114">
        <v>0</v>
      </c>
      <c r="K41" s="114">
        <v>0</v>
      </c>
      <c r="L41" s="114">
        <v>0</v>
      </c>
      <c r="M41" s="114">
        <v>0</v>
      </c>
      <c r="N41" s="114">
        <v>0.01</v>
      </c>
      <c r="O41" s="114">
        <v>0</v>
      </c>
      <c r="P41" s="114">
        <v>0</v>
      </c>
      <c r="Q41" s="114">
        <f t="shared" si="3"/>
        <v>0.01</v>
      </c>
    </row>
    <row r="42" spans="1:17" x14ac:dyDescent="0.2">
      <c r="B42" s="6"/>
      <c r="C42" s="2" t="s">
        <v>263</v>
      </c>
      <c r="E42" s="114">
        <v>12.01</v>
      </c>
      <c r="F42" s="114">
        <v>8.52</v>
      </c>
      <c r="G42" s="114">
        <v>12.33</v>
      </c>
      <c r="H42" s="114">
        <v>12.79</v>
      </c>
      <c r="I42" s="114">
        <v>11.84</v>
      </c>
      <c r="J42" s="114">
        <v>0</v>
      </c>
      <c r="K42" s="114">
        <v>0.79</v>
      </c>
      <c r="L42" s="114">
        <v>17.309999999999999</v>
      </c>
      <c r="M42" s="114">
        <v>14.26</v>
      </c>
      <c r="N42" s="114">
        <v>15.4</v>
      </c>
      <c r="O42" s="114">
        <v>8.68</v>
      </c>
      <c r="P42" s="114">
        <v>10.199999999999999</v>
      </c>
      <c r="Q42" s="114">
        <f t="shared" si="3"/>
        <v>124.13000000000001</v>
      </c>
    </row>
    <row r="43" spans="1:17" x14ac:dyDescent="0.2">
      <c r="B43" s="6"/>
      <c r="C43" s="2" t="s">
        <v>265</v>
      </c>
      <c r="E43" s="114">
        <v>0.27</v>
      </c>
      <c r="F43" s="114">
        <v>0.11</v>
      </c>
      <c r="G43" s="114">
        <v>0.22</v>
      </c>
      <c r="H43" s="114">
        <v>0.02</v>
      </c>
      <c r="I43" s="114">
        <v>0</v>
      </c>
      <c r="J43" s="114">
        <v>0</v>
      </c>
      <c r="K43" s="114">
        <v>0.02</v>
      </c>
      <c r="L43" s="114">
        <v>0.01</v>
      </c>
      <c r="M43" s="114">
        <v>0.05</v>
      </c>
      <c r="N43" s="114">
        <v>0.01</v>
      </c>
      <c r="O43" s="114">
        <v>0.12</v>
      </c>
      <c r="P43" s="114">
        <v>0</v>
      </c>
      <c r="Q43" s="114">
        <f t="shared" si="3"/>
        <v>0.83000000000000007</v>
      </c>
    </row>
    <row r="44" spans="1:17" x14ac:dyDescent="0.2">
      <c r="B44" s="6"/>
      <c r="C44" s="2" t="s">
        <v>260</v>
      </c>
      <c r="E44" s="114">
        <v>0</v>
      </c>
      <c r="F44" s="114">
        <v>0</v>
      </c>
      <c r="G44" s="114">
        <v>0</v>
      </c>
      <c r="H44" s="114">
        <v>0</v>
      </c>
      <c r="I44" s="114">
        <v>0.28000000000000003</v>
      </c>
      <c r="J44" s="114">
        <v>0</v>
      </c>
      <c r="K44" s="114">
        <v>0</v>
      </c>
      <c r="L44" s="114">
        <v>0</v>
      </c>
      <c r="M44" s="114">
        <v>0</v>
      </c>
      <c r="N44" s="114">
        <v>0</v>
      </c>
      <c r="O44" s="114">
        <v>0</v>
      </c>
      <c r="P44" s="114">
        <v>0</v>
      </c>
      <c r="Q44" s="114">
        <f t="shared" si="3"/>
        <v>0.28000000000000003</v>
      </c>
    </row>
    <row r="45" spans="1:17" x14ac:dyDescent="0.2">
      <c r="B45" s="6"/>
      <c r="C45" s="2" t="s">
        <v>266</v>
      </c>
      <c r="E45" s="114">
        <v>0</v>
      </c>
      <c r="F45" s="114">
        <v>0</v>
      </c>
      <c r="G45" s="114">
        <v>0</v>
      </c>
      <c r="H45" s="114">
        <v>0</v>
      </c>
      <c r="I45" s="114">
        <v>0</v>
      </c>
      <c r="J45" s="114">
        <v>0</v>
      </c>
      <c r="K45" s="114">
        <v>0</v>
      </c>
      <c r="L45" s="114">
        <v>0</v>
      </c>
      <c r="M45" s="114">
        <v>0</v>
      </c>
      <c r="N45" s="114">
        <v>0</v>
      </c>
      <c r="O45" s="114">
        <v>0</v>
      </c>
      <c r="P45" s="114">
        <v>0.1</v>
      </c>
      <c r="Q45" s="114">
        <f t="shared" si="3"/>
        <v>0.1</v>
      </c>
    </row>
    <row r="46" spans="1:17" x14ac:dyDescent="0.2">
      <c r="B46" s="6"/>
      <c r="E46" s="114"/>
      <c r="F46" s="114"/>
      <c r="G46" s="114"/>
      <c r="H46" s="114"/>
      <c r="I46" s="114"/>
      <c r="J46" s="114"/>
      <c r="K46" s="114"/>
      <c r="L46" s="114"/>
      <c r="M46" s="114"/>
      <c r="N46" s="114"/>
      <c r="O46" s="114"/>
      <c r="P46" s="114"/>
      <c r="Q46" s="114"/>
    </row>
    <row r="47" spans="1:17" s="4" customFormat="1" ht="15" x14ac:dyDescent="0.25">
      <c r="A47" s="3" t="s">
        <v>54</v>
      </c>
      <c r="E47" s="19">
        <f t="shared" ref="E47:Q47" si="4">SUM(E49:E63)</f>
        <v>24.480000000000004</v>
      </c>
      <c r="F47" s="19">
        <f t="shared" si="4"/>
        <v>25.45</v>
      </c>
      <c r="G47" s="19">
        <f t="shared" si="4"/>
        <v>15.729999999999999</v>
      </c>
      <c r="H47" s="19">
        <f t="shared" si="4"/>
        <v>15.959999999999997</v>
      </c>
      <c r="I47" s="19">
        <f t="shared" si="4"/>
        <v>4.96</v>
      </c>
      <c r="J47" s="19">
        <f t="shared" si="4"/>
        <v>0.4</v>
      </c>
      <c r="K47" s="19">
        <f t="shared" si="4"/>
        <v>4.3900000000000006</v>
      </c>
      <c r="L47" s="19">
        <f t="shared" si="4"/>
        <v>26.709999999999997</v>
      </c>
      <c r="M47" s="19">
        <f t="shared" si="4"/>
        <v>17.189999999999998</v>
      </c>
      <c r="N47" s="19">
        <f t="shared" si="4"/>
        <v>16.98</v>
      </c>
      <c r="O47" s="19">
        <f t="shared" si="4"/>
        <v>20.139999999999997</v>
      </c>
      <c r="P47" s="19">
        <f t="shared" si="4"/>
        <v>11.279999999999998</v>
      </c>
      <c r="Q47" s="19">
        <f t="shared" si="4"/>
        <v>183.66999999999996</v>
      </c>
    </row>
    <row r="48" spans="1:17" ht="15" x14ac:dyDescent="0.25">
      <c r="A48" s="1"/>
      <c r="E48" s="183"/>
      <c r="F48" s="183"/>
      <c r="G48" s="183"/>
      <c r="H48" s="183"/>
      <c r="I48" s="183"/>
      <c r="J48" s="183"/>
      <c r="K48" s="183"/>
      <c r="L48" s="183"/>
      <c r="M48" s="183"/>
      <c r="N48" s="183"/>
      <c r="O48" s="183"/>
      <c r="P48" s="183"/>
      <c r="Q48" s="183"/>
    </row>
    <row r="49" spans="2:17" x14ac:dyDescent="0.2">
      <c r="C49" s="2" t="s">
        <v>446</v>
      </c>
      <c r="E49" s="114">
        <v>0.03</v>
      </c>
      <c r="F49" s="114">
        <v>0</v>
      </c>
      <c r="G49" s="114">
        <v>0</v>
      </c>
      <c r="H49" s="114">
        <v>0</v>
      </c>
      <c r="I49" s="114">
        <v>0.01</v>
      </c>
      <c r="J49" s="114">
        <v>0</v>
      </c>
      <c r="K49" s="114">
        <v>0.03</v>
      </c>
      <c r="L49" s="114">
        <v>0.01</v>
      </c>
      <c r="M49" s="114">
        <v>0</v>
      </c>
      <c r="N49" s="114">
        <v>0</v>
      </c>
      <c r="O49" s="114">
        <v>0.01</v>
      </c>
      <c r="P49" s="114">
        <v>0.02</v>
      </c>
      <c r="Q49" s="114">
        <f t="shared" ref="Q49:Q63" si="5">SUM(E49:P49)</f>
        <v>0.11</v>
      </c>
    </row>
    <row r="50" spans="2:17" x14ac:dyDescent="0.2">
      <c r="B50" s="6"/>
      <c r="C50" s="2" t="s">
        <v>268</v>
      </c>
      <c r="E50" s="114">
        <v>0</v>
      </c>
      <c r="F50" s="114">
        <v>0.01</v>
      </c>
      <c r="G50" s="114">
        <v>0</v>
      </c>
      <c r="H50" s="114">
        <v>0</v>
      </c>
      <c r="I50" s="114">
        <v>0</v>
      </c>
      <c r="J50" s="114">
        <v>0</v>
      </c>
      <c r="K50" s="114">
        <v>0</v>
      </c>
      <c r="L50" s="114">
        <v>0</v>
      </c>
      <c r="M50" s="114">
        <v>0.01</v>
      </c>
      <c r="N50" s="114">
        <v>0</v>
      </c>
      <c r="O50" s="114">
        <v>0</v>
      </c>
      <c r="P50" s="114">
        <v>0.01</v>
      </c>
      <c r="Q50" s="114">
        <f t="shared" si="5"/>
        <v>0.03</v>
      </c>
    </row>
    <row r="51" spans="2:17" x14ac:dyDescent="0.2">
      <c r="B51" s="6"/>
      <c r="C51" s="2" t="s">
        <v>269</v>
      </c>
      <c r="E51" s="114">
        <v>13.27</v>
      </c>
      <c r="F51" s="114">
        <v>13.18</v>
      </c>
      <c r="G51" s="114">
        <v>6.71</v>
      </c>
      <c r="H51" s="114">
        <v>9.2899999999999991</v>
      </c>
      <c r="I51" s="114">
        <v>2.72</v>
      </c>
      <c r="J51" s="114">
        <v>0</v>
      </c>
      <c r="K51" s="114">
        <v>1.47</v>
      </c>
      <c r="L51" s="114">
        <v>13.56</v>
      </c>
      <c r="M51" s="114">
        <v>10.34</v>
      </c>
      <c r="N51" s="114">
        <v>10.119999999999999</v>
      </c>
      <c r="O51" s="114">
        <v>8.52</v>
      </c>
      <c r="P51" s="114">
        <v>6.46</v>
      </c>
      <c r="Q51" s="114">
        <f t="shared" si="5"/>
        <v>95.639999999999986</v>
      </c>
    </row>
    <row r="52" spans="2:17" x14ac:dyDescent="0.2">
      <c r="B52" s="6"/>
      <c r="C52" s="2" t="s">
        <v>270</v>
      </c>
      <c r="E52" s="114">
        <v>5.31</v>
      </c>
      <c r="F52" s="114">
        <v>8.19</v>
      </c>
      <c r="G52" s="114">
        <v>5.75</v>
      </c>
      <c r="H52" s="114">
        <v>3.52</v>
      </c>
      <c r="I52" s="114">
        <v>0.95</v>
      </c>
      <c r="J52" s="114">
        <v>0.3</v>
      </c>
      <c r="K52" s="114">
        <v>0.76</v>
      </c>
      <c r="L52" s="114">
        <v>2.37</v>
      </c>
      <c r="M52" s="114">
        <v>1.95</v>
      </c>
      <c r="N52" s="114">
        <v>2.64</v>
      </c>
      <c r="O52" s="114">
        <v>1.8</v>
      </c>
      <c r="P52" s="114">
        <v>2</v>
      </c>
      <c r="Q52" s="114">
        <f t="shared" si="5"/>
        <v>35.54</v>
      </c>
    </row>
    <row r="53" spans="2:17" x14ac:dyDescent="0.2">
      <c r="B53" s="6"/>
      <c r="C53" s="2" t="s">
        <v>271</v>
      </c>
      <c r="E53" s="114">
        <v>0.55000000000000004</v>
      </c>
      <c r="F53" s="114">
        <v>0.4</v>
      </c>
      <c r="G53" s="114">
        <v>0.62</v>
      </c>
      <c r="H53" s="114">
        <v>1.1000000000000001</v>
      </c>
      <c r="I53" s="114">
        <v>0.02</v>
      </c>
      <c r="J53" s="114">
        <v>0.01</v>
      </c>
      <c r="K53" s="114">
        <v>0.84</v>
      </c>
      <c r="L53" s="114">
        <v>0.72</v>
      </c>
      <c r="M53" s="114">
        <v>0.2</v>
      </c>
      <c r="N53" s="114">
        <v>0.3</v>
      </c>
      <c r="O53" s="114">
        <v>0.4</v>
      </c>
      <c r="P53" s="114">
        <v>0.16</v>
      </c>
      <c r="Q53" s="114">
        <f t="shared" si="5"/>
        <v>5.32</v>
      </c>
    </row>
    <row r="54" spans="2:17" x14ac:dyDescent="0.2">
      <c r="B54" s="6"/>
      <c r="C54" s="2" t="s">
        <v>561</v>
      </c>
      <c r="E54" s="114">
        <v>0.05</v>
      </c>
      <c r="F54" s="114">
        <v>0.03</v>
      </c>
      <c r="G54" s="114">
        <v>0.16</v>
      </c>
      <c r="H54" s="114">
        <v>0.03</v>
      </c>
      <c r="I54" s="114">
        <v>0.03</v>
      </c>
      <c r="J54" s="114">
        <v>0</v>
      </c>
      <c r="K54" s="114">
        <v>0</v>
      </c>
      <c r="L54" s="114">
        <v>0</v>
      </c>
      <c r="M54" s="114">
        <v>0.03</v>
      </c>
      <c r="N54" s="114">
        <v>0.03</v>
      </c>
      <c r="O54" s="114">
        <v>0.03</v>
      </c>
      <c r="P54" s="114">
        <v>0.03</v>
      </c>
      <c r="Q54" s="114">
        <f t="shared" si="5"/>
        <v>0.42000000000000015</v>
      </c>
    </row>
    <row r="55" spans="2:17" x14ac:dyDescent="0.2">
      <c r="B55" s="6"/>
      <c r="C55" s="2" t="s">
        <v>272</v>
      </c>
      <c r="E55" s="114">
        <v>0.12</v>
      </c>
      <c r="F55" s="114">
        <v>0.09</v>
      </c>
      <c r="G55" s="114">
        <v>0.11</v>
      </c>
      <c r="H55" s="114">
        <v>0.12</v>
      </c>
      <c r="I55" s="114">
        <v>0.01</v>
      </c>
      <c r="J55" s="114">
        <v>0</v>
      </c>
      <c r="K55" s="114">
        <v>7.0000000000000007E-2</v>
      </c>
      <c r="L55" s="114">
        <v>0.08</v>
      </c>
      <c r="M55" s="114">
        <v>0.1</v>
      </c>
      <c r="N55" s="114">
        <v>7.0000000000000007E-2</v>
      </c>
      <c r="O55" s="114">
        <v>0.04</v>
      </c>
      <c r="P55" s="114">
        <v>0.03</v>
      </c>
      <c r="Q55" s="114">
        <f t="shared" si="5"/>
        <v>0.84000000000000008</v>
      </c>
    </row>
    <row r="56" spans="2:17" x14ac:dyDescent="0.2">
      <c r="B56" s="6"/>
      <c r="C56" s="2" t="s">
        <v>273</v>
      </c>
      <c r="E56" s="114">
        <v>0</v>
      </c>
      <c r="F56" s="114">
        <v>0.08</v>
      </c>
      <c r="G56" s="114">
        <v>0</v>
      </c>
      <c r="H56" s="114">
        <v>0.01</v>
      </c>
      <c r="I56" s="114">
        <v>0.04</v>
      </c>
      <c r="J56" s="114">
        <v>0</v>
      </c>
      <c r="K56" s="114">
        <v>0</v>
      </c>
      <c r="L56" s="114">
        <v>0.01</v>
      </c>
      <c r="M56" s="114">
        <v>7.0000000000000007E-2</v>
      </c>
      <c r="N56" s="114">
        <v>0</v>
      </c>
      <c r="O56" s="114">
        <v>7.0000000000000007E-2</v>
      </c>
      <c r="P56" s="114">
        <v>0</v>
      </c>
      <c r="Q56" s="114">
        <f t="shared" si="5"/>
        <v>0.28000000000000003</v>
      </c>
    </row>
    <row r="57" spans="2:17" x14ac:dyDescent="0.2">
      <c r="B57" s="6"/>
      <c r="C57" s="2" t="s">
        <v>267</v>
      </c>
      <c r="E57" s="114">
        <v>4.79</v>
      </c>
      <c r="F57" s="114">
        <v>2.85</v>
      </c>
      <c r="G57" s="114">
        <v>1.93</v>
      </c>
      <c r="H57" s="114">
        <v>1.46</v>
      </c>
      <c r="I57" s="114">
        <v>0.89</v>
      </c>
      <c r="J57" s="114">
        <v>0.09</v>
      </c>
      <c r="K57" s="114">
        <v>0.97</v>
      </c>
      <c r="L57" s="114">
        <v>9.1999999999999993</v>
      </c>
      <c r="M57" s="114">
        <v>3.49</v>
      </c>
      <c r="N57" s="114">
        <v>2.79</v>
      </c>
      <c r="O57" s="114">
        <v>8.1199999999999992</v>
      </c>
      <c r="P57" s="114">
        <v>2.17</v>
      </c>
      <c r="Q57" s="114">
        <f t="shared" si="5"/>
        <v>38.75</v>
      </c>
    </row>
    <row r="58" spans="2:17" x14ac:dyDescent="0.2">
      <c r="B58" s="6"/>
      <c r="C58" s="2" t="s">
        <v>274</v>
      </c>
      <c r="E58" s="114">
        <v>7.0000000000000007E-2</v>
      </c>
      <c r="F58" s="114">
        <v>0.02</v>
      </c>
      <c r="G58" s="114">
        <v>0.11</v>
      </c>
      <c r="H58" s="114">
        <v>0</v>
      </c>
      <c r="I58" s="114">
        <v>0.11</v>
      </c>
      <c r="J58" s="114">
        <v>0</v>
      </c>
      <c r="K58" s="114">
        <v>0</v>
      </c>
      <c r="L58" s="114">
        <v>0.12</v>
      </c>
      <c r="M58" s="114">
        <v>0.11</v>
      </c>
      <c r="N58" s="114">
        <v>0.22</v>
      </c>
      <c r="O58" s="114">
        <v>0</v>
      </c>
      <c r="P58" s="114">
        <v>0.01</v>
      </c>
      <c r="Q58" s="114">
        <f t="shared" si="5"/>
        <v>0.77</v>
      </c>
    </row>
    <row r="59" spans="2:17" x14ac:dyDescent="0.2">
      <c r="B59" s="6"/>
      <c r="C59" s="2" t="s">
        <v>275</v>
      </c>
      <c r="E59" s="114">
        <v>0.1</v>
      </c>
      <c r="F59" s="114">
        <v>0.1</v>
      </c>
      <c r="G59" s="114">
        <v>0.15</v>
      </c>
      <c r="H59" s="114">
        <v>0.19</v>
      </c>
      <c r="I59" s="114">
        <v>7.0000000000000007E-2</v>
      </c>
      <c r="J59" s="114">
        <v>0</v>
      </c>
      <c r="K59" s="114">
        <v>0.03</v>
      </c>
      <c r="L59" s="114">
        <v>0.13</v>
      </c>
      <c r="M59" s="114">
        <v>0.11</v>
      </c>
      <c r="N59" s="114">
        <v>0.12</v>
      </c>
      <c r="O59" s="114">
        <v>0.08</v>
      </c>
      <c r="P59" s="114">
        <v>0.09</v>
      </c>
      <c r="Q59" s="114">
        <f t="shared" si="5"/>
        <v>1.1700000000000002</v>
      </c>
    </row>
    <row r="60" spans="2:17" x14ac:dyDescent="0.2">
      <c r="B60" s="6"/>
      <c r="C60" s="2" t="s">
        <v>562</v>
      </c>
      <c r="E60" s="114">
        <v>0</v>
      </c>
      <c r="F60" s="114">
        <v>0</v>
      </c>
      <c r="G60" s="114">
        <v>0</v>
      </c>
      <c r="H60" s="114">
        <v>0</v>
      </c>
      <c r="I60" s="114">
        <v>0</v>
      </c>
      <c r="J60" s="114">
        <v>0</v>
      </c>
      <c r="K60" s="114">
        <v>0.19</v>
      </c>
      <c r="L60" s="114">
        <v>0</v>
      </c>
      <c r="M60" s="114">
        <v>0</v>
      </c>
      <c r="N60" s="114">
        <v>0.22</v>
      </c>
      <c r="O60" s="114">
        <v>0</v>
      </c>
      <c r="P60" s="114">
        <v>0.01</v>
      </c>
      <c r="Q60" s="114">
        <f t="shared" si="5"/>
        <v>0.42000000000000004</v>
      </c>
    </row>
    <row r="61" spans="2:17" x14ac:dyDescent="0.2">
      <c r="B61" s="6"/>
      <c r="C61" s="2" t="s">
        <v>278</v>
      </c>
      <c r="E61" s="114">
        <v>0</v>
      </c>
      <c r="F61" s="114">
        <v>0</v>
      </c>
      <c r="G61" s="114">
        <v>0</v>
      </c>
      <c r="H61" s="114">
        <v>0</v>
      </c>
      <c r="I61" s="114">
        <v>0</v>
      </c>
      <c r="J61" s="114">
        <v>0</v>
      </c>
      <c r="K61" s="114">
        <v>0</v>
      </c>
      <c r="L61" s="114">
        <v>0.04</v>
      </c>
      <c r="M61" s="114">
        <v>0</v>
      </c>
      <c r="N61" s="114">
        <v>0.04</v>
      </c>
      <c r="O61" s="114">
        <v>0.06</v>
      </c>
      <c r="P61" s="114">
        <v>0</v>
      </c>
      <c r="Q61" s="114">
        <f t="shared" si="5"/>
        <v>0.14000000000000001</v>
      </c>
    </row>
    <row r="62" spans="2:17" x14ac:dyDescent="0.2">
      <c r="B62" s="6"/>
      <c r="C62" s="2" t="s">
        <v>813</v>
      </c>
      <c r="E62" s="114">
        <v>0.19</v>
      </c>
      <c r="F62" s="114">
        <v>0.5</v>
      </c>
      <c r="G62" s="114">
        <v>0.19</v>
      </c>
      <c r="H62" s="114">
        <v>0.21</v>
      </c>
      <c r="I62" s="114">
        <v>0.11</v>
      </c>
      <c r="J62" s="114">
        <v>0</v>
      </c>
      <c r="K62" s="114">
        <v>0.03</v>
      </c>
      <c r="L62" s="114">
        <v>0.47</v>
      </c>
      <c r="M62" s="114">
        <v>0.77</v>
      </c>
      <c r="N62" s="114">
        <v>0.42</v>
      </c>
      <c r="O62" s="114">
        <v>1.01</v>
      </c>
      <c r="P62" s="114">
        <v>0.28999999999999998</v>
      </c>
      <c r="Q62" s="114">
        <f t="shared" si="5"/>
        <v>4.1899999999999995</v>
      </c>
    </row>
    <row r="63" spans="2:17" x14ac:dyDescent="0.2">
      <c r="B63" s="6"/>
      <c r="C63" s="2" t="s">
        <v>280</v>
      </c>
      <c r="E63" s="114">
        <v>0</v>
      </c>
      <c r="F63" s="114">
        <v>0</v>
      </c>
      <c r="G63" s="114">
        <v>0</v>
      </c>
      <c r="H63" s="114">
        <v>0.03</v>
      </c>
      <c r="I63" s="114">
        <v>0</v>
      </c>
      <c r="J63" s="114">
        <v>0</v>
      </c>
      <c r="K63" s="114">
        <v>0</v>
      </c>
      <c r="L63" s="114">
        <v>0</v>
      </c>
      <c r="M63" s="114">
        <v>0.01</v>
      </c>
      <c r="N63" s="114">
        <v>0.01</v>
      </c>
      <c r="O63" s="114">
        <v>0</v>
      </c>
      <c r="P63" s="114">
        <v>0</v>
      </c>
      <c r="Q63" s="114">
        <f t="shared" si="5"/>
        <v>0.05</v>
      </c>
    </row>
    <row r="64" spans="2:17" ht="9.75" customHeight="1" x14ac:dyDescent="0.2">
      <c r="B64" s="6"/>
      <c r="E64" s="114"/>
      <c r="F64" s="114"/>
      <c r="G64" s="114"/>
      <c r="H64" s="114"/>
      <c r="I64" s="114"/>
      <c r="J64" s="114"/>
      <c r="K64" s="114"/>
      <c r="L64" s="114"/>
      <c r="M64" s="114"/>
      <c r="N64" s="114"/>
      <c r="O64" s="114"/>
      <c r="P64" s="114"/>
      <c r="Q64" s="114"/>
    </row>
    <row r="65" spans="1:17" s="4" customFormat="1" ht="15" x14ac:dyDescent="0.25">
      <c r="A65" s="3" t="s">
        <v>69</v>
      </c>
      <c r="E65" s="19">
        <f t="shared" ref="E65:M65" si="6">SUM(E67:E67)</f>
        <v>0</v>
      </c>
      <c r="F65" s="19">
        <f t="shared" si="6"/>
        <v>0.01</v>
      </c>
      <c r="G65" s="19">
        <f t="shared" si="6"/>
        <v>0</v>
      </c>
      <c r="H65" s="19">
        <f t="shared" si="6"/>
        <v>0</v>
      </c>
      <c r="I65" s="19">
        <f t="shared" si="6"/>
        <v>0</v>
      </c>
      <c r="J65" s="19">
        <f t="shared" si="6"/>
        <v>0</v>
      </c>
      <c r="K65" s="19">
        <f t="shared" si="6"/>
        <v>0.01</v>
      </c>
      <c r="L65" s="19">
        <f t="shared" si="6"/>
        <v>0</v>
      </c>
      <c r="M65" s="19">
        <f t="shared" si="6"/>
        <v>0.01</v>
      </c>
      <c r="N65" s="19">
        <v>0</v>
      </c>
      <c r="O65" s="19">
        <f>SUM(O67:O67)</f>
        <v>0.01</v>
      </c>
      <c r="P65" s="19">
        <f>SUM(P67:P67)</f>
        <v>0</v>
      </c>
      <c r="Q65" s="19">
        <f>SUM(E65:P65)</f>
        <v>0.04</v>
      </c>
    </row>
    <row r="66" spans="1:17" ht="15" x14ac:dyDescent="0.25">
      <c r="A66" s="1"/>
      <c r="E66" s="183"/>
      <c r="F66" s="183"/>
      <c r="G66" s="183"/>
      <c r="H66" s="183"/>
      <c r="I66" s="183"/>
      <c r="J66" s="183"/>
      <c r="K66" s="183"/>
      <c r="L66" s="183"/>
      <c r="M66" s="183"/>
      <c r="N66" s="183"/>
      <c r="O66" s="183"/>
      <c r="P66" s="183"/>
      <c r="Q66" s="183"/>
    </row>
    <row r="67" spans="1:17" x14ac:dyDescent="0.2">
      <c r="C67" s="2" t="s">
        <v>281</v>
      </c>
      <c r="E67" s="114">
        <v>0</v>
      </c>
      <c r="F67" s="114">
        <v>0.01</v>
      </c>
      <c r="G67" s="114">
        <v>0</v>
      </c>
      <c r="H67" s="114">
        <v>0</v>
      </c>
      <c r="I67" s="114">
        <v>0</v>
      </c>
      <c r="J67" s="114">
        <v>0</v>
      </c>
      <c r="K67" s="114">
        <v>0.01</v>
      </c>
      <c r="L67" s="114">
        <v>0</v>
      </c>
      <c r="M67" s="114">
        <v>0.01</v>
      </c>
      <c r="N67" s="114">
        <v>0</v>
      </c>
      <c r="O67" s="114">
        <v>0.01</v>
      </c>
      <c r="P67" s="114">
        <v>0</v>
      </c>
      <c r="Q67" s="114">
        <f>SUM(E67:P67)</f>
        <v>0.04</v>
      </c>
    </row>
    <row r="68" spans="1:17" x14ac:dyDescent="0.2">
      <c r="B68" s="11"/>
      <c r="E68" s="114" t="s">
        <v>6</v>
      </c>
      <c r="F68" s="114" t="s">
        <v>6</v>
      </c>
      <c r="G68" s="114" t="s">
        <v>6</v>
      </c>
      <c r="H68" s="114" t="s">
        <v>6</v>
      </c>
      <c r="I68" s="114" t="s">
        <v>6</v>
      </c>
      <c r="J68" s="114" t="s">
        <v>6</v>
      </c>
      <c r="K68" s="114" t="s">
        <v>6</v>
      </c>
      <c r="L68" s="114" t="s">
        <v>6</v>
      </c>
      <c r="M68" s="114" t="s">
        <v>6</v>
      </c>
      <c r="N68" s="114" t="s">
        <v>6</v>
      </c>
      <c r="O68" s="114" t="s">
        <v>6</v>
      </c>
      <c r="P68" s="114" t="s">
        <v>6</v>
      </c>
      <c r="Q68" s="114"/>
    </row>
    <row r="69" spans="1:17" s="4" customFormat="1" ht="15" x14ac:dyDescent="0.25">
      <c r="A69" s="3" t="s">
        <v>71</v>
      </c>
      <c r="B69" s="12"/>
      <c r="E69" s="19">
        <f t="shared" ref="E69:P69" si="7">SUM(E71:E72)</f>
        <v>9.73</v>
      </c>
      <c r="F69" s="19">
        <f t="shared" si="7"/>
        <v>4.24</v>
      </c>
      <c r="G69" s="19">
        <f t="shared" si="7"/>
        <v>4.6900000000000004</v>
      </c>
      <c r="H69" s="19">
        <f t="shared" si="7"/>
        <v>8.6999999999999993</v>
      </c>
      <c r="I69" s="19">
        <f t="shared" si="7"/>
        <v>7.16</v>
      </c>
      <c r="J69" s="19">
        <f t="shared" si="7"/>
        <v>7.0000000000000007E-2</v>
      </c>
      <c r="K69" s="19">
        <f t="shared" si="7"/>
        <v>7.52</v>
      </c>
      <c r="L69" s="19">
        <f t="shared" si="7"/>
        <v>30.84</v>
      </c>
      <c r="M69" s="19">
        <f t="shared" si="7"/>
        <v>11.719999999999999</v>
      </c>
      <c r="N69" s="19">
        <f t="shared" si="7"/>
        <v>7.88</v>
      </c>
      <c r="O69" s="19">
        <f t="shared" si="7"/>
        <v>43.33</v>
      </c>
      <c r="P69" s="19">
        <f t="shared" si="7"/>
        <v>14.42</v>
      </c>
      <c r="Q69" s="19">
        <f>SUM(E69:P69)</f>
        <v>150.29999999999998</v>
      </c>
    </row>
    <row r="70" spans="1:17" ht="15" x14ac:dyDescent="0.25">
      <c r="A70" s="1"/>
      <c r="B70" s="11"/>
      <c r="E70" s="183"/>
      <c r="F70" s="183"/>
      <c r="G70" s="183"/>
      <c r="H70" s="183"/>
      <c r="I70" s="183"/>
      <c r="J70" s="183"/>
      <c r="K70" s="183"/>
      <c r="L70" s="183"/>
      <c r="M70" s="183"/>
      <c r="N70" s="183"/>
      <c r="O70" s="183"/>
      <c r="P70" s="183"/>
      <c r="Q70" s="183"/>
    </row>
    <row r="71" spans="1:17" x14ac:dyDescent="0.2">
      <c r="B71" s="11"/>
      <c r="C71" s="2" t="s">
        <v>282</v>
      </c>
      <c r="E71" s="114">
        <v>9.7200000000000006</v>
      </c>
      <c r="F71" s="114">
        <v>4.2300000000000004</v>
      </c>
      <c r="G71" s="114">
        <v>4.6500000000000004</v>
      </c>
      <c r="H71" s="114">
        <v>8.67</v>
      </c>
      <c r="I71" s="114">
        <v>7.15</v>
      </c>
      <c r="J71" s="114">
        <v>7.0000000000000007E-2</v>
      </c>
      <c r="K71" s="114">
        <v>7.5</v>
      </c>
      <c r="L71" s="114">
        <v>30.75</v>
      </c>
      <c r="M71" s="114">
        <v>11.61</v>
      </c>
      <c r="N71" s="114">
        <v>7.79</v>
      </c>
      <c r="O71" s="114">
        <v>43.26</v>
      </c>
      <c r="P71" s="114">
        <v>14.38</v>
      </c>
      <c r="Q71" s="114">
        <f>SUM(E71:P71)</f>
        <v>149.78</v>
      </c>
    </row>
    <row r="72" spans="1:17" x14ac:dyDescent="0.2">
      <c r="B72" s="11"/>
      <c r="C72" s="2" t="s">
        <v>285</v>
      </c>
      <c r="E72" s="114">
        <v>0.01</v>
      </c>
      <c r="F72" s="114">
        <v>0.01</v>
      </c>
      <c r="G72" s="114">
        <v>0.04</v>
      </c>
      <c r="H72" s="114">
        <v>0.03</v>
      </c>
      <c r="I72" s="114">
        <v>0.01</v>
      </c>
      <c r="J72" s="114">
        <v>0</v>
      </c>
      <c r="K72" s="114">
        <v>0.02</v>
      </c>
      <c r="L72" s="114">
        <v>0.09</v>
      </c>
      <c r="M72" s="114">
        <v>0.11</v>
      </c>
      <c r="N72" s="114">
        <v>0.09</v>
      </c>
      <c r="O72" s="114">
        <v>7.0000000000000007E-2</v>
      </c>
      <c r="P72" s="114">
        <v>0.04</v>
      </c>
      <c r="Q72" s="114">
        <f>SUM(E72:P72)</f>
        <v>0.52</v>
      </c>
    </row>
    <row r="73" spans="1:17" x14ac:dyDescent="0.2">
      <c r="B73" s="11"/>
      <c r="E73" s="114" t="s">
        <v>6</v>
      </c>
      <c r="F73" s="114" t="s">
        <v>6</v>
      </c>
      <c r="G73" s="114" t="s">
        <v>6</v>
      </c>
      <c r="H73" s="114" t="s">
        <v>6</v>
      </c>
      <c r="I73" s="114" t="s">
        <v>6</v>
      </c>
      <c r="J73" s="114" t="s">
        <v>6</v>
      </c>
      <c r="K73" s="114" t="s">
        <v>6</v>
      </c>
      <c r="L73" s="114" t="s">
        <v>6</v>
      </c>
      <c r="M73" s="114" t="s">
        <v>6</v>
      </c>
      <c r="N73" s="114" t="s">
        <v>6</v>
      </c>
      <c r="O73" s="114" t="s">
        <v>6</v>
      </c>
      <c r="P73" s="114" t="s">
        <v>6</v>
      </c>
      <c r="Q73" s="114"/>
    </row>
    <row r="74" spans="1:17" s="4" customFormat="1" ht="15" x14ac:dyDescent="0.25">
      <c r="A74" s="3" t="s">
        <v>75</v>
      </c>
      <c r="B74" s="12"/>
      <c r="E74" s="19">
        <f t="shared" ref="E74:P74" si="8">SUM(E76:E76)</f>
        <v>0</v>
      </c>
      <c r="F74" s="19">
        <f t="shared" si="8"/>
        <v>0.04</v>
      </c>
      <c r="G74" s="19">
        <f t="shared" si="8"/>
        <v>165.28</v>
      </c>
      <c r="H74" s="19">
        <f t="shared" si="8"/>
        <v>0.19</v>
      </c>
      <c r="I74" s="19">
        <f t="shared" si="8"/>
        <v>0</v>
      </c>
      <c r="J74" s="19">
        <f t="shared" si="8"/>
        <v>0</v>
      </c>
      <c r="K74" s="19">
        <f t="shared" si="8"/>
        <v>0.02</v>
      </c>
      <c r="L74" s="19">
        <f t="shared" si="8"/>
        <v>0.16</v>
      </c>
      <c r="M74" s="19">
        <f t="shared" si="8"/>
        <v>7.0000000000000007E-2</v>
      </c>
      <c r="N74" s="19">
        <f t="shared" si="8"/>
        <v>7.0000000000000007E-2</v>
      </c>
      <c r="O74" s="19">
        <f t="shared" si="8"/>
        <v>0.14000000000000001</v>
      </c>
      <c r="P74" s="19">
        <f t="shared" si="8"/>
        <v>0.05</v>
      </c>
      <c r="Q74" s="19">
        <f t="shared" ref="Q74:Q76" si="9">SUM(E74:P74)</f>
        <v>166.01999999999998</v>
      </c>
    </row>
    <row r="75" spans="1:17" ht="15" x14ac:dyDescent="0.25">
      <c r="A75" s="1"/>
      <c r="B75" s="11"/>
      <c r="E75" s="183"/>
      <c r="F75" s="183"/>
      <c r="G75" s="183"/>
      <c r="H75" s="183"/>
      <c r="I75" s="183"/>
      <c r="J75" s="183"/>
      <c r="K75" s="183"/>
      <c r="L75" s="183"/>
      <c r="M75" s="183"/>
      <c r="N75" s="183"/>
      <c r="O75" s="183"/>
      <c r="P75" s="183"/>
      <c r="Q75" s="183"/>
    </row>
    <row r="76" spans="1:17" x14ac:dyDescent="0.2">
      <c r="B76" s="11"/>
      <c r="C76" s="2" t="s">
        <v>287</v>
      </c>
      <c r="E76" s="114">
        <v>0</v>
      </c>
      <c r="F76" s="114">
        <v>0.04</v>
      </c>
      <c r="G76" s="114">
        <v>165.28</v>
      </c>
      <c r="H76" s="114">
        <v>0.19</v>
      </c>
      <c r="I76" s="114">
        <v>0</v>
      </c>
      <c r="J76" s="114">
        <v>0</v>
      </c>
      <c r="K76" s="114">
        <v>0.02</v>
      </c>
      <c r="L76" s="114">
        <v>0.16</v>
      </c>
      <c r="M76" s="114">
        <v>7.0000000000000007E-2</v>
      </c>
      <c r="N76" s="114">
        <v>7.0000000000000007E-2</v>
      </c>
      <c r="O76" s="114">
        <v>0.14000000000000001</v>
      </c>
      <c r="P76" s="114">
        <v>0.05</v>
      </c>
      <c r="Q76" s="114">
        <f t="shared" si="9"/>
        <v>166.01999999999998</v>
      </c>
    </row>
    <row r="77" spans="1:17" x14ac:dyDescent="0.2">
      <c r="B77" s="11"/>
      <c r="E77" s="114"/>
      <c r="F77" s="114"/>
      <c r="G77" s="114"/>
      <c r="H77" s="114"/>
      <c r="I77" s="114"/>
      <c r="J77" s="114"/>
      <c r="K77" s="114"/>
      <c r="L77" s="114"/>
      <c r="M77" s="114"/>
      <c r="N77" s="114"/>
      <c r="O77" s="114"/>
      <c r="P77" s="114"/>
      <c r="Q77" s="114"/>
    </row>
    <row r="78" spans="1:17" s="4" customFormat="1" ht="15" x14ac:dyDescent="0.25">
      <c r="A78" s="3" t="s">
        <v>569</v>
      </c>
      <c r="B78" s="12"/>
      <c r="E78" s="19">
        <f t="shared" ref="E78:P78" si="10">SUM(E80:E87)</f>
        <v>53.399999999999991</v>
      </c>
      <c r="F78" s="19">
        <f t="shared" si="10"/>
        <v>43.690000000000005</v>
      </c>
      <c r="G78" s="19">
        <f t="shared" si="10"/>
        <v>50.46</v>
      </c>
      <c r="H78" s="19">
        <f t="shared" si="10"/>
        <v>36.799999999999997</v>
      </c>
      <c r="I78" s="19">
        <f t="shared" si="10"/>
        <v>18.329999999999998</v>
      </c>
      <c r="J78" s="19">
        <f t="shared" si="10"/>
        <v>3.56</v>
      </c>
      <c r="K78" s="19">
        <f t="shared" si="10"/>
        <v>41.07</v>
      </c>
      <c r="L78" s="19">
        <f t="shared" si="10"/>
        <v>46.690000000000005</v>
      </c>
      <c r="M78" s="19">
        <f t="shared" si="10"/>
        <v>146.86999999999998</v>
      </c>
      <c r="N78" s="19">
        <f t="shared" si="10"/>
        <v>69.61</v>
      </c>
      <c r="O78" s="19">
        <f t="shared" si="10"/>
        <v>104.39</v>
      </c>
      <c r="P78" s="19">
        <f t="shared" si="10"/>
        <v>47.489999999999995</v>
      </c>
      <c r="Q78" s="19">
        <f>SUM(E78:P78)</f>
        <v>662.36</v>
      </c>
    </row>
    <row r="79" spans="1:17" ht="15" x14ac:dyDescent="0.25">
      <c r="A79" s="1"/>
      <c r="B79" s="11"/>
      <c r="E79" s="183"/>
      <c r="F79" s="183"/>
      <c r="G79" s="183"/>
      <c r="H79" s="183"/>
      <c r="I79" s="183"/>
      <c r="J79" s="183"/>
      <c r="K79" s="183"/>
      <c r="L79" s="183"/>
      <c r="M79" s="183"/>
      <c r="N79" s="183"/>
      <c r="O79" s="183"/>
      <c r="P79" s="183"/>
      <c r="Q79" s="183"/>
    </row>
    <row r="80" spans="1:17" x14ac:dyDescent="0.2">
      <c r="B80" s="11"/>
      <c r="C80" s="2" t="s">
        <v>288</v>
      </c>
      <c r="E80" s="114">
        <v>29.2</v>
      </c>
      <c r="F80" s="114">
        <v>16.84</v>
      </c>
      <c r="G80" s="114">
        <v>15.76</v>
      </c>
      <c r="H80" s="114">
        <v>19.07</v>
      </c>
      <c r="I80" s="114">
        <v>14.08</v>
      </c>
      <c r="J80" s="114">
        <v>2.83</v>
      </c>
      <c r="K80" s="114">
        <v>5.59</v>
      </c>
      <c r="L80" s="114">
        <v>15.42</v>
      </c>
      <c r="M80" s="114">
        <v>71.900000000000006</v>
      </c>
      <c r="N80" s="114">
        <v>30.2</v>
      </c>
      <c r="O80" s="114">
        <v>19.71</v>
      </c>
      <c r="P80" s="114">
        <v>24.08</v>
      </c>
      <c r="Q80" s="114">
        <f t="shared" ref="Q80:Q87" si="11">SUM(E80:P80)</f>
        <v>264.68</v>
      </c>
    </row>
    <row r="81" spans="1:17" x14ac:dyDescent="0.2">
      <c r="B81" s="11"/>
      <c r="C81" s="2" t="s">
        <v>289</v>
      </c>
      <c r="E81" s="114">
        <v>0.02</v>
      </c>
      <c r="F81" s="114">
        <v>0.01</v>
      </c>
      <c r="G81" s="114">
        <v>0</v>
      </c>
      <c r="H81" s="114">
        <v>0.02</v>
      </c>
      <c r="I81" s="114">
        <v>0</v>
      </c>
      <c r="J81" s="114">
        <v>0</v>
      </c>
      <c r="K81" s="114">
        <v>0.01</v>
      </c>
      <c r="L81" s="114">
        <v>0.02</v>
      </c>
      <c r="M81" s="114">
        <v>0.02</v>
      </c>
      <c r="N81" s="114">
        <v>0.02</v>
      </c>
      <c r="O81" s="114">
        <v>0.01</v>
      </c>
      <c r="P81" s="114">
        <v>0.02</v>
      </c>
      <c r="Q81" s="114">
        <f t="shared" si="11"/>
        <v>0.15</v>
      </c>
    </row>
    <row r="82" spans="1:17" x14ac:dyDescent="0.2">
      <c r="B82" s="11"/>
      <c r="C82" s="2" t="s">
        <v>291</v>
      </c>
      <c r="E82" s="114">
        <v>3.73</v>
      </c>
      <c r="F82" s="114">
        <v>3.49</v>
      </c>
      <c r="G82" s="114">
        <v>13.35</v>
      </c>
      <c r="H82" s="114">
        <v>3.15</v>
      </c>
      <c r="I82" s="114">
        <v>1.1100000000000001</v>
      </c>
      <c r="J82" s="114">
        <v>0.05</v>
      </c>
      <c r="K82" s="114">
        <v>3.56</v>
      </c>
      <c r="L82" s="114">
        <v>8.15</v>
      </c>
      <c r="M82" s="114">
        <v>7.94</v>
      </c>
      <c r="N82" s="114">
        <v>8.67</v>
      </c>
      <c r="O82" s="114">
        <v>8.36</v>
      </c>
      <c r="P82" s="114">
        <v>5.93</v>
      </c>
      <c r="Q82" s="114">
        <f t="shared" si="11"/>
        <v>67.489999999999995</v>
      </c>
    </row>
    <row r="83" spans="1:17" x14ac:dyDescent="0.2">
      <c r="B83" s="11"/>
      <c r="C83" s="2" t="s">
        <v>290</v>
      </c>
      <c r="E83" s="114">
        <v>0.33</v>
      </c>
      <c r="F83" s="114">
        <v>0.09</v>
      </c>
      <c r="G83" s="114">
        <v>0.19</v>
      </c>
      <c r="H83" s="114">
        <v>0.06</v>
      </c>
      <c r="I83" s="114">
        <v>0.03</v>
      </c>
      <c r="J83" s="114">
        <v>0</v>
      </c>
      <c r="K83" s="114">
        <v>0.14000000000000001</v>
      </c>
      <c r="L83" s="114">
        <v>0.1</v>
      </c>
      <c r="M83" s="114">
        <v>7.0000000000000007E-2</v>
      </c>
      <c r="N83" s="114">
        <v>7.0000000000000007E-2</v>
      </c>
      <c r="O83" s="114">
        <v>0.28000000000000003</v>
      </c>
      <c r="P83" s="114">
        <v>0.12</v>
      </c>
      <c r="Q83" s="114">
        <f t="shared" si="11"/>
        <v>1.4800000000000004</v>
      </c>
    </row>
    <row r="84" spans="1:17" x14ac:dyDescent="0.2">
      <c r="B84" s="11"/>
      <c r="C84" s="2" t="s">
        <v>292</v>
      </c>
      <c r="E84" s="114">
        <v>1.94</v>
      </c>
      <c r="F84" s="114">
        <v>1.3</v>
      </c>
      <c r="G84" s="114">
        <v>1.59</v>
      </c>
      <c r="H84" s="114">
        <v>1.02</v>
      </c>
      <c r="I84" s="114">
        <v>0.04</v>
      </c>
      <c r="J84" s="114">
        <v>0</v>
      </c>
      <c r="K84" s="114">
        <v>0.68</v>
      </c>
      <c r="L84" s="114">
        <v>2.4300000000000002</v>
      </c>
      <c r="M84" s="114">
        <v>0.69</v>
      </c>
      <c r="N84" s="114">
        <v>10.63</v>
      </c>
      <c r="O84" s="114">
        <v>0.65</v>
      </c>
      <c r="P84" s="114">
        <v>0.47</v>
      </c>
      <c r="Q84" s="114">
        <f t="shared" si="11"/>
        <v>21.439999999999998</v>
      </c>
    </row>
    <row r="85" spans="1:17" x14ac:dyDescent="0.2">
      <c r="B85" s="11"/>
      <c r="C85" s="2" t="s">
        <v>293</v>
      </c>
      <c r="E85" s="114">
        <v>14.87</v>
      </c>
      <c r="F85" s="114">
        <v>20.420000000000002</v>
      </c>
      <c r="G85" s="114">
        <v>18.25</v>
      </c>
      <c r="H85" s="114">
        <v>11.71</v>
      </c>
      <c r="I85" s="114">
        <v>2.81</v>
      </c>
      <c r="J85" s="114">
        <v>0.68</v>
      </c>
      <c r="K85" s="114">
        <v>30.69</v>
      </c>
      <c r="L85" s="114">
        <v>19.86</v>
      </c>
      <c r="M85" s="114">
        <v>65.709999999999994</v>
      </c>
      <c r="N85" s="114">
        <v>18.89</v>
      </c>
      <c r="O85" s="114">
        <v>72.47</v>
      </c>
      <c r="P85" s="114">
        <v>16.309999999999999</v>
      </c>
      <c r="Q85" s="114">
        <f t="shared" si="11"/>
        <v>292.67</v>
      </c>
    </row>
    <row r="86" spans="1:17" x14ac:dyDescent="0.2">
      <c r="B86" s="11"/>
      <c r="C86" s="2" t="s">
        <v>294</v>
      </c>
      <c r="E86" s="114">
        <v>1.89</v>
      </c>
      <c r="F86" s="114">
        <v>0.71</v>
      </c>
      <c r="G86" s="114">
        <v>0.86</v>
      </c>
      <c r="H86" s="114">
        <v>0.79</v>
      </c>
      <c r="I86" s="114">
        <v>0.17</v>
      </c>
      <c r="J86" s="114">
        <v>0</v>
      </c>
      <c r="K86" s="114">
        <v>0.4</v>
      </c>
      <c r="L86" s="114">
        <v>0.63</v>
      </c>
      <c r="M86" s="114">
        <v>0.54</v>
      </c>
      <c r="N86" s="114">
        <v>0.46</v>
      </c>
      <c r="O86" s="114">
        <v>2.86</v>
      </c>
      <c r="P86" s="114">
        <v>0.45</v>
      </c>
      <c r="Q86" s="114">
        <f t="shared" si="11"/>
        <v>9.76</v>
      </c>
    </row>
    <row r="87" spans="1:17" x14ac:dyDescent="0.2">
      <c r="B87" s="11"/>
      <c r="C87" s="2" t="s">
        <v>296</v>
      </c>
      <c r="E87" s="114">
        <v>1.42</v>
      </c>
      <c r="F87" s="114">
        <v>0.83</v>
      </c>
      <c r="G87" s="114">
        <v>0.46</v>
      </c>
      <c r="H87" s="114">
        <v>0.98</v>
      </c>
      <c r="I87" s="114">
        <v>0.09</v>
      </c>
      <c r="J87" s="114">
        <v>0</v>
      </c>
      <c r="K87" s="114">
        <v>0</v>
      </c>
      <c r="L87" s="114">
        <v>0.08</v>
      </c>
      <c r="M87" s="114">
        <v>0</v>
      </c>
      <c r="N87" s="114">
        <v>0.67</v>
      </c>
      <c r="O87" s="114">
        <v>0.05</v>
      </c>
      <c r="P87" s="114">
        <v>0.11</v>
      </c>
      <c r="Q87" s="114">
        <f t="shared" si="11"/>
        <v>4.6900000000000004</v>
      </c>
    </row>
    <row r="88" spans="1:17" x14ac:dyDescent="0.2">
      <c r="B88" s="11"/>
      <c r="E88" s="114"/>
      <c r="F88" s="114"/>
      <c r="G88" s="114"/>
      <c r="H88" s="114"/>
      <c r="I88" s="114"/>
      <c r="J88" s="114"/>
      <c r="K88" s="114"/>
      <c r="L88" s="114"/>
      <c r="M88" s="114"/>
      <c r="N88" s="114"/>
      <c r="O88" s="114"/>
      <c r="P88" s="114"/>
      <c r="Q88" s="114"/>
    </row>
    <row r="89" spans="1:17" s="4" customFormat="1" ht="15" x14ac:dyDescent="0.25">
      <c r="A89" s="3" t="s">
        <v>88</v>
      </c>
      <c r="E89" s="19">
        <f t="shared" ref="E89:P89" si="12">SUM(E91:E94)</f>
        <v>219.35000000000002</v>
      </c>
      <c r="F89" s="19">
        <f t="shared" si="12"/>
        <v>70.47</v>
      </c>
      <c r="G89" s="19">
        <f t="shared" si="12"/>
        <v>75.25</v>
      </c>
      <c r="H89" s="19">
        <f t="shared" si="12"/>
        <v>170.97</v>
      </c>
      <c r="I89" s="19">
        <f t="shared" si="12"/>
        <v>24.509999999999998</v>
      </c>
      <c r="J89" s="19">
        <f t="shared" si="12"/>
        <v>0.36</v>
      </c>
      <c r="K89" s="19">
        <f t="shared" si="12"/>
        <v>63.99</v>
      </c>
      <c r="L89" s="19">
        <f t="shared" si="12"/>
        <v>170.72</v>
      </c>
      <c r="M89" s="19">
        <f t="shared" si="12"/>
        <v>91.73</v>
      </c>
      <c r="N89" s="19">
        <f t="shared" si="12"/>
        <v>90.39</v>
      </c>
      <c r="O89" s="19">
        <f t="shared" si="12"/>
        <v>84.97</v>
      </c>
      <c r="P89" s="19">
        <f t="shared" si="12"/>
        <v>96.79</v>
      </c>
      <c r="Q89" s="19">
        <f>SUM(E89:P89)</f>
        <v>1159.5</v>
      </c>
    </row>
    <row r="90" spans="1:17" ht="15" x14ac:dyDescent="0.25">
      <c r="A90" s="1"/>
      <c r="E90" s="183"/>
      <c r="F90" s="183"/>
      <c r="G90" s="183"/>
      <c r="H90" s="183"/>
      <c r="I90" s="183"/>
      <c r="J90" s="183"/>
      <c r="K90" s="183"/>
      <c r="L90" s="183"/>
      <c r="M90" s="183"/>
      <c r="N90" s="183"/>
      <c r="O90" s="183"/>
      <c r="P90" s="183"/>
      <c r="Q90" s="183"/>
    </row>
    <row r="91" spans="1:17" x14ac:dyDescent="0.2">
      <c r="C91" s="2" t="s">
        <v>298</v>
      </c>
      <c r="E91" s="114">
        <v>0.78</v>
      </c>
      <c r="F91" s="114">
        <v>3.11</v>
      </c>
      <c r="G91" s="114">
        <v>2.74</v>
      </c>
      <c r="H91" s="114">
        <v>18</v>
      </c>
      <c r="I91" s="114">
        <v>0.49</v>
      </c>
      <c r="J91" s="114">
        <v>0.01</v>
      </c>
      <c r="K91" s="114">
        <v>0.41</v>
      </c>
      <c r="L91" s="114">
        <v>4.18</v>
      </c>
      <c r="M91" s="114">
        <v>3.37</v>
      </c>
      <c r="N91" s="114">
        <v>6.97</v>
      </c>
      <c r="O91" s="114">
        <v>5.22</v>
      </c>
      <c r="P91" s="114">
        <v>5.07</v>
      </c>
      <c r="Q91" s="114">
        <f>SUM(E91:P91)</f>
        <v>50.349999999999994</v>
      </c>
    </row>
    <row r="92" spans="1:17" x14ac:dyDescent="0.2">
      <c r="B92" s="11"/>
      <c r="C92" s="2" t="s">
        <v>297</v>
      </c>
      <c r="E92" s="114">
        <v>5.94</v>
      </c>
      <c r="F92" s="114">
        <v>4.66</v>
      </c>
      <c r="G92" s="114">
        <v>6.77</v>
      </c>
      <c r="H92" s="114">
        <v>8.94</v>
      </c>
      <c r="I92" s="114">
        <v>0.88</v>
      </c>
      <c r="J92" s="114">
        <v>0</v>
      </c>
      <c r="K92" s="114">
        <v>1.5</v>
      </c>
      <c r="L92" s="114">
        <v>6.61</v>
      </c>
      <c r="M92" s="114">
        <v>4.63</v>
      </c>
      <c r="N92" s="114">
        <v>3.65</v>
      </c>
      <c r="O92" s="114">
        <v>3.28</v>
      </c>
      <c r="P92" s="114">
        <v>2.16</v>
      </c>
      <c r="Q92" s="114">
        <f t="shared" ref="Q92:Q94" si="13">SUM(E92:P92)</f>
        <v>49.02000000000001</v>
      </c>
    </row>
    <row r="93" spans="1:17" x14ac:dyDescent="0.2">
      <c r="B93" s="11"/>
      <c r="C93" s="2" t="s">
        <v>299</v>
      </c>
      <c r="D93" s="2">
        <v>0.8</v>
      </c>
      <c r="E93" s="114">
        <v>0.3</v>
      </c>
      <c r="F93" s="114">
        <v>0.21</v>
      </c>
      <c r="G93" s="114">
        <v>0.31</v>
      </c>
      <c r="H93" s="114">
        <v>0.45</v>
      </c>
      <c r="I93" s="114">
        <v>0.03</v>
      </c>
      <c r="J93" s="114">
        <v>0</v>
      </c>
      <c r="K93" s="114">
        <v>1.22</v>
      </c>
      <c r="L93" s="114">
        <v>2.78</v>
      </c>
      <c r="M93" s="114">
        <v>1.59</v>
      </c>
      <c r="N93" s="114">
        <v>1.71</v>
      </c>
      <c r="O93" s="114">
        <v>1.19</v>
      </c>
      <c r="P93" s="114">
        <v>0.36</v>
      </c>
      <c r="Q93" s="114">
        <f t="shared" si="13"/>
        <v>10.149999999999999</v>
      </c>
    </row>
    <row r="94" spans="1:17" x14ac:dyDescent="0.2">
      <c r="B94" s="11"/>
      <c r="C94" s="2" t="s">
        <v>300</v>
      </c>
      <c r="E94" s="114">
        <v>212.33</v>
      </c>
      <c r="F94" s="114">
        <v>62.49</v>
      </c>
      <c r="G94" s="114">
        <v>65.430000000000007</v>
      </c>
      <c r="H94" s="114">
        <v>143.58000000000001</v>
      </c>
      <c r="I94" s="114">
        <v>23.11</v>
      </c>
      <c r="J94" s="114">
        <v>0.35</v>
      </c>
      <c r="K94" s="114">
        <v>60.86</v>
      </c>
      <c r="L94" s="114">
        <v>157.15</v>
      </c>
      <c r="M94" s="114">
        <v>82.14</v>
      </c>
      <c r="N94" s="114">
        <v>78.06</v>
      </c>
      <c r="O94" s="114">
        <v>75.28</v>
      </c>
      <c r="P94" s="114">
        <v>89.2</v>
      </c>
      <c r="Q94" s="114">
        <f t="shared" si="13"/>
        <v>1049.98</v>
      </c>
    </row>
    <row r="95" spans="1:17" x14ac:dyDescent="0.2">
      <c r="B95" s="11"/>
      <c r="E95" s="114"/>
      <c r="F95" s="114"/>
      <c r="G95" s="114"/>
      <c r="H95" s="114"/>
      <c r="I95" s="114"/>
      <c r="J95" s="114"/>
      <c r="K95" s="114"/>
      <c r="L95" s="114"/>
      <c r="M95" s="114"/>
      <c r="N95" s="114"/>
      <c r="O95" s="114"/>
      <c r="P95" s="114"/>
      <c r="Q95" s="114"/>
    </row>
    <row r="96" spans="1:17" s="4" customFormat="1" ht="15" x14ac:dyDescent="0.25">
      <c r="A96" s="3" t="s">
        <v>92</v>
      </c>
      <c r="E96" s="19">
        <f>SUM(E98:E100)</f>
        <v>89.74</v>
      </c>
      <c r="F96" s="19">
        <f t="shared" ref="F96:Q96" si="14">SUM(F98:F100)</f>
        <v>83.17</v>
      </c>
      <c r="G96" s="19">
        <f t="shared" si="14"/>
        <v>85.29</v>
      </c>
      <c r="H96" s="19">
        <f t="shared" si="14"/>
        <v>97.11999999999999</v>
      </c>
      <c r="I96" s="19">
        <f t="shared" si="14"/>
        <v>28.98</v>
      </c>
      <c r="J96" s="19">
        <f t="shared" si="14"/>
        <v>1.97</v>
      </c>
      <c r="K96" s="19">
        <f t="shared" si="14"/>
        <v>19.049999999999997</v>
      </c>
      <c r="L96" s="19">
        <f t="shared" si="14"/>
        <v>93.62</v>
      </c>
      <c r="M96" s="19">
        <f t="shared" si="14"/>
        <v>85.429999999999993</v>
      </c>
      <c r="N96" s="19">
        <f t="shared" si="14"/>
        <v>86.04</v>
      </c>
      <c r="O96" s="19">
        <f t="shared" si="14"/>
        <v>98</v>
      </c>
      <c r="P96" s="19">
        <f t="shared" si="14"/>
        <v>52</v>
      </c>
      <c r="Q96" s="19">
        <f t="shared" si="14"/>
        <v>820.41000000000008</v>
      </c>
    </row>
    <row r="97" spans="1:17" ht="15" x14ac:dyDescent="0.25">
      <c r="A97" s="1"/>
      <c r="E97" s="183"/>
      <c r="F97" s="183"/>
      <c r="G97" s="183"/>
      <c r="H97" s="183"/>
      <c r="I97" s="183"/>
      <c r="J97" s="183"/>
      <c r="K97" s="183"/>
      <c r="L97" s="183"/>
      <c r="M97" s="183"/>
      <c r="N97" s="183"/>
      <c r="O97" s="183"/>
      <c r="P97" s="183"/>
      <c r="Q97" s="183"/>
    </row>
    <row r="98" spans="1:17" x14ac:dyDescent="0.2">
      <c r="B98" s="11"/>
      <c r="C98" s="2" t="s">
        <v>302</v>
      </c>
      <c r="E98" s="114">
        <v>2.97</v>
      </c>
      <c r="F98" s="114">
        <v>2.38</v>
      </c>
      <c r="G98" s="114">
        <v>2.56</v>
      </c>
      <c r="H98" s="114">
        <v>3.1</v>
      </c>
      <c r="I98" s="114">
        <v>0.6</v>
      </c>
      <c r="J98" s="114">
        <v>0</v>
      </c>
      <c r="K98" s="114">
        <v>1.56</v>
      </c>
      <c r="L98" s="114">
        <v>2.74</v>
      </c>
      <c r="M98" s="114">
        <v>2.5499999999999998</v>
      </c>
      <c r="N98" s="114">
        <v>2.7</v>
      </c>
      <c r="O98" s="114">
        <v>2.37</v>
      </c>
      <c r="P98" s="114">
        <v>1.75</v>
      </c>
      <c r="Q98" s="114">
        <f>SUM(E98:P98)</f>
        <v>25.28</v>
      </c>
    </row>
    <row r="99" spans="1:17" x14ac:dyDescent="0.2">
      <c r="B99" s="11"/>
      <c r="C99" s="2" t="s">
        <v>301</v>
      </c>
      <c r="E99" s="114">
        <v>86.77</v>
      </c>
      <c r="F99" s="114">
        <v>80.790000000000006</v>
      </c>
      <c r="G99" s="114">
        <v>82.73</v>
      </c>
      <c r="H99" s="114">
        <v>94.02</v>
      </c>
      <c r="I99" s="114">
        <v>28.38</v>
      </c>
      <c r="J99" s="114">
        <v>1.97</v>
      </c>
      <c r="K99" s="114">
        <v>17.489999999999998</v>
      </c>
      <c r="L99" s="114">
        <v>90.87</v>
      </c>
      <c r="M99" s="114">
        <v>82.88</v>
      </c>
      <c r="N99" s="114">
        <v>83.33</v>
      </c>
      <c r="O99" s="114">
        <v>95.61</v>
      </c>
      <c r="P99" s="114">
        <v>50.25</v>
      </c>
      <c r="Q99" s="114">
        <f>SUM(E99:P99)</f>
        <v>795.09000000000015</v>
      </c>
    </row>
    <row r="100" spans="1:17" x14ac:dyDescent="0.2">
      <c r="B100" s="11"/>
      <c r="C100" s="2" t="s">
        <v>660</v>
      </c>
      <c r="E100" s="114">
        <v>0</v>
      </c>
      <c r="F100" s="114">
        <v>0</v>
      </c>
      <c r="G100" s="114">
        <v>0</v>
      </c>
      <c r="H100" s="114">
        <v>0</v>
      </c>
      <c r="I100" s="114">
        <v>0</v>
      </c>
      <c r="J100" s="114">
        <v>0</v>
      </c>
      <c r="K100" s="114">
        <v>0</v>
      </c>
      <c r="L100" s="114">
        <v>0.01</v>
      </c>
      <c r="M100" s="114">
        <v>0</v>
      </c>
      <c r="N100" s="114">
        <v>0.01</v>
      </c>
      <c r="O100" s="114">
        <v>0.02</v>
      </c>
      <c r="P100" s="114">
        <v>0</v>
      </c>
      <c r="Q100" s="114">
        <f>SUM(E100:P100)</f>
        <v>0.04</v>
      </c>
    </row>
    <row r="101" spans="1:17" x14ac:dyDescent="0.2">
      <c r="B101" s="11"/>
      <c r="E101" s="114"/>
      <c r="F101" s="114"/>
      <c r="G101" s="114"/>
      <c r="H101" s="114"/>
      <c r="I101" s="114"/>
      <c r="J101" s="114"/>
      <c r="K101" s="114"/>
      <c r="L101" s="114"/>
      <c r="M101" s="114"/>
      <c r="N101" s="114"/>
      <c r="O101" s="114"/>
      <c r="P101" s="114"/>
      <c r="Q101" s="114"/>
    </row>
    <row r="102" spans="1:17" s="4" customFormat="1" ht="15" x14ac:dyDescent="0.25">
      <c r="A102" s="3" t="s">
        <v>96</v>
      </c>
      <c r="E102" s="19">
        <f t="shared" ref="E102:P102" si="15">SUM(E104:E107)</f>
        <v>35.67</v>
      </c>
      <c r="F102" s="19">
        <f t="shared" si="15"/>
        <v>24.32</v>
      </c>
      <c r="G102" s="19">
        <f t="shared" si="15"/>
        <v>24.490000000000002</v>
      </c>
      <c r="H102" s="19">
        <f t="shared" si="15"/>
        <v>23.359999999999996</v>
      </c>
      <c r="I102" s="19">
        <f t="shared" si="15"/>
        <v>6.26</v>
      </c>
      <c r="J102" s="19">
        <f t="shared" si="15"/>
        <v>0.24</v>
      </c>
      <c r="K102" s="19">
        <f t="shared" si="15"/>
        <v>12.079999999999998</v>
      </c>
      <c r="L102" s="19">
        <f t="shared" si="15"/>
        <v>21.22</v>
      </c>
      <c r="M102" s="19">
        <f t="shared" si="15"/>
        <v>20.740000000000002</v>
      </c>
      <c r="N102" s="19">
        <f t="shared" si="15"/>
        <v>22.220000000000002</v>
      </c>
      <c r="O102" s="19">
        <f t="shared" si="15"/>
        <v>16.330000000000002</v>
      </c>
      <c r="P102" s="19">
        <f t="shared" si="15"/>
        <v>6.75</v>
      </c>
      <c r="Q102" s="19">
        <f>SUM(E102:P102)</f>
        <v>213.68</v>
      </c>
    </row>
    <row r="103" spans="1:17" ht="15" x14ac:dyDescent="0.25">
      <c r="A103" s="1"/>
      <c r="E103" s="183"/>
      <c r="F103" s="183"/>
      <c r="G103" s="183"/>
      <c r="H103" s="183"/>
      <c r="I103" s="183"/>
      <c r="J103" s="183"/>
      <c r="K103" s="183"/>
      <c r="L103" s="183"/>
      <c r="M103" s="183"/>
      <c r="N103" s="183"/>
      <c r="O103" s="183"/>
      <c r="P103" s="183"/>
      <c r="Q103" s="183"/>
    </row>
    <row r="104" spans="1:17" x14ac:dyDescent="0.2">
      <c r="C104" s="2" t="s">
        <v>305</v>
      </c>
      <c r="E104" s="114">
        <v>17.48</v>
      </c>
      <c r="F104" s="114">
        <v>16.43</v>
      </c>
      <c r="G104" s="114">
        <v>14.56</v>
      </c>
      <c r="H104" s="114">
        <v>16.149999999999999</v>
      </c>
      <c r="I104" s="114">
        <v>3.62</v>
      </c>
      <c r="J104" s="114">
        <v>0.19</v>
      </c>
      <c r="K104" s="114">
        <v>6.52</v>
      </c>
      <c r="L104" s="114">
        <v>15.98</v>
      </c>
      <c r="M104" s="114">
        <v>13</v>
      </c>
      <c r="N104" s="114">
        <v>15.61</v>
      </c>
      <c r="O104" s="114">
        <v>6.89</v>
      </c>
      <c r="P104" s="114">
        <v>1.46</v>
      </c>
      <c r="Q104" s="114">
        <f>SUM(E104:P104)</f>
        <v>127.89</v>
      </c>
    </row>
    <row r="105" spans="1:17" x14ac:dyDescent="0.2">
      <c r="B105" s="11"/>
      <c r="C105" s="2" t="s">
        <v>825</v>
      </c>
      <c r="E105" s="114">
        <v>1.25</v>
      </c>
      <c r="F105" s="114">
        <v>1.26</v>
      </c>
      <c r="G105" s="114">
        <v>0.33</v>
      </c>
      <c r="H105" s="114">
        <v>0.4</v>
      </c>
      <c r="I105" s="114">
        <v>0.09</v>
      </c>
      <c r="J105" s="114">
        <v>0</v>
      </c>
      <c r="K105" s="114">
        <v>0.02</v>
      </c>
      <c r="L105" s="114">
        <v>0.04</v>
      </c>
      <c r="M105" s="114">
        <v>0.06</v>
      </c>
      <c r="N105" s="114">
        <v>0.12</v>
      </c>
      <c r="O105" s="114">
        <v>0.03</v>
      </c>
      <c r="P105" s="114">
        <v>0.06</v>
      </c>
      <c r="Q105" s="114">
        <f>SUM(E105:P105)</f>
        <v>3.6599999999999997</v>
      </c>
    </row>
    <row r="106" spans="1:17" x14ac:dyDescent="0.2">
      <c r="B106" s="11"/>
      <c r="C106" s="2" t="s">
        <v>304</v>
      </c>
      <c r="E106" s="114">
        <v>16.940000000000001</v>
      </c>
      <c r="F106" s="114">
        <v>6.63</v>
      </c>
      <c r="G106" s="114">
        <v>9.6</v>
      </c>
      <c r="H106" s="114">
        <v>6.81</v>
      </c>
      <c r="I106" s="114">
        <v>2.5499999999999998</v>
      </c>
      <c r="J106" s="114">
        <v>0.05</v>
      </c>
      <c r="K106" s="114">
        <v>5.54</v>
      </c>
      <c r="L106" s="114">
        <v>5.2</v>
      </c>
      <c r="M106" s="114">
        <v>7.67</v>
      </c>
      <c r="N106" s="114">
        <v>6.48</v>
      </c>
      <c r="O106" s="114">
        <v>9.4</v>
      </c>
      <c r="P106" s="114">
        <v>5.23</v>
      </c>
      <c r="Q106" s="114">
        <f>SUM(E106:P106)</f>
        <v>82.100000000000009</v>
      </c>
    </row>
    <row r="107" spans="1:17" x14ac:dyDescent="0.2">
      <c r="B107" s="11"/>
      <c r="C107" s="2" t="s">
        <v>573</v>
      </c>
      <c r="E107" s="114">
        <v>0</v>
      </c>
      <c r="F107" s="114">
        <v>0</v>
      </c>
      <c r="G107" s="114">
        <v>0</v>
      </c>
      <c r="H107" s="114">
        <v>0</v>
      </c>
      <c r="I107" s="114">
        <v>0</v>
      </c>
      <c r="J107" s="114">
        <v>0</v>
      </c>
      <c r="K107" s="114">
        <v>0</v>
      </c>
      <c r="L107" s="114">
        <v>0</v>
      </c>
      <c r="M107" s="114">
        <v>0.01</v>
      </c>
      <c r="N107" s="114">
        <v>0.01</v>
      </c>
      <c r="O107" s="114">
        <v>0.01</v>
      </c>
      <c r="P107" s="114">
        <v>0</v>
      </c>
      <c r="Q107" s="114">
        <f>SUM(E107:P107)</f>
        <v>0.03</v>
      </c>
    </row>
    <row r="108" spans="1:17" x14ac:dyDescent="0.2">
      <c r="B108" s="11"/>
      <c r="E108" s="114"/>
      <c r="F108" s="114"/>
      <c r="G108" s="114"/>
      <c r="H108" s="114"/>
      <c r="I108" s="114"/>
      <c r="J108" s="114"/>
      <c r="K108" s="114"/>
      <c r="L108" s="114"/>
      <c r="M108" s="114"/>
      <c r="N108" s="114"/>
      <c r="O108" s="114"/>
      <c r="P108" s="114"/>
      <c r="Q108" s="114"/>
    </row>
    <row r="109" spans="1:17" s="4" customFormat="1" ht="15" x14ac:dyDescent="0.25">
      <c r="A109" s="3" t="s">
        <v>102</v>
      </c>
      <c r="D109" s="3"/>
      <c r="E109" s="19">
        <f t="shared" ref="E109:P109" si="16">SUM(E111:E113)</f>
        <v>8.74</v>
      </c>
      <c r="F109" s="19">
        <f t="shared" si="16"/>
        <v>11.89</v>
      </c>
      <c r="G109" s="19">
        <f t="shared" si="16"/>
        <v>19.690000000000001</v>
      </c>
      <c r="H109" s="19">
        <f t="shared" si="16"/>
        <v>15.049999999999999</v>
      </c>
      <c r="I109" s="19">
        <f t="shared" si="16"/>
        <v>4.34</v>
      </c>
      <c r="J109" s="19">
        <f t="shared" si="16"/>
        <v>0.03</v>
      </c>
      <c r="K109" s="19">
        <f t="shared" si="16"/>
        <v>4.68</v>
      </c>
      <c r="L109" s="19">
        <f t="shared" si="16"/>
        <v>31.3</v>
      </c>
      <c r="M109" s="19">
        <f t="shared" si="16"/>
        <v>17.82</v>
      </c>
      <c r="N109" s="19">
        <f t="shared" si="16"/>
        <v>6.42</v>
      </c>
      <c r="O109" s="19">
        <f t="shared" si="16"/>
        <v>8.5400000000000009</v>
      </c>
      <c r="P109" s="19">
        <f t="shared" si="16"/>
        <v>7.09</v>
      </c>
      <c r="Q109" s="19">
        <f>SUM(E109:P109)</f>
        <v>135.59000000000003</v>
      </c>
    </row>
    <row r="110" spans="1:17" ht="15" x14ac:dyDescent="0.25">
      <c r="A110" s="1"/>
      <c r="D110" s="1"/>
      <c r="E110" s="183"/>
      <c r="F110" s="183"/>
      <c r="G110" s="183"/>
      <c r="H110" s="183"/>
      <c r="I110" s="183"/>
      <c r="J110" s="183"/>
      <c r="K110" s="183"/>
      <c r="L110" s="183"/>
      <c r="M110" s="183"/>
      <c r="N110" s="183"/>
      <c r="O110" s="183"/>
      <c r="P110" s="183"/>
      <c r="Q110" s="183"/>
    </row>
    <row r="111" spans="1:17" x14ac:dyDescent="0.2">
      <c r="B111" s="11"/>
      <c r="C111" s="2" t="s">
        <v>308</v>
      </c>
      <c r="E111" s="114">
        <v>8.32</v>
      </c>
      <c r="F111" s="114">
        <v>8.8800000000000008</v>
      </c>
      <c r="G111" s="114">
        <v>6.78</v>
      </c>
      <c r="H111" s="114">
        <v>9.68</v>
      </c>
      <c r="I111" s="114">
        <v>2.38</v>
      </c>
      <c r="J111" s="114">
        <v>0.01</v>
      </c>
      <c r="K111" s="114">
        <v>2.96</v>
      </c>
      <c r="L111" s="114">
        <v>22.8</v>
      </c>
      <c r="M111" s="114">
        <v>7.19</v>
      </c>
      <c r="N111" s="114">
        <v>2.8</v>
      </c>
      <c r="O111" s="114">
        <v>6.99</v>
      </c>
      <c r="P111" s="114">
        <v>6.02</v>
      </c>
      <c r="Q111" s="114">
        <f>SUM(E111:P111)</f>
        <v>84.809999999999988</v>
      </c>
    </row>
    <row r="112" spans="1:17" x14ac:dyDescent="0.2">
      <c r="B112" s="11"/>
      <c r="C112" s="2" t="s">
        <v>310</v>
      </c>
      <c r="E112" s="114">
        <v>0.27</v>
      </c>
      <c r="F112" s="114">
        <v>2.93</v>
      </c>
      <c r="G112" s="114">
        <v>12.82</v>
      </c>
      <c r="H112" s="114">
        <v>5.29</v>
      </c>
      <c r="I112" s="114">
        <v>1.94</v>
      </c>
      <c r="J112" s="114">
        <v>0.02</v>
      </c>
      <c r="K112" s="114">
        <v>1.59</v>
      </c>
      <c r="L112" s="114">
        <v>8.07</v>
      </c>
      <c r="M112" s="114">
        <v>10.27</v>
      </c>
      <c r="N112" s="114">
        <v>3.02</v>
      </c>
      <c r="O112" s="114">
        <v>0.71</v>
      </c>
      <c r="P112" s="114">
        <v>0.33</v>
      </c>
      <c r="Q112" s="114">
        <f>SUM(E112:P112)</f>
        <v>47.260000000000005</v>
      </c>
    </row>
    <row r="113" spans="1:17" x14ac:dyDescent="0.2">
      <c r="B113" s="11"/>
      <c r="C113" s="2" t="s">
        <v>311</v>
      </c>
      <c r="E113" s="114">
        <v>0.15</v>
      </c>
      <c r="F113" s="114">
        <v>0.08</v>
      </c>
      <c r="G113" s="114">
        <v>0.09</v>
      </c>
      <c r="H113" s="114">
        <v>0.08</v>
      </c>
      <c r="I113" s="114">
        <v>0.02</v>
      </c>
      <c r="J113" s="114">
        <v>0</v>
      </c>
      <c r="K113" s="114">
        <v>0.13</v>
      </c>
      <c r="L113" s="114">
        <v>0.43</v>
      </c>
      <c r="M113" s="114">
        <v>0.36</v>
      </c>
      <c r="N113" s="114">
        <v>0.6</v>
      </c>
      <c r="O113" s="114">
        <v>0.84</v>
      </c>
      <c r="P113" s="114">
        <v>0.74</v>
      </c>
      <c r="Q113" s="114">
        <f>SUM(E113:P113)</f>
        <v>3.5199999999999996</v>
      </c>
    </row>
    <row r="114" spans="1:17" x14ac:dyDescent="0.2">
      <c r="B114" s="11"/>
      <c r="E114" s="114"/>
      <c r="F114" s="114"/>
      <c r="G114" s="114"/>
      <c r="H114" s="114"/>
      <c r="I114" s="114"/>
      <c r="J114" s="114"/>
      <c r="K114" s="114"/>
      <c r="L114" s="114"/>
      <c r="M114" s="114"/>
      <c r="N114" s="114"/>
      <c r="O114" s="114"/>
      <c r="P114" s="114"/>
      <c r="Q114" s="114"/>
    </row>
    <row r="115" spans="1:17" s="4" customFormat="1" ht="15" x14ac:dyDescent="0.25">
      <c r="A115" s="3" t="s">
        <v>107</v>
      </c>
      <c r="E115" s="19">
        <f t="shared" ref="E115:P115" si="17">SUM(E117:E121)</f>
        <v>494.89</v>
      </c>
      <c r="F115" s="19">
        <f t="shared" si="17"/>
        <v>338.29</v>
      </c>
      <c r="G115" s="19">
        <f t="shared" si="17"/>
        <v>339.87000000000006</v>
      </c>
      <c r="H115" s="19">
        <f t="shared" si="17"/>
        <v>418.5100000000001</v>
      </c>
      <c r="I115" s="19">
        <f t="shared" si="17"/>
        <v>105.22999999999999</v>
      </c>
      <c r="J115" s="19">
        <f t="shared" si="17"/>
        <v>5.79</v>
      </c>
      <c r="K115" s="19">
        <f t="shared" si="17"/>
        <v>282.01</v>
      </c>
      <c r="L115" s="19">
        <f t="shared" si="17"/>
        <v>588.68999999999994</v>
      </c>
      <c r="M115" s="19">
        <f t="shared" si="17"/>
        <v>428.49</v>
      </c>
      <c r="N115" s="19">
        <f t="shared" si="17"/>
        <v>416.22999999999996</v>
      </c>
      <c r="O115" s="19">
        <f t="shared" si="17"/>
        <v>332.95000000000005</v>
      </c>
      <c r="P115" s="19">
        <f t="shared" si="17"/>
        <v>284.78999999999996</v>
      </c>
      <c r="Q115" s="19">
        <f>SUM(E115:P115)</f>
        <v>4035.7400000000007</v>
      </c>
    </row>
    <row r="116" spans="1:17" ht="15" x14ac:dyDescent="0.25">
      <c r="A116" s="1"/>
      <c r="E116" s="183"/>
      <c r="F116" s="183"/>
      <c r="G116" s="183"/>
      <c r="H116" s="183"/>
      <c r="I116" s="183"/>
      <c r="J116" s="183"/>
      <c r="K116" s="183"/>
      <c r="L116" s="183"/>
      <c r="M116" s="183"/>
      <c r="N116" s="183"/>
      <c r="O116" s="183"/>
      <c r="P116" s="183"/>
      <c r="Q116" s="183"/>
    </row>
    <row r="117" spans="1:17" x14ac:dyDescent="0.2">
      <c r="B117" s="11"/>
      <c r="C117" s="2" t="s">
        <v>313</v>
      </c>
      <c r="E117" s="114">
        <v>0.02</v>
      </c>
      <c r="F117" s="114">
        <v>0</v>
      </c>
      <c r="G117" s="114">
        <v>0</v>
      </c>
      <c r="H117" s="114">
        <v>0</v>
      </c>
      <c r="I117" s="114">
        <v>0</v>
      </c>
      <c r="J117" s="114">
        <v>0</v>
      </c>
      <c r="K117" s="114">
        <v>0.01</v>
      </c>
      <c r="L117" s="114">
        <v>0.02</v>
      </c>
      <c r="M117" s="114">
        <v>0.03</v>
      </c>
      <c r="N117" s="114">
        <v>0.05</v>
      </c>
      <c r="O117" s="114">
        <v>0</v>
      </c>
      <c r="P117" s="114">
        <v>0</v>
      </c>
      <c r="Q117" s="114">
        <f>SUM(E117:P117)</f>
        <v>0.13</v>
      </c>
    </row>
    <row r="118" spans="1:17" x14ac:dyDescent="0.2">
      <c r="B118" s="11"/>
      <c r="C118" s="2" t="s">
        <v>314</v>
      </c>
      <c r="E118" s="114">
        <v>218.92</v>
      </c>
      <c r="F118" s="114">
        <v>123.3</v>
      </c>
      <c r="G118" s="114">
        <v>126.23</v>
      </c>
      <c r="H118" s="114">
        <v>155.61000000000001</v>
      </c>
      <c r="I118" s="114">
        <v>32.049999999999997</v>
      </c>
      <c r="J118" s="114">
        <v>1.69</v>
      </c>
      <c r="K118" s="114">
        <v>54.56</v>
      </c>
      <c r="L118" s="114">
        <v>168.64</v>
      </c>
      <c r="M118" s="114">
        <v>111.73</v>
      </c>
      <c r="N118" s="114">
        <v>129.84</v>
      </c>
      <c r="O118" s="114">
        <v>103.21</v>
      </c>
      <c r="P118" s="114">
        <v>98.67</v>
      </c>
      <c r="Q118" s="114">
        <f>SUM(E118:P118)</f>
        <v>1324.45</v>
      </c>
    </row>
    <row r="119" spans="1:17" x14ac:dyDescent="0.2">
      <c r="B119" s="11"/>
      <c r="C119" s="2" t="s">
        <v>315</v>
      </c>
      <c r="E119" s="114">
        <v>222.94</v>
      </c>
      <c r="F119" s="114">
        <v>168.67</v>
      </c>
      <c r="G119" s="114">
        <v>172.93</v>
      </c>
      <c r="H119" s="114">
        <v>214.08</v>
      </c>
      <c r="I119" s="114">
        <v>59.33</v>
      </c>
      <c r="J119" s="114">
        <v>3.4</v>
      </c>
      <c r="K119" s="114">
        <v>200.2</v>
      </c>
      <c r="L119" s="114">
        <v>376.39</v>
      </c>
      <c r="M119" s="114">
        <v>274.66000000000003</v>
      </c>
      <c r="N119" s="114">
        <v>245.89</v>
      </c>
      <c r="O119" s="114">
        <v>198.71</v>
      </c>
      <c r="P119" s="114">
        <v>161.53</v>
      </c>
      <c r="Q119" s="114">
        <f>SUM(E119:P119)</f>
        <v>2298.7300000000005</v>
      </c>
    </row>
    <row r="120" spans="1:17" x14ac:dyDescent="0.2">
      <c r="B120" s="11"/>
      <c r="C120" s="2" t="s">
        <v>316</v>
      </c>
      <c r="E120" s="114">
        <v>50.55</v>
      </c>
      <c r="F120" s="114">
        <v>43.91</v>
      </c>
      <c r="G120" s="114">
        <v>39.1</v>
      </c>
      <c r="H120" s="114">
        <v>45.84</v>
      </c>
      <c r="I120" s="114">
        <v>13.04</v>
      </c>
      <c r="J120" s="114">
        <v>0.7</v>
      </c>
      <c r="K120" s="114">
        <v>27.05</v>
      </c>
      <c r="L120" s="114">
        <v>43.56</v>
      </c>
      <c r="M120" s="114">
        <v>41.87</v>
      </c>
      <c r="N120" s="114">
        <v>40.159999999999997</v>
      </c>
      <c r="O120" s="114">
        <v>30.04</v>
      </c>
      <c r="P120" s="114">
        <v>24.5</v>
      </c>
      <c r="Q120" s="114">
        <f>SUM(E120:P120)</f>
        <v>400.32</v>
      </c>
    </row>
    <row r="121" spans="1:17" x14ac:dyDescent="0.2">
      <c r="B121" s="11"/>
      <c r="C121" s="2" t="s">
        <v>312</v>
      </c>
      <c r="E121" s="114">
        <v>2.46</v>
      </c>
      <c r="F121" s="114">
        <v>2.41</v>
      </c>
      <c r="G121" s="114">
        <v>1.61</v>
      </c>
      <c r="H121" s="114">
        <v>2.98</v>
      </c>
      <c r="I121" s="114">
        <v>0.81</v>
      </c>
      <c r="J121" s="114">
        <v>0</v>
      </c>
      <c r="K121" s="114">
        <v>0.19</v>
      </c>
      <c r="L121" s="114">
        <v>0.08</v>
      </c>
      <c r="M121" s="114">
        <v>0.2</v>
      </c>
      <c r="N121" s="114">
        <v>0.28999999999999998</v>
      </c>
      <c r="O121" s="114">
        <v>0.99</v>
      </c>
      <c r="P121" s="114">
        <v>0.09</v>
      </c>
      <c r="Q121" s="114">
        <f>SUM(E121:P121)</f>
        <v>12.11</v>
      </c>
    </row>
    <row r="122" spans="1:17" x14ac:dyDescent="0.2">
      <c r="B122" s="11"/>
      <c r="E122" s="114"/>
      <c r="F122" s="114"/>
      <c r="G122" s="114"/>
      <c r="H122" s="114"/>
      <c r="I122" s="114"/>
      <c r="J122" s="114"/>
      <c r="K122" s="114"/>
      <c r="L122" s="114"/>
      <c r="M122" s="114"/>
      <c r="N122" s="114"/>
      <c r="O122" s="114"/>
      <c r="P122" s="114"/>
      <c r="Q122" s="114"/>
    </row>
    <row r="123" spans="1:17" s="4" customFormat="1" ht="15" x14ac:dyDescent="0.25">
      <c r="A123" s="3" t="s">
        <v>113</v>
      </c>
      <c r="E123" s="19">
        <f t="shared" ref="E123:P123" si="18">SUM(E125:E130)</f>
        <v>56.55</v>
      </c>
      <c r="F123" s="19">
        <f t="shared" si="18"/>
        <v>45.54</v>
      </c>
      <c r="G123" s="19">
        <f t="shared" si="18"/>
        <v>32.93</v>
      </c>
      <c r="H123" s="19">
        <f t="shared" si="18"/>
        <v>48.71</v>
      </c>
      <c r="I123" s="19">
        <f t="shared" si="18"/>
        <v>11.14</v>
      </c>
      <c r="J123" s="19">
        <f t="shared" si="18"/>
        <v>0.27</v>
      </c>
      <c r="K123" s="19">
        <f t="shared" si="18"/>
        <v>29.29</v>
      </c>
      <c r="L123" s="19">
        <f t="shared" si="18"/>
        <v>57.830000000000005</v>
      </c>
      <c r="M123" s="19">
        <f t="shared" si="18"/>
        <v>45.35</v>
      </c>
      <c r="N123" s="19">
        <f t="shared" si="18"/>
        <v>44.66</v>
      </c>
      <c r="O123" s="19">
        <f t="shared" si="18"/>
        <v>40.520000000000003</v>
      </c>
      <c r="P123" s="19">
        <f t="shared" si="18"/>
        <v>30.349999999999998</v>
      </c>
      <c r="Q123" s="19">
        <f>SUM(E123:P123)</f>
        <v>443.14</v>
      </c>
    </row>
    <row r="124" spans="1:17" ht="15" x14ac:dyDescent="0.25">
      <c r="A124" s="1"/>
      <c r="E124" s="183"/>
      <c r="F124" s="183"/>
      <c r="G124" s="183"/>
      <c r="H124" s="183"/>
      <c r="I124" s="183"/>
      <c r="J124" s="183"/>
      <c r="K124" s="183"/>
      <c r="L124" s="183"/>
      <c r="M124" s="183"/>
      <c r="N124" s="183"/>
      <c r="O124" s="183"/>
      <c r="P124" s="183"/>
      <c r="Q124" s="183"/>
    </row>
    <row r="125" spans="1:17" x14ac:dyDescent="0.2">
      <c r="B125" s="11"/>
      <c r="C125" s="2" t="s">
        <v>319</v>
      </c>
      <c r="E125" s="114">
        <v>0</v>
      </c>
      <c r="F125" s="114">
        <v>0</v>
      </c>
      <c r="G125" s="114">
        <v>0</v>
      </c>
      <c r="H125" s="114">
        <v>0</v>
      </c>
      <c r="I125" s="114">
        <v>0</v>
      </c>
      <c r="J125" s="114">
        <v>0</v>
      </c>
      <c r="K125" s="114">
        <v>0</v>
      </c>
      <c r="L125" s="114">
        <v>0</v>
      </c>
      <c r="M125" s="114">
        <v>0</v>
      </c>
      <c r="N125" s="114">
        <v>0.01</v>
      </c>
      <c r="O125" s="114">
        <v>0</v>
      </c>
      <c r="P125" s="114">
        <v>0</v>
      </c>
      <c r="Q125" s="114">
        <f t="shared" ref="Q125:Q130" si="19">SUM(E125:P125)</f>
        <v>0.01</v>
      </c>
    </row>
    <row r="126" spans="1:17" x14ac:dyDescent="0.2">
      <c r="B126" s="11"/>
      <c r="C126" s="2" t="s">
        <v>317</v>
      </c>
      <c r="E126" s="114">
        <v>0</v>
      </c>
      <c r="F126" s="114">
        <v>0</v>
      </c>
      <c r="G126" s="114">
        <v>0</v>
      </c>
      <c r="H126" s="114">
        <v>0</v>
      </c>
      <c r="I126" s="114">
        <v>0</v>
      </c>
      <c r="J126" s="114">
        <v>0</v>
      </c>
      <c r="K126" s="114">
        <v>0</v>
      </c>
      <c r="L126" s="114">
        <v>0.03</v>
      </c>
      <c r="M126" s="114">
        <v>0.01</v>
      </c>
      <c r="N126" s="114">
        <v>0.01</v>
      </c>
      <c r="O126" s="114">
        <v>0.02</v>
      </c>
      <c r="P126" s="114">
        <v>0.01</v>
      </c>
      <c r="Q126" s="114">
        <f t="shared" si="19"/>
        <v>0.08</v>
      </c>
    </row>
    <row r="127" spans="1:17" x14ac:dyDescent="0.2">
      <c r="B127" s="11"/>
      <c r="C127" s="2" t="s">
        <v>318</v>
      </c>
      <c r="E127" s="114">
        <v>1.94</v>
      </c>
      <c r="F127" s="114">
        <v>1.41</v>
      </c>
      <c r="G127" s="114">
        <v>1.43</v>
      </c>
      <c r="H127" s="114">
        <v>2.5099999999999998</v>
      </c>
      <c r="I127" s="114">
        <v>0.39</v>
      </c>
      <c r="J127" s="114">
        <v>0.04</v>
      </c>
      <c r="K127" s="114">
        <v>0.63</v>
      </c>
      <c r="L127" s="114">
        <v>1.67</v>
      </c>
      <c r="M127" s="114">
        <v>1.1499999999999999</v>
      </c>
      <c r="N127" s="114">
        <v>1.41</v>
      </c>
      <c r="O127" s="114">
        <v>1.08</v>
      </c>
      <c r="P127" s="114">
        <v>0.85</v>
      </c>
      <c r="Q127" s="114">
        <f t="shared" si="19"/>
        <v>14.51</v>
      </c>
    </row>
    <row r="128" spans="1:17" x14ac:dyDescent="0.2">
      <c r="B128" s="11"/>
      <c r="C128" s="2" t="s">
        <v>312</v>
      </c>
      <c r="E128" s="114">
        <v>11.29</v>
      </c>
      <c r="F128" s="114">
        <v>6.56</v>
      </c>
      <c r="G128" s="114">
        <v>6.79</v>
      </c>
      <c r="H128" s="114">
        <v>8.4600000000000009</v>
      </c>
      <c r="I128" s="114">
        <v>2.48</v>
      </c>
      <c r="J128" s="114">
        <v>7.0000000000000007E-2</v>
      </c>
      <c r="K128" s="114">
        <v>6.53</v>
      </c>
      <c r="L128" s="114">
        <v>8.4</v>
      </c>
      <c r="M128" s="114">
        <v>7.59</v>
      </c>
      <c r="N128" s="114">
        <v>7.92</v>
      </c>
      <c r="O128" s="114">
        <v>5.4</v>
      </c>
      <c r="P128" s="114">
        <v>5.14</v>
      </c>
      <c r="Q128" s="114">
        <f t="shared" si="19"/>
        <v>76.63</v>
      </c>
    </row>
    <row r="129" spans="1:17" x14ac:dyDescent="0.2">
      <c r="B129" s="11"/>
      <c r="C129" s="2" t="s">
        <v>321</v>
      </c>
      <c r="E129" s="114">
        <v>42.32</v>
      </c>
      <c r="F129" s="114">
        <v>36.950000000000003</v>
      </c>
      <c r="G129" s="114">
        <v>23.9</v>
      </c>
      <c r="H129" s="114">
        <v>36.97</v>
      </c>
      <c r="I129" s="114">
        <v>8</v>
      </c>
      <c r="J129" s="114">
        <v>0.12</v>
      </c>
      <c r="K129" s="114">
        <v>21.74</v>
      </c>
      <c r="L129" s="114">
        <v>46.63</v>
      </c>
      <c r="M129" s="114">
        <v>35.950000000000003</v>
      </c>
      <c r="N129" s="114">
        <v>34.549999999999997</v>
      </c>
      <c r="O129" s="114">
        <v>32.53</v>
      </c>
      <c r="P129" s="114">
        <v>23.29</v>
      </c>
      <c r="Q129" s="114">
        <f t="shared" si="19"/>
        <v>342.9500000000001</v>
      </c>
    </row>
    <row r="130" spans="1:17" x14ac:dyDescent="0.2">
      <c r="B130" s="11"/>
      <c r="C130" s="2" t="s">
        <v>322</v>
      </c>
      <c r="E130" s="114">
        <v>1</v>
      </c>
      <c r="F130" s="114">
        <v>0.62</v>
      </c>
      <c r="G130" s="114">
        <v>0.81</v>
      </c>
      <c r="H130" s="114">
        <v>0.77</v>
      </c>
      <c r="I130" s="114">
        <v>0.27</v>
      </c>
      <c r="J130" s="114">
        <v>0.04</v>
      </c>
      <c r="K130" s="114">
        <v>0.39</v>
      </c>
      <c r="L130" s="114">
        <v>1.1000000000000001</v>
      </c>
      <c r="M130" s="114">
        <v>0.65</v>
      </c>
      <c r="N130" s="114">
        <v>0.76</v>
      </c>
      <c r="O130" s="114">
        <v>1.49</v>
      </c>
      <c r="P130" s="114">
        <v>1.06</v>
      </c>
      <c r="Q130" s="114">
        <f t="shared" si="19"/>
        <v>8.9600000000000009</v>
      </c>
    </row>
    <row r="131" spans="1:17" x14ac:dyDescent="0.2">
      <c r="B131" s="11"/>
      <c r="E131" s="114"/>
      <c r="F131" s="114"/>
      <c r="G131" s="114"/>
      <c r="H131" s="114"/>
      <c r="I131" s="114"/>
      <c r="J131" s="114"/>
      <c r="K131" s="114"/>
      <c r="L131" s="114"/>
      <c r="M131" s="114"/>
      <c r="N131" s="114"/>
      <c r="O131" s="114"/>
      <c r="P131" s="114"/>
      <c r="Q131" s="114"/>
    </row>
    <row r="132" spans="1:17" s="4" customFormat="1" ht="15" x14ac:dyDescent="0.25">
      <c r="A132" s="3" t="s">
        <v>121</v>
      </c>
      <c r="E132" s="19">
        <f t="shared" ref="E132:P132" si="20">SUM(E134:E135)</f>
        <v>1.73</v>
      </c>
      <c r="F132" s="19">
        <f t="shared" si="20"/>
        <v>1.52</v>
      </c>
      <c r="G132" s="19">
        <f t="shared" si="20"/>
        <v>1.2</v>
      </c>
      <c r="H132" s="19">
        <f t="shared" si="20"/>
        <v>1.25</v>
      </c>
      <c r="I132" s="19">
        <f t="shared" si="20"/>
        <v>0.47</v>
      </c>
      <c r="J132" s="19">
        <f t="shared" si="20"/>
        <v>7.0000000000000007E-2</v>
      </c>
      <c r="K132" s="19">
        <f t="shared" si="20"/>
        <v>0.25</v>
      </c>
      <c r="L132" s="19">
        <f t="shared" si="20"/>
        <v>0.57999999999999996</v>
      </c>
      <c r="M132" s="19">
        <f t="shared" si="20"/>
        <v>0.48</v>
      </c>
      <c r="N132" s="19">
        <f t="shared" si="20"/>
        <v>0.71</v>
      </c>
      <c r="O132" s="19">
        <f t="shared" si="20"/>
        <v>0.61</v>
      </c>
      <c r="P132" s="19">
        <f t="shared" si="20"/>
        <v>1.44</v>
      </c>
      <c r="Q132" s="19">
        <f>SUM(E132:P132)</f>
        <v>10.31</v>
      </c>
    </row>
    <row r="133" spans="1:17" ht="15" x14ac:dyDescent="0.25">
      <c r="A133" s="1"/>
      <c r="E133" s="183"/>
      <c r="F133" s="183"/>
      <c r="G133" s="183"/>
      <c r="H133" s="183"/>
      <c r="I133" s="183"/>
      <c r="J133" s="183"/>
      <c r="K133" s="183"/>
      <c r="L133" s="183"/>
      <c r="M133" s="183"/>
      <c r="N133" s="183"/>
      <c r="O133" s="183"/>
      <c r="P133" s="183"/>
      <c r="Q133" s="183"/>
    </row>
    <row r="134" spans="1:17" x14ac:dyDescent="0.2">
      <c r="B134" s="11"/>
      <c r="C134" s="2" t="s">
        <v>582</v>
      </c>
      <c r="E134" s="114">
        <v>0</v>
      </c>
      <c r="F134" s="114">
        <v>0</v>
      </c>
      <c r="G134" s="114">
        <v>0</v>
      </c>
      <c r="H134" s="114">
        <v>0</v>
      </c>
      <c r="I134" s="114">
        <v>0</v>
      </c>
      <c r="J134" s="114">
        <v>0</v>
      </c>
      <c r="K134" s="114">
        <v>0.03</v>
      </c>
      <c r="L134" s="114">
        <v>0.21</v>
      </c>
      <c r="M134" s="114">
        <v>0.01</v>
      </c>
      <c r="N134" s="114">
        <v>0.01</v>
      </c>
      <c r="O134" s="114">
        <v>0.02</v>
      </c>
      <c r="P134" s="114">
        <v>0.53</v>
      </c>
      <c r="Q134" s="114">
        <f>SUM(E134:P134)</f>
        <v>0.81</v>
      </c>
    </row>
    <row r="135" spans="1:17" x14ac:dyDescent="0.2">
      <c r="B135" s="11"/>
      <c r="C135" s="2" t="s">
        <v>312</v>
      </c>
      <c r="E135" s="114">
        <v>1.73</v>
      </c>
      <c r="F135" s="114">
        <v>1.52</v>
      </c>
      <c r="G135" s="114">
        <v>1.2</v>
      </c>
      <c r="H135" s="114">
        <v>1.25</v>
      </c>
      <c r="I135" s="114">
        <v>0.47</v>
      </c>
      <c r="J135" s="114">
        <v>7.0000000000000007E-2</v>
      </c>
      <c r="K135" s="114">
        <v>0.22</v>
      </c>
      <c r="L135" s="114">
        <v>0.37</v>
      </c>
      <c r="M135" s="114">
        <v>0.47</v>
      </c>
      <c r="N135" s="114">
        <v>0.7</v>
      </c>
      <c r="O135" s="114">
        <v>0.59</v>
      </c>
      <c r="P135" s="114">
        <v>0.91</v>
      </c>
      <c r="Q135" s="114">
        <f>SUM(E135:P135)</f>
        <v>9.5</v>
      </c>
    </row>
    <row r="136" spans="1:17" x14ac:dyDescent="0.2">
      <c r="B136" s="11"/>
      <c r="E136" s="114"/>
      <c r="F136" s="114"/>
      <c r="G136" s="114"/>
      <c r="H136" s="114"/>
      <c r="I136" s="114"/>
      <c r="J136" s="114"/>
      <c r="K136" s="114"/>
      <c r="L136" s="114"/>
      <c r="M136" s="114"/>
      <c r="N136" s="114"/>
      <c r="O136" s="114"/>
      <c r="P136" s="114"/>
      <c r="Q136" s="114"/>
    </row>
    <row r="137" spans="1:17" s="4" customFormat="1" ht="15" x14ac:dyDescent="0.25">
      <c r="A137" s="3" t="s">
        <v>324</v>
      </c>
      <c r="E137" s="19">
        <f t="shared" ref="E137:P137" si="21">SUM(E139:E140)</f>
        <v>0.05</v>
      </c>
      <c r="F137" s="19">
        <f t="shared" si="21"/>
        <v>0.29000000000000004</v>
      </c>
      <c r="G137" s="19">
        <f t="shared" si="21"/>
        <v>0.11</v>
      </c>
      <c r="H137" s="19">
        <f t="shared" si="21"/>
        <v>0.26</v>
      </c>
      <c r="I137" s="19">
        <f t="shared" si="21"/>
        <v>0</v>
      </c>
      <c r="J137" s="19">
        <f t="shared" si="21"/>
        <v>0</v>
      </c>
      <c r="K137" s="19">
        <f t="shared" si="21"/>
        <v>0.03</v>
      </c>
      <c r="L137" s="19">
        <f t="shared" si="21"/>
        <v>0.41</v>
      </c>
      <c r="M137" s="19">
        <f t="shared" si="21"/>
        <v>0.44</v>
      </c>
      <c r="N137" s="19">
        <f t="shared" si="21"/>
        <v>0.41</v>
      </c>
      <c r="O137" s="19">
        <f t="shared" si="21"/>
        <v>0.39</v>
      </c>
      <c r="P137" s="19">
        <f t="shared" si="21"/>
        <v>0.24</v>
      </c>
      <c r="Q137" s="19">
        <f>SUM(E137:P137)</f>
        <v>2.63</v>
      </c>
    </row>
    <row r="138" spans="1:17" ht="15" x14ac:dyDescent="0.25">
      <c r="A138" s="1"/>
      <c r="E138" s="183"/>
      <c r="F138" s="183"/>
      <c r="G138" s="183"/>
      <c r="H138" s="183"/>
      <c r="I138" s="183"/>
      <c r="J138" s="183"/>
      <c r="K138" s="183"/>
      <c r="L138" s="183"/>
      <c r="M138" s="183"/>
      <c r="N138" s="183"/>
      <c r="O138" s="183"/>
      <c r="P138" s="183"/>
      <c r="Q138" s="183"/>
    </row>
    <row r="139" spans="1:17" x14ac:dyDescent="0.2">
      <c r="B139" s="11"/>
      <c r="C139" s="2" t="s">
        <v>583</v>
      </c>
      <c r="E139" s="114">
        <v>0.04</v>
      </c>
      <c r="F139" s="114">
        <v>7.0000000000000007E-2</v>
      </c>
      <c r="G139" s="114">
        <v>0.1</v>
      </c>
      <c r="H139" s="114">
        <v>0.26</v>
      </c>
      <c r="I139" s="114">
        <v>0</v>
      </c>
      <c r="J139" s="114">
        <v>0</v>
      </c>
      <c r="K139" s="114">
        <v>0</v>
      </c>
      <c r="L139" s="114">
        <v>0</v>
      </c>
      <c r="M139" s="114">
        <v>0</v>
      </c>
      <c r="N139" s="114">
        <v>0</v>
      </c>
      <c r="O139" s="114">
        <v>0</v>
      </c>
      <c r="P139" s="114">
        <v>0</v>
      </c>
      <c r="Q139" s="114">
        <f>SUM(E139:P139)</f>
        <v>0.47000000000000003</v>
      </c>
    </row>
    <row r="140" spans="1:17" x14ac:dyDescent="0.2">
      <c r="B140" s="11"/>
      <c r="C140" s="2" t="s">
        <v>419</v>
      </c>
      <c r="E140" s="114">
        <v>0.01</v>
      </c>
      <c r="F140" s="114">
        <v>0.22</v>
      </c>
      <c r="G140" s="114">
        <v>0.01</v>
      </c>
      <c r="H140" s="114">
        <v>0</v>
      </c>
      <c r="I140" s="114">
        <v>0</v>
      </c>
      <c r="J140" s="114">
        <v>0</v>
      </c>
      <c r="K140" s="114">
        <v>0.03</v>
      </c>
      <c r="L140" s="114">
        <v>0.41</v>
      </c>
      <c r="M140" s="114">
        <v>0.44</v>
      </c>
      <c r="N140" s="114">
        <v>0.41</v>
      </c>
      <c r="O140" s="114">
        <v>0.39</v>
      </c>
      <c r="P140" s="114">
        <v>0.24</v>
      </c>
      <c r="Q140" s="114">
        <f>SUM(E140:P140)</f>
        <v>2.16</v>
      </c>
    </row>
    <row r="141" spans="1:17" x14ac:dyDescent="0.2">
      <c r="B141" s="11"/>
      <c r="E141" s="114"/>
      <c r="F141" s="114"/>
      <c r="G141" s="114"/>
      <c r="H141" s="114"/>
      <c r="I141" s="114"/>
      <c r="J141" s="114"/>
      <c r="K141" s="114"/>
      <c r="L141" s="114"/>
      <c r="M141" s="114"/>
      <c r="N141" s="114"/>
      <c r="O141" s="114"/>
      <c r="P141" s="114"/>
      <c r="Q141" s="114"/>
    </row>
    <row r="142" spans="1:17" s="4" customFormat="1" ht="15" x14ac:dyDescent="0.25">
      <c r="A142" s="3" t="s">
        <v>122</v>
      </c>
      <c r="E142" s="19">
        <f t="shared" ref="E142:P142" si="22">SUM(E144:E147)</f>
        <v>39.06</v>
      </c>
      <c r="F142" s="19">
        <f t="shared" si="22"/>
        <v>43.17</v>
      </c>
      <c r="G142" s="19">
        <f t="shared" si="22"/>
        <v>40.479999999999997</v>
      </c>
      <c r="H142" s="19">
        <f t="shared" si="22"/>
        <v>60.26</v>
      </c>
      <c r="I142" s="19">
        <f t="shared" si="22"/>
        <v>18.760000000000002</v>
      </c>
      <c r="J142" s="19">
        <f t="shared" si="22"/>
        <v>0.01</v>
      </c>
      <c r="K142" s="19">
        <f t="shared" si="22"/>
        <v>46.59</v>
      </c>
      <c r="L142" s="19">
        <f t="shared" si="22"/>
        <v>43.52</v>
      </c>
      <c r="M142" s="19">
        <f t="shared" si="22"/>
        <v>30.38</v>
      </c>
      <c r="N142" s="19">
        <f t="shared" si="22"/>
        <v>78.350000000000009</v>
      </c>
      <c r="O142" s="19">
        <f t="shared" si="22"/>
        <v>40.139999999999993</v>
      </c>
      <c r="P142" s="19">
        <f t="shared" si="22"/>
        <v>9.129999999999999</v>
      </c>
      <c r="Q142" s="19">
        <f>SUM(E142:P142)</f>
        <v>449.84999999999997</v>
      </c>
    </row>
    <row r="143" spans="1:17" ht="15" x14ac:dyDescent="0.25">
      <c r="A143" s="1"/>
      <c r="E143" s="183"/>
      <c r="F143" s="183"/>
      <c r="G143" s="183"/>
      <c r="H143" s="183"/>
      <c r="I143" s="183"/>
      <c r="J143" s="183"/>
      <c r="K143" s="183"/>
      <c r="L143" s="183"/>
      <c r="M143" s="183"/>
      <c r="N143" s="183"/>
      <c r="O143" s="183"/>
      <c r="P143" s="183"/>
      <c r="Q143" s="183"/>
    </row>
    <row r="144" spans="1:17" x14ac:dyDescent="0.2">
      <c r="B144" s="11"/>
      <c r="C144" s="2" t="s">
        <v>331</v>
      </c>
      <c r="E144" s="114">
        <v>3.09</v>
      </c>
      <c r="F144" s="114">
        <v>2.21</v>
      </c>
      <c r="G144" s="114">
        <v>0.1</v>
      </c>
      <c r="H144" s="114">
        <v>0.06</v>
      </c>
      <c r="I144" s="114">
        <v>0.03</v>
      </c>
      <c r="J144" s="114">
        <v>0</v>
      </c>
      <c r="K144" s="114">
        <v>0.04</v>
      </c>
      <c r="L144" s="114">
        <v>0.05</v>
      </c>
      <c r="M144" s="114">
        <v>0.2</v>
      </c>
      <c r="N144" s="114">
        <v>0.13</v>
      </c>
      <c r="O144" s="114">
        <v>0.22</v>
      </c>
      <c r="P144" s="114">
        <v>0.03</v>
      </c>
      <c r="Q144" s="114">
        <f>SUM(E144:P144)</f>
        <v>6.1599999999999993</v>
      </c>
    </row>
    <row r="145" spans="1:17" x14ac:dyDescent="0.2">
      <c r="B145" s="11"/>
      <c r="C145" s="2" t="s">
        <v>332</v>
      </c>
      <c r="E145" s="114">
        <v>35.950000000000003</v>
      </c>
      <c r="F145" s="114">
        <v>40.64</v>
      </c>
      <c r="G145" s="114">
        <v>40.08</v>
      </c>
      <c r="H145" s="114">
        <v>60.19</v>
      </c>
      <c r="I145" s="114">
        <v>18.73</v>
      </c>
      <c r="J145" s="114">
        <v>0.01</v>
      </c>
      <c r="K145" s="114">
        <v>46.53</v>
      </c>
      <c r="L145" s="114">
        <v>43.45</v>
      </c>
      <c r="M145" s="114">
        <v>30.15</v>
      </c>
      <c r="N145" s="114">
        <v>78.180000000000007</v>
      </c>
      <c r="O145" s="114">
        <v>39.909999999999997</v>
      </c>
      <c r="P145" s="114">
        <v>9.1</v>
      </c>
      <c r="Q145" s="114">
        <f>SUM(E145:P145)</f>
        <v>442.91999999999996</v>
      </c>
    </row>
    <row r="146" spans="1:17" x14ac:dyDescent="0.2">
      <c r="B146" s="11"/>
      <c r="C146" s="2" t="s">
        <v>450</v>
      </c>
      <c r="E146" s="114">
        <v>0.01</v>
      </c>
      <c r="F146" s="114">
        <v>0</v>
      </c>
      <c r="G146" s="114">
        <v>0</v>
      </c>
      <c r="H146" s="114">
        <v>0</v>
      </c>
      <c r="I146" s="114">
        <v>0</v>
      </c>
      <c r="J146" s="114">
        <v>0</v>
      </c>
      <c r="K146" s="114">
        <v>0</v>
      </c>
      <c r="L146" s="114">
        <v>0</v>
      </c>
      <c r="M146" s="114">
        <v>0</v>
      </c>
      <c r="N146" s="114">
        <v>0</v>
      </c>
      <c r="O146" s="114">
        <v>0</v>
      </c>
      <c r="P146" s="114">
        <v>0</v>
      </c>
      <c r="Q146" s="114">
        <f>SUM(E146:P146)</f>
        <v>0.01</v>
      </c>
    </row>
    <row r="147" spans="1:17" x14ac:dyDescent="0.2">
      <c r="B147" s="11"/>
      <c r="C147" s="2" t="s">
        <v>335</v>
      </c>
      <c r="E147" s="114">
        <v>0.01</v>
      </c>
      <c r="F147" s="114">
        <v>0.32</v>
      </c>
      <c r="G147" s="114">
        <v>0.3</v>
      </c>
      <c r="H147" s="114">
        <v>0.01</v>
      </c>
      <c r="I147" s="114">
        <v>0</v>
      </c>
      <c r="J147" s="114">
        <v>0</v>
      </c>
      <c r="K147" s="114">
        <v>0.02</v>
      </c>
      <c r="L147" s="114">
        <v>0.02</v>
      </c>
      <c r="M147" s="114">
        <v>0.03</v>
      </c>
      <c r="N147" s="114">
        <v>0.04</v>
      </c>
      <c r="O147" s="114">
        <v>0.01</v>
      </c>
      <c r="P147" s="114">
        <v>0</v>
      </c>
      <c r="Q147" s="114">
        <f>SUM(E147:P147)</f>
        <v>0.76000000000000012</v>
      </c>
    </row>
    <row r="148" spans="1:17" x14ac:dyDescent="0.2">
      <c r="B148" s="11"/>
      <c r="E148" s="114"/>
      <c r="F148" s="114"/>
      <c r="G148" s="114"/>
      <c r="H148" s="114"/>
      <c r="I148" s="114"/>
      <c r="J148" s="114"/>
      <c r="K148" s="114"/>
      <c r="L148" s="114"/>
      <c r="M148" s="114"/>
      <c r="N148" s="114"/>
      <c r="O148" s="114"/>
      <c r="P148" s="114"/>
      <c r="Q148" s="114"/>
    </row>
    <row r="149" spans="1:17" s="4" customFormat="1" ht="15" x14ac:dyDescent="0.25">
      <c r="A149" s="3" t="s">
        <v>128</v>
      </c>
      <c r="E149" s="19">
        <f>SUM(E151:E154)</f>
        <v>23.44</v>
      </c>
      <c r="F149" s="19">
        <f t="shared" ref="F149:O149" si="23">SUM(F151:F154)</f>
        <v>13.9</v>
      </c>
      <c r="G149" s="19">
        <f t="shared" si="23"/>
        <v>13.21</v>
      </c>
      <c r="H149" s="19">
        <f t="shared" si="23"/>
        <v>28.009999999999998</v>
      </c>
      <c r="I149" s="19">
        <f t="shared" si="23"/>
        <v>2.35</v>
      </c>
      <c r="J149" s="19">
        <f t="shared" si="23"/>
        <v>0.03</v>
      </c>
      <c r="K149" s="19">
        <f t="shared" si="23"/>
        <v>11.55</v>
      </c>
      <c r="L149" s="19">
        <f t="shared" si="23"/>
        <v>15.61</v>
      </c>
      <c r="M149" s="19">
        <f t="shared" si="23"/>
        <v>30.5</v>
      </c>
      <c r="N149" s="19">
        <f t="shared" si="23"/>
        <v>24.39</v>
      </c>
      <c r="O149" s="19">
        <f t="shared" si="23"/>
        <v>19.71</v>
      </c>
      <c r="P149" s="19">
        <f>SUM(P151:P154)</f>
        <v>18.79</v>
      </c>
      <c r="Q149" s="19">
        <f>SUM(Q151:Q154)</f>
        <v>201.49</v>
      </c>
    </row>
    <row r="150" spans="1:17" ht="15" x14ac:dyDescent="0.25">
      <c r="A150" s="1"/>
      <c r="E150" s="183"/>
      <c r="F150" s="183"/>
      <c r="G150" s="183"/>
      <c r="H150" s="183"/>
      <c r="I150" s="183"/>
      <c r="J150" s="183"/>
      <c r="K150" s="183"/>
      <c r="L150" s="183"/>
      <c r="M150" s="183"/>
      <c r="N150" s="183"/>
      <c r="O150" s="183"/>
      <c r="P150" s="183"/>
      <c r="Q150" s="183"/>
    </row>
    <row r="151" spans="1:17" x14ac:dyDescent="0.2">
      <c r="B151" s="11"/>
      <c r="C151" s="2" t="s">
        <v>795</v>
      </c>
      <c r="E151" s="114">
        <v>17.96</v>
      </c>
      <c r="F151" s="114">
        <v>10.18</v>
      </c>
      <c r="G151" s="114">
        <v>10.15</v>
      </c>
      <c r="H151" s="114">
        <v>24.49</v>
      </c>
      <c r="I151" s="114">
        <v>1.72</v>
      </c>
      <c r="J151" s="114">
        <v>0.03</v>
      </c>
      <c r="K151" s="114">
        <v>8.99</v>
      </c>
      <c r="L151" s="114">
        <v>11.61</v>
      </c>
      <c r="M151" s="114">
        <v>16.04</v>
      </c>
      <c r="N151" s="114">
        <v>14.78</v>
      </c>
      <c r="O151" s="114">
        <v>14.86</v>
      </c>
      <c r="P151" s="114">
        <v>16.07</v>
      </c>
      <c r="Q151" s="114">
        <f>SUM(E151:P151)</f>
        <v>146.88</v>
      </c>
    </row>
    <row r="152" spans="1:17" x14ac:dyDescent="0.2">
      <c r="B152" s="11"/>
      <c r="C152" s="2" t="s">
        <v>823</v>
      </c>
      <c r="E152" s="114">
        <v>0</v>
      </c>
      <c r="F152" s="114">
        <v>0</v>
      </c>
      <c r="G152" s="114">
        <v>0</v>
      </c>
      <c r="H152" s="114">
        <v>0</v>
      </c>
      <c r="I152" s="114">
        <v>0</v>
      </c>
      <c r="J152" s="114">
        <v>0</v>
      </c>
      <c r="K152" s="114">
        <v>0</v>
      </c>
      <c r="L152" s="114">
        <v>0</v>
      </c>
      <c r="M152" s="114">
        <v>0</v>
      </c>
      <c r="N152" s="114">
        <v>0</v>
      </c>
      <c r="O152" s="114">
        <v>0.16</v>
      </c>
      <c r="P152" s="114">
        <v>0</v>
      </c>
      <c r="Q152" s="114">
        <f>SUM(E152:P152)</f>
        <v>0.16</v>
      </c>
    </row>
    <row r="153" spans="1:17" x14ac:dyDescent="0.2">
      <c r="B153" s="11"/>
      <c r="C153" s="2" t="s">
        <v>131</v>
      </c>
      <c r="E153" s="114">
        <v>5.48</v>
      </c>
      <c r="F153" s="114">
        <v>3.71</v>
      </c>
      <c r="G153" s="114">
        <v>3.06</v>
      </c>
      <c r="H153" s="114">
        <v>3.52</v>
      </c>
      <c r="I153" s="114">
        <v>0.63</v>
      </c>
      <c r="J153" s="114">
        <v>0</v>
      </c>
      <c r="K153" s="114">
        <v>2.56</v>
      </c>
      <c r="L153" s="114">
        <v>4</v>
      </c>
      <c r="M153" s="114">
        <v>14.46</v>
      </c>
      <c r="N153" s="114">
        <v>9.61</v>
      </c>
      <c r="O153" s="114">
        <v>4.68</v>
      </c>
      <c r="P153" s="114">
        <v>2.72</v>
      </c>
      <c r="Q153" s="114">
        <f>SUM(E153:P153)</f>
        <v>54.43</v>
      </c>
    </row>
    <row r="154" spans="1:17" x14ac:dyDescent="0.2">
      <c r="B154" s="11"/>
      <c r="C154" s="2" t="s">
        <v>133</v>
      </c>
      <c r="E154" s="114">
        <v>0</v>
      </c>
      <c r="F154" s="114">
        <v>0.01</v>
      </c>
      <c r="G154" s="114">
        <v>0</v>
      </c>
      <c r="H154" s="114">
        <v>0</v>
      </c>
      <c r="I154" s="114">
        <v>0</v>
      </c>
      <c r="J154" s="114">
        <v>0</v>
      </c>
      <c r="K154" s="114">
        <v>0</v>
      </c>
      <c r="L154" s="114">
        <v>0</v>
      </c>
      <c r="M154" s="114">
        <v>0</v>
      </c>
      <c r="N154" s="114">
        <v>0</v>
      </c>
      <c r="O154" s="114">
        <v>0.01</v>
      </c>
      <c r="P154" s="114">
        <v>0</v>
      </c>
      <c r="Q154" s="114">
        <f>SUM(E154:P154)</f>
        <v>0.02</v>
      </c>
    </row>
    <row r="155" spans="1:17" x14ac:dyDescent="0.2">
      <c r="E155" s="114"/>
      <c r="F155" s="114"/>
      <c r="G155" s="114"/>
      <c r="H155" s="114"/>
      <c r="I155" s="114"/>
      <c r="J155" s="114"/>
      <c r="K155" s="114"/>
      <c r="L155" s="114"/>
      <c r="M155" s="114"/>
      <c r="N155" s="114"/>
      <c r="O155" s="114"/>
      <c r="P155" s="114"/>
      <c r="Q155" s="114"/>
    </row>
    <row r="156" spans="1:17" s="4" customFormat="1" ht="15" x14ac:dyDescent="0.25">
      <c r="A156" s="3" t="s">
        <v>140</v>
      </c>
      <c r="E156" s="19">
        <f t="shared" ref="E156:P156" si="24">SUM(E158:E173)</f>
        <v>9.3800000000000026</v>
      </c>
      <c r="F156" s="19">
        <f t="shared" si="24"/>
        <v>6.48</v>
      </c>
      <c r="G156" s="19">
        <f t="shared" si="24"/>
        <v>5.2799999999999994</v>
      </c>
      <c r="H156" s="19">
        <f t="shared" si="24"/>
        <v>7.6899999999999995</v>
      </c>
      <c r="I156" s="19">
        <f t="shared" si="24"/>
        <v>1.5300000000000002</v>
      </c>
      <c r="J156" s="19">
        <f t="shared" si="24"/>
        <v>0.05</v>
      </c>
      <c r="K156" s="19">
        <f t="shared" si="24"/>
        <v>2.7199999999999998</v>
      </c>
      <c r="L156" s="19">
        <f t="shared" si="24"/>
        <v>115.86000000000001</v>
      </c>
      <c r="M156" s="19">
        <f t="shared" si="24"/>
        <v>7.0399999999999991</v>
      </c>
      <c r="N156" s="19">
        <f t="shared" si="24"/>
        <v>10.17</v>
      </c>
      <c r="O156" s="19">
        <f t="shared" si="24"/>
        <v>7.23</v>
      </c>
      <c r="P156" s="19">
        <f t="shared" si="24"/>
        <v>5.47</v>
      </c>
      <c r="Q156" s="19">
        <f>SUM(E156:P156)</f>
        <v>178.89999999999998</v>
      </c>
    </row>
    <row r="157" spans="1:17" ht="15" x14ac:dyDescent="0.25">
      <c r="A157" s="1"/>
      <c r="E157" s="183"/>
      <c r="F157" s="183"/>
      <c r="G157" s="183"/>
      <c r="H157" s="183"/>
      <c r="I157" s="183"/>
      <c r="J157" s="183"/>
      <c r="K157" s="183"/>
      <c r="L157" s="183"/>
      <c r="M157" s="183"/>
      <c r="N157" s="183"/>
      <c r="O157" s="183"/>
      <c r="P157" s="183"/>
      <c r="Q157" s="183"/>
    </row>
    <row r="158" spans="1:17" x14ac:dyDescent="0.2">
      <c r="C158" s="2" t="s">
        <v>142</v>
      </c>
      <c r="E158" s="114">
        <v>0</v>
      </c>
      <c r="F158" s="114">
        <v>0</v>
      </c>
      <c r="G158" s="114">
        <v>0</v>
      </c>
      <c r="H158" s="114">
        <v>0</v>
      </c>
      <c r="I158" s="114">
        <v>0</v>
      </c>
      <c r="J158" s="114">
        <v>0</v>
      </c>
      <c r="K158" s="114">
        <v>0</v>
      </c>
      <c r="L158" s="114">
        <v>0.01</v>
      </c>
      <c r="M158" s="114">
        <v>0</v>
      </c>
      <c r="N158" s="114">
        <v>0</v>
      </c>
      <c r="O158" s="114">
        <v>0</v>
      </c>
      <c r="P158" s="114">
        <v>0</v>
      </c>
      <c r="Q158" s="114">
        <f t="shared" ref="Q158:Q173" si="25">SUM(E158:P158)</f>
        <v>0.01</v>
      </c>
    </row>
    <row r="159" spans="1:17" x14ac:dyDescent="0.2">
      <c r="B159" s="11"/>
      <c r="C159" s="2" t="s">
        <v>141</v>
      </c>
      <c r="E159" s="114">
        <v>0.82</v>
      </c>
      <c r="F159" s="114">
        <v>0.54</v>
      </c>
      <c r="G159" s="114">
        <v>0.54</v>
      </c>
      <c r="H159" s="114">
        <v>0.75</v>
      </c>
      <c r="I159" s="114">
        <v>0.25</v>
      </c>
      <c r="J159" s="114">
        <v>0.05</v>
      </c>
      <c r="K159" s="114">
        <v>1.07</v>
      </c>
      <c r="L159" s="114">
        <v>3.73</v>
      </c>
      <c r="M159" s="114">
        <v>1.1200000000000001</v>
      </c>
      <c r="N159" s="114">
        <v>3.39</v>
      </c>
      <c r="O159" s="114">
        <v>1.78</v>
      </c>
      <c r="P159" s="114">
        <v>1.04</v>
      </c>
      <c r="Q159" s="114">
        <f t="shared" si="25"/>
        <v>15.080000000000002</v>
      </c>
    </row>
    <row r="160" spans="1:17" x14ac:dyDescent="0.2">
      <c r="B160" s="11"/>
      <c r="C160" s="2" t="s">
        <v>143</v>
      </c>
      <c r="E160" s="114">
        <v>0.11</v>
      </c>
      <c r="F160" s="114">
        <v>0.13</v>
      </c>
      <c r="G160" s="114">
        <v>0.09</v>
      </c>
      <c r="H160" s="114">
        <v>0.17</v>
      </c>
      <c r="I160" s="114">
        <v>0.01</v>
      </c>
      <c r="J160" s="114">
        <v>0</v>
      </c>
      <c r="K160" s="114">
        <v>0.02</v>
      </c>
      <c r="L160" s="114">
        <v>0.18</v>
      </c>
      <c r="M160" s="114">
        <v>0.19</v>
      </c>
      <c r="N160" s="114">
        <v>0.15</v>
      </c>
      <c r="O160" s="114">
        <v>0.12</v>
      </c>
      <c r="P160" s="114">
        <v>0.05</v>
      </c>
      <c r="Q160" s="114">
        <f t="shared" si="25"/>
        <v>1.22</v>
      </c>
    </row>
    <row r="161" spans="1:17" x14ac:dyDescent="0.2">
      <c r="B161" s="11"/>
      <c r="C161" s="2" t="s">
        <v>144</v>
      </c>
      <c r="E161" s="114">
        <v>0.09</v>
      </c>
      <c r="F161" s="114">
        <v>7.0000000000000007E-2</v>
      </c>
      <c r="G161" s="114">
        <v>0.08</v>
      </c>
      <c r="H161" s="114">
        <v>0.16</v>
      </c>
      <c r="I161" s="114">
        <v>0.02</v>
      </c>
      <c r="J161" s="114">
        <v>0</v>
      </c>
      <c r="K161" s="114">
        <v>0</v>
      </c>
      <c r="L161" s="114">
        <v>0</v>
      </c>
      <c r="M161" s="114">
        <v>0</v>
      </c>
      <c r="N161" s="114">
        <v>0</v>
      </c>
      <c r="O161" s="114">
        <v>0</v>
      </c>
      <c r="P161" s="114">
        <v>0</v>
      </c>
      <c r="Q161" s="114">
        <f t="shared" si="25"/>
        <v>0.42000000000000004</v>
      </c>
    </row>
    <row r="162" spans="1:17" x14ac:dyDescent="0.2">
      <c r="B162" s="11"/>
      <c r="C162" s="2" t="s">
        <v>145</v>
      </c>
      <c r="E162" s="114">
        <v>1.1499999999999999</v>
      </c>
      <c r="F162" s="114">
        <v>0.87</v>
      </c>
      <c r="G162" s="114">
        <v>1.02</v>
      </c>
      <c r="H162" s="114">
        <v>1.25</v>
      </c>
      <c r="I162" s="114">
        <v>0.27</v>
      </c>
      <c r="J162" s="114">
        <v>0</v>
      </c>
      <c r="K162" s="114">
        <v>0.2</v>
      </c>
      <c r="L162" s="114">
        <v>1.41</v>
      </c>
      <c r="M162" s="114">
        <v>1.04</v>
      </c>
      <c r="N162" s="114">
        <v>1.31</v>
      </c>
      <c r="O162" s="114">
        <v>1.02</v>
      </c>
      <c r="P162" s="114">
        <v>0.71</v>
      </c>
      <c r="Q162" s="114">
        <f t="shared" si="25"/>
        <v>10.25</v>
      </c>
    </row>
    <row r="163" spans="1:17" x14ac:dyDescent="0.2">
      <c r="B163" s="11"/>
      <c r="C163" s="2" t="s">
        <v>146</v>
      </c>
      <c r="E163" s="114">
        <v>2.39</v>
      </c>
      <c r="F163" s="114">
        <v>1.59</v>
      </c>
      <c r="G163" s="114">
        <v>1.5</v>
      </c>
      <c r="H163" s="114">
        <v>2.0499999999999998</v>
      </c>
      <c r="I163" s="114">
        <v>0.56999999999999995</v>
      </c>
      <c r="J163" s="114">
        <v>0</v>
      </c>
      <c r="K163" s="114">
        <v>0.2</v>
      </c>
      <c r="L163" s="114">
        <v>2.27</v>
      </c>
      <c r="M163" s="114">
        <v>2.39</v>
      </c>
      <c r="N163" s="114">
        <v>2.38</v>
      </c>
      <c r="O163" s="114">
        <v>1.78</v>
      </c>
      <c r="P163" s="114">
        <v>1.72</v>
      </c>
      <c r="Q163" s="114">
        <f t="shared" si="25"/>
        <v>18.84</v>
      </c>
    </row>
    <row r="164" spans="1:17" x14ac:dyDescent="0.2">
      <c r="B164" s="11"/>
      <c r="C164" s="2" t="s">
        <v>147</v>
      </c>
      <c r="E164" s="114">
        <v>0.03</v>
      </c>
      <c r="F164" s="114">
        <v>0.04</v>
      </c>
      <c r="G164" s="114">
        <v>0.01</v>
      </c>
      <c r="H164" s="114">
        <v>0</v>
      </c>
      <c r="I164" s="114">
        <v>0</v>
      </c>
      <c r="J164" s="114">
        <v>0</v>
      </c>
      <c r="K164" s="114">
        <v>0</v>
      </c>
      <c r="L164" s="114">
        <v>0.01</v>
      </c>
      <c r="M164" s="114">
        <v>0.02</v>
      </c>
      <c r="N164" s="114">
        <v>0.04</v>
      </c>
      <c r="O164" s="114">
        <v>0.03</v>
      </c>
      <c r="P164" s="114">
        <v>0.01</v>
      </c>
      <c r="Q164" s="114">
        <f t="shared" si="25"/>
        <v>0.19</v>
      </c>
    </row>
    <row r="165" spans="1:17" x14ac:dyDescent="0.2">
      <c r="B165" s="11"/>
      <c r="C165" s="2" t="s">
        <v>518</v>
      </c>
      <c r="E165" s="114">
        <v>0</v>
      </c>
      <c r="F165" s="114">
        <v>0</v>
      </c>
      <c r="G165" s="114">
        <v>0</v>
      </c>
      <c r="H165" s="114">
        <v>0</v>
      </c>
      <c r="I165" s="114">
        <v>0</v>
      </c>
      <c r="J165" s="114">
        <v>0</v>
      </c>
      <c r="K165" s="114">
        <v>0.01</v>
      </c>
      <c r="L165" s="114">
        <v>0</v>
      </c>
      <c r="M165" s="114">
        <v>0</v>
      </c>
      <c r="N165" s="114">
        <v>0</v>
      </c>
      <c r="O165" s="114">
        <v>0</v>
      </c>
      <c r="P165" s="114">
        <v>0</v>
      </c>
      <c r="Q165" s="114">
        <f t="shared" si="25"/>
        <v>0.01</v>
      </c>
    </row>
    <row r="166" spans="1:17" ht="28.5" x14ac:dyDescent="0.2">
      <c r="B166" s="11"/>
      <c r="C166" s="182" t="s">
        <v>796</v>
      </c>
      <c r="E166" s="114">
        <v>0.59</v>
      </c>
      <c r="F166" s="114">
        <v>0.3</v>
      </c>
      <c r="G166" s="114">
        <v>0.23</v>
      </c>
      <c r="H166" s="114">
        <v>0.25</v>
      </c>
      <c r="I166" s="114">
        <v>7.0000000000000007E-2</v>
      </c>
      <c r="J166" s="114">
        <v>0</v>
      </c>
      <c r="K166" s="114">
        <v>0.1</v>
      </c>
      <c r="L166" s="114">
        <v>106.05</v>
      </c>
      <c r="M166" s="114">
        <v>0.42</v>
      </c>
      <c r="N166" s="114">
        <v>0.34</v>
      </c>
      <c r="O166" s="114">
        <v>0.68</v>
      </c>
      <c r="P166" s="114">
        <v>0.17</v>
      </c>
      <c r="Q166" s="114">
        <f t="shared" si="25"/>
        <v>109.20000000000002</v>
      </c>
    </row>
    <row r="167" spans="1:17" ht="28.5" x14ac:dyDescent="0.2">
      <c r="B167" s="11"/>
      <c r="C167" s="125" t="s">
        <v>824</v>
      </c>
      <c r="E167" s="114">
        <v>0</v>
      </c>
      <c r="F167" s="114">
        <v>0</v>
      </c>
      <c r="G167" s="114">
        <v>0</v>
      </c>
      <c r="H167" s="114">
        <v>0</v>
      </c>
      <c r="I167" s="114">
        <v>0</v>
      </c>
      <c r="J167" s="114">
        <v>0</v>
      </c>
      <c r="K167" s="114">
        <v>0</v>
      </c>
      <c r="L167" s="114">
        <v>0</v>
      </c>
      <c r="M167" s="114">
        <v>0.04</v>
      </c>
      <c r="N167" s="114">
        <v>0.01</v>
      </c>
      <c r="O167" s="114">
        <v>0.01</v>
      </c>
      <c r="P167" s="114">
        <v>0.02</v>
      </c>
      <c r="Q167" s="114">
        <f t="shared" si="25"/>
        <v>0.08</v>
      </c>
    </row>
    <row r="168" spans="1:17" x14ac:dyDescent="0.2">
      <c r="B168" s="11"/>
      <c r="C168" s="2" t="s">
        <v>804</v>
      </c>
      <c r="E168" s="114">
        <v>0</v>
      </c>
      <c r="F168" s="114">
        <v>0</v>
      </c>
      <c r="G168" s="114">
        <v>0</v>
      </c>
      <c r="H168" s="114">
        <v>1.02</v>
      </c>
      <c r="I168" s="114">
        <v>0</v>
      </c>
      <c r="J168" s="114">
        <v>0</v>
      </c>
      <c r="K168" s="114">
        <v>0</v>
      </c>
      <c r="L168" s="114">
        <v>0</v>
      </c>
      <c r="M168" s="114">
        <v>0</v>
      </c>
      <c r="N168" s="114">
        <v>0</v>
      </c>
      <c r="O168" s="114">
        <v>0</v>
      </c>
      <c r="P168" s="114">
        <v>0</v>
      </c>
      <c r="Q168" s="114">
        <f t="shared" si="25"/>
        <v>1.02</v>
      </c>
    </row>
    <row r="169" spans="1:17" x14ac:dyDescent="0.2">
      <c r="B169" s="11"/>
      <c r="C169" s="2" t="s">
        <v>817</v>
      </c>
      <c r="E169" s="114">
        <v>0.03</v>
      </c>
      <c r="F169" s="114">
        <v>0.04</v>
      </c>
      <c r="G169" s="114">
        <v>0.03</v>
      </c>
      <c r="H169" s="114">
        <v>0.02</v>
      </c>
      <c r="I169" s="114">
        <v>0.01</v>
      </c>
      <c r="J169" s="114">
        <v>0</v>
      </c>
      <c r="K169" s="114">
        <v>0.02</v>
      </c>
      <c r="L169" s="114">
        <v>0.04</v>
      </c>
      <c r="M169" s="114">
        <v>0.06</v>
      </c>
      <c r="N169" s="114">
        <v>0.05</v>
      </c>
      <c r="O169" s="114">
        <v>0.03</v>
      </c>
      <c r="P169" s="114">
        <v>0.01</v>
      </c>
      <c r="Q169" s="114">
        <f t="shared" si="25"/>
        <v>0.33999999999999997</v>
      </c>
    </row>
    <row r="170" spans="1:17" x14ac:dyDescent="0.2">
      <c r="B170" s="11"/>
      <c r="C170" s="2" t="s">
        <v>802</v>
      </c>
      <c r="E170" s="114">
        <v>2.62</v>
      </c>
      <c r="F170" s="114">
        <v>2.0099999999999998</v>
      </c>
      <c r="G170" s="114">
        <v>1.31</v>
      </c>
      <c r="H170" s="114">
        <v>1.48</v>
      </c>
      <c r="I170" s="114">
        <v>0.27</v>
      </c>
      <c r="J170" s="114">
        <v>0</v>
      </c>
      <c r="K170" s="114">
        <v>0.92</v>
      </c>
      <c r="L170" s="114">
        <v>1.25</v>
      </c>
      <c r="M170" s="114">
        <v>1.17</v>
      </c>
      <c r="N170" s="114">
        <v>1.71</v>
      </c>
      <c r="O170" s="114">
        <v>1.49</v>
      </c>
      <c r="P170" s="114">
        <v>1.1499999999999999</v>
      </c>
      <c r="Q170" s="114">
        <f t="shared" si="25"/>
        <v>15.379999999999999</v>
      </c>
    </row>
    <row r="171" spans="1:17" x14ac:dyDescent="0.2">
      <c r="B171" s="11"/>
      <c r="C171" s="2" t="s">
        <v>801</v>
      </c>
      <c r="E171" s="114">
        <v>0.19</v>
      </c>
      <c r="F171" s="114">
        <v>0.11</v>
      </c>
      <c r="G171" s="114">
        <v>0.13</v>
      </c>
      <c r="H171" s="114">
        <v>0.27</v>
      </c>
      <c r="I171" s="114">
        <v>0.06</v>
      </c>
      <c r="J171" s="114">
        <v>0</v>
      </c>
      <c r="K171" s="114">
        <v>0.03</v>
      </c>
      <c r="L171" s="114">
        <v>0.43</v>
      </c>
      <c r="M171" s="114">
        <v>0.18</v>
      </c>
      <c r="N171" s="114">
        <v>0.3</v>
      </c>
      <c r="O171" s="114">
        <v>0.2</v>
      </c>
      <c r="P171" s="114">
        <v>0.11</v>
      </c>
      <c r="Q171" s="114">
        <f t="shared" si="25"/>
        <v>2.0099999999999998</v>
      </c>
    </row>
    <row r="172" spans="1:17" x14ac:dyDescent="0.2">
      <c r="B172" s="11"/>
      <c r="C172" s="2" t="s">
        <v>152</v>
      </c>
      <c r="E172" s="114">
        <v>0.4</v>
      </c>
      <c r="F172" s="114">
        <v>0.25</v>
      </c>
      <c r="G172" s="114">
        <v>0.1</v>
      </c>
      <c r="H172" s="114">
        <v>0.01</v>
      </c>
      <c r="I172" s="114">
        <v>0</v>
      </c>
      <c r="J172" s="114">
        <v>0</v>
      </c>
      <c r="K172" s="114">
        <v>0.15</v>
      </c>
      <c r="L172" s="114">
        <v>0.06</v>
      </c>
      <c r="M172" s="114">
        <v>0</v>
      </c>
      <c r="N172" s="114">
        <v>0.15</v>
      </c>
      <c r="O172" s="114">
        <v>0</v>
      </c>
      <c r="P172" s="114">
        <v>0.04</v>
      </c>
      <c r="Q172" s="114">
        <f t="shared" si="25"/>
        <v>1.1599999999999999</v>
      </c>
    </row>
    <row r="173" spans="1:17" x14ac:dyDescent="0.2">
      <c r="B173" s="11"/>
      <c r="C173" s="2" t="s">
        <v>524</v>
      </c>
      <c r="E173" s="114">
        <v>0.96</v>
      </c>
      <c r="F173" s="114">
        <v>0.53</v>
      </c>
      <c r="G173" s="114">
        <v>0.24</v>
      </c>
      <c r="H173" s="114">
        <v>0.26</v>
      </c>
      <c r="I173" s="114">
        <v>0</v>
      </c>
      <c r="J173" s="114">
        <v>0</v>
      </c>
      <c r="K173" s="114">
        <v>0</v>
      </c>
      <c r="L173" s="114">
        <v>0.42</v>
      </c>
      <c r="M173" s="114">
        <v>0.41</v>
      </c>
      <c r="N173" s="114">
        <v>0.34</v>
      </c>
      <c r="O173" s="114">
        <v>0.09</v>
      </c>
      <c r="P173" s="114">
        <v>0.44</v>
      </c>
      <c r="Q173" s="114">
        <f t="shared" si="25"/>
        <v>3.69</v>
      </c>
    </row>
    <row r="174" spans="1:17" x14ac:dyDescent="0.2">
      <c r="B174" s="11"/>
      <c r="E174" s="114"/>
      <c r="F174" s="114"/>
      <c r="G174" s="114"/>
      <c r="H174" s="114"/>
      <c r="I174" s="114"/>
      <c r="J174" s="114"/>
      <c r="K174" s="114"/>
      <c r="L174" s="114"/>
      <c r="M174" s="114"/>
      <c r="N174" s="114"/>
      <c r="O174" s="114"/>
      <c r="P174" s="114"/>
      <c r="Q174" s="114"/>
    </row>
    <row r="175" spans="1:17" s="4" customFormat="1" ht="15" x14ac:dyDescent="0.25">
      <c r="A175" s="3" t="s">
        <v>159</v>
      </c>
      <c r="D175" s="3"/>
      <c r="E175" s="19">
        <f t="shared" ref="E175:P175" si="26">SUM(E177:E178)</f>
        <v>0.71</v>
      </c>
      <c r="F175" s="19">
        <f t="shared" si="26"/>
        <v>0.69</v>
      </c>
      <c r="G175" s="19">
        <f t="shared" si="26"/>
        <v>1.07</v>
      </c>
      <c r="H175" s="19">
        <f t="shared" si="26"/>
        <v>1.45</v>
      </c>
      <c r="I175" s="19">
        <f t="shared" si="26"/>
        <v>0.38</v>
      </c>
      <c r="J175" s="19">
        <f t="shared" si="26"/>
        <v>0.03</v>
      </c>
      <c r="K175" s="19">
        <f t="shared" si="26"/>
        <v>0.7</v>
      </c>
      <c r="L175" s="19">
        <f t="shared" si="26"/>
        <v>0.78</v>
      </c>
      <c r="M175" s="19">
        <f t="shared" si="26"/>
        <v>0.65</v>
      </c>
      <c r="N175" s="19">
        <f t="shared" si="26"/>
        <v>1.1300000000000001</v>
      </c>
      <c r="O175" s="19">
        <f t="shared" si="26"/>
        <v>1.23</v>
      </c>
      <c r="P175" s="19">
        <f t="shared" si="26"/>
        <v>0.99</v>
      </c>
      <c r="Q175" s="19">
        <f>SUM(E175:P175)</f>
        <v>9.81</v>
      </c>
    </row>
    <row r="176" spans="1:17" ht="15" x14ac:dyDescent="0.25">
      <c r="A176" s="1"/>
      <c r="D176" s="1"/>
      <c r="E176" s="183"/>
      <c r="F176" s="183"/>
      <c r="G176" s="183"/>
      <c r="H176" s="183"/>
      <c r="I176" s="183"/>
      <c r="J176" s="183"/>
      <c r="K176" s="183"/>
      <c r="L176" s="183"/>
      <c r="M176" s="183"/>
      <c r="N176" s="183"/>
      <c r="O176" s="183"/>
      <c r="P176" s="183"/>
      <c r="Q176" s="183"/>
    </row>
    <row r="177" spans="1:17" x14ac:dyDescent="0.2">
      <c r="B177" s="11"/>
      <c r="C177" s="2" t="s">
        <v>591</v>
      </c>
      <c r="E177" s="114">
        <v>0</v>
      </c>
      <c r="F177" s="114">
        <v>0</v>
      </c>
      <c r="G177" s="114">
        <v>0</v>
      </c>
      <c r="H177" s="114">
        <v>0</v>
      </c>
      <c r="I177" s="114">
        <v>0</v>
      </c>
      <c r="J177" s="114">
        <v>0</v>
      </c>
      <c r="K177" s="114">
        <v>0</v>
      </c>
      <c r="L177" s="114">
        <v>0</v>
      </c>
      <c r="M177" s="114">
        <v>0</v>
      </c>
      <c r="N177" s="114">
        <v>0.03</v>
      </c>
      <c r="O177" s="114">
        <v>0.04</v>
      </c>
      <c r="P177" s="114">
        <v>0</v>
      </c>
      <c r="Q177" s="114">
        <f>SUM(E177:P177)</f>
        <v>7.0000000000000007E-2</v>
      </c>
    </row>
    <row r="178" spans="1:17" x14ac:dyDescent="0.2">
      <c r="B178" s="11"/>
      <c r="C178" s="2" t="s">
        <v>363</v>
      </c>
      <c r="E178" s="114">
        <v>0.71</v>
      </c>
      <c r="F178" s="114">
        <v>0.69</v>
      </c>
      <c r="G178" s="114">
        <v>1.07</v>
      </c>
      <c r="H178" s="114">
        <v>1.45</v>
      </c>
      <c r="I178" s="114">
        <v>0.38</v>
      </c>
      <c r="J178" s="114">
        <v>0.03</v>
      </c>
      <c r="K178" s="114">
        <v>0.7</v>
      </c>
      <c r="L178" s="114">
        <v>0.78</v>
      </c>
      <c r="M178" s="114">
        <v>0.65</v>
      </c>
      <c r="N178" s="114">
        <v>1.1000000000000001</v>
      </c>
      <c r="O178" s="114">
        <v>1.19</v>
      </c>
      <c r="P178" s="114">
        <v>0.99</v>
      </c>
      <c r="Q178" s="114">
        <f>SUM(E178:P178)</f>
        <v>9.74</v>
      </c>
    </row>
    <row r="179" spans="1:17" x14ac:dyDescent="0.2">
      <c r="B179" s="11"/>
      <c r="E179" s="114"/>
      <c r="F179" s="114"/>
      <c r="G179" s="114"/>
      <c r="H179" s="114"/>
      <c r="I179" s="114"/>
      <c r="J179" s="114"/>
      <c r="K179" s="114"/>
      <c r="L179" s="114"/>
      <c r="M179" s="114"/>
      <c r="N179" s="114"/>
      <c r="O179" s="114"/>
      <c r="P179" s="114"/>
      <c r="Q179" s="114"/>
    </row>
    <row r="180" spans="1:17" s="4" customFormat="1" ht="15" x14ac:dyDescent="0.25">
      <c r="A180" s="3" t="s">
        <v>161</v>
      </c>
      <c r="E180" s="19">
        <f t="shared" ref="E180:P180" si="27">SUM(E182:E183)</f>
        <v>3.17</v>
      </c>
      <c r="F180" s="19">
        <f t="shared" si="27"/>
        <v>2.46</v>
      </c>
      <c r="G180" s="19">
        <f t="shared" si="27"/>
        <v>5.19</v>
      </c>
      <c r="H180" s="19">
        <f t="shared" si="27"/>
        <v>2.2799999999999998</v>
      </c>
      <c r="I180" s="19">
        <f t="shared" si="27"/>
        <v>0.32</v>
      </c>
      <c r="J180" s="19">
        <f t="shared" si="27"/>
        <v>0.01</v>
      </c>
      <c r="K180" s="19">
        <f t="shared" si="27"/>
        <v>0.1</v>
      </c>
      <c r="L180" s="19">
        <f t="shared" si="27"/>
        <v>2.84</v>
      </c>
      <c r="M180" s="19">
        <f t="shared" si="27"/>
        <v>1.88</v>
      </c>
      <c r="N180" s="19">
        <f t="shared" si="27"/>
        <v>2.66</v>
      </c>
      <c r="O180" s="19">
        <f t="shared" si="27"/>
        <v>2.33</v>
      </c>
      <c r="P180" s="19">
        <f t="shared" si="27"/>
        <v>3.1900000000000004</v>
      </c>
      <c r="Q180" s="19">
        <f>SUM(E180:P180)</f>
        <v>26.429999999999996</v>
      </c>
    </row>
    <row r="181" spans="1:17" ht="15" x14ac:dyDescent="0.25">
      <c r="A181" s="1"/>
      <c r="E181" s="183"/>
      <c r="F181" s="183"/>
      <c r="G181" s="183"/>
      <c r="H181" s="183"/>
      <c r="I181" s="183"/>
      <c r="J181" s="183"/>
      <c r="K181" s="183"/>
      <c r="L181" s="183"/>
      <c r="M181" s="183"/>
      <c r="N181" s="183"/>
      <c r="O181" s="183"/>
      <c r="P181" s="183"/>
      <c r="Q181" s="183"/>
    </row>
    <row r="182" spans="1:17" x14ac:dyDescent="0.2">
      <c r="B182" s="11"/>
      <c r="C182" s="2" t="s">
        <v>366</v>
      </c>
      <c r="E182" s="114">
        <v>2.77</v>
      </c>
      <c r="F182" s="114">
        <v>1.42</v>
      </c>
      <c r="G182" s="114">
        <v>4.9000000000000004</v>
      </c>
      <c r="H182" s="114">
        <v>2.09</v>
      </c>
      <c r="I182" s="114">
        <v>0.25</v>
      </c>
      <c r="J182" s="114">
        <v>0</v>
      </c>
      <c r="K182" s="114">
        <v>0.03</v>
      </c>
      <c r="L182" s="114">
        <v>2.3199999999999998</v>
      </c>
      <c r="M182" s="114">
        <v>1.51</v>
      </c>
      <c r="N182" s="114">
        <v>2.48</v>
      </c>
      <c r="O182" s="114">
        <v>1.87</v>
      </c>
      <c r="P182" s="114">
        <v>2.2400000000000002</v>
      </c>
      <c r="Q182" s="114">
        <f>SUM(E182:P182)</f>
        <v>21.880000000000003</v>
      </c>
    </row>
    <row r="183" spans="1:17" x14ac:dyDescent="0.2">
      <c r="B183" s="11"/>
      <c r="C183" s="2" t="s">
        <v>364</v>
      </c>
      <c r="E183" s="114">
        <v>0.4</v>
      </c>
      <c r="F183" s="114">
        <v>1.04</v>
      </c>
      <c r="G183" s="114">
        <v>0.28999999999999998</v>
      </c>
      <c r="H183" s="114">
        <v>0.19</v>
      </c>
      <c r="I183" s="114">
        <v>7.0000000000000007E-2</v>
      </c>
      <c r="J183" s="114">
        <v>0.01</v>
      </c>
      <c r="K183" s="114">
        <v>7.0000000000000007E-2</v>
      </c>
      <c r="L183" s="114">
        <v>0.52</v>
      </c>
      <c r="M183" s="114">
        <v>0.37</v>
      </c>
      <c r="N183" s="114">
        <v>0.18</v>
      </c>
      <c r="O183" s="114">
        <v>0.46</v>
      </c>
      <c r="P183" s="114">
        <v>0.95</v>
      </c>
      <c r="Q183" s="114">
        <f>SUM(E183:P183)</f>
        <v>4.55</v>
      </c>
    </row>
    <row r="184" spans="1:17" x14ac:dyDescent="0.2">
      <c r="B184" s="11"/>
      <c r="E184" s="114"/>
      <c r="F184" s="114"/>
      <c r="G184" s="114"/>
      <c r="H184" s="114"/>
      <c r="I184" s="114"/>
      <c r="J184" s="114"/>
      <c r="K184" s="114"/>
      <c r="L184" s="114"/>
      <c r="M184" s="114"/>
      <c r="N184" s="114"/>
      <c r="O184" s="114"/>
      <c r="P184" s="114"/>
      <c r="Q184" s="114"/>
    </row>
    <row r="185" spans="1:17" s="4" customFormat="1" ht="15" x14ac:dyDescent="0.25">
      <c r="A185" s="3" t="s">
        <v>166</v>
      </c>
      <c r="E185" s="19">
        <f t="shared" ref="E185:P185" si="28">SUM(E187:E191)</f>
        <v>29.130000000000003</v>
      </c>
      <c r="F185" s="19">
        <f t="shared" si="28"/>
        <v>24.32</v>
      </c>
      <c r="G185" s="19">
        <f t="shared" si="28"/>
        <v>20.65</v>
      </c>
      <c r="H185" s="19">
        <f t="shared" si="28"/>
        <v>21.16</v>
      </c>
      <c r="I185" s="19">
        <f t="shared" si="28"/>
        <v>5.67</v>
      </c>
      <c r="J185" s="19">
        <f t="shared" si="28"/>
        <v>0.33</v>
      </c>
      <c r="K185" s="19">
        <f t="shared" si="28"/>
        <v>11.969999999999999</v>
      </c>
      <c r="L185" s="19">
        <f t="shared" si="28"/>
        <v>46.46</v>
      </c>
      <c r="M185" s="19">
        <f t="shared" si="28"/>
        <v>17.77</v>
      </c>
      <c r="N185" s="19">
        <f t="shared" si="28"/>
        <v>18.73</v>
      </c>
      <c r="O185" s="19">
        <f t="shared" si="28"/>
        <v>13.85</v>
      </c>
      <c r="P185" s="19">
        <f t="shared" si="28"/>
        <v>10.29</v>
      </c>
      <c r="Q185" s="19">
        <f>SUM(E185:P185)</f>
        <v>220.32999999999998</v>
      </c>
    </row>
    <row r="186" spans="1:17" ht="15" x14ac:dyDescent="0.25">
      <c r="A186" s="1"/>
      <c r="E186" s="183"/>
      <c r="F186" s="183"/>
      <c r="G186" s="183"/>
      <c r="H186" s="183"/>
      <c r="I186" s="183"/>
      <c r="J186" s="183"/>
      <c r="K186" s="183"/>
      <c r="L186" s="183"/>
      <c r="M186" s="183"/>
      <c r="N186" s="183"/>
      <c r="O186" s="183"/>
      <c r="P186" s="183"/>
      <c r="Q186" s="183"/>
    </row>
    <row r="187" spans="1:17" x14ac:dyDescent="0.2">
      <c r="C187" s="2" t="s">
        <v>368</v>
      </c>
      <c r="E187" s="114">
        <v>5.73</v>
      </c>
      <c r="F187" s="114">
        <v>3.31</v>
      </c>
      <c r="G187" s="114">
        <v>2.73</v>
      </c>
      <c r="H187" s="114">
        <v>4.0599999999999996</v>
      </c>
      <c r="I187" s="114">
        <v>0.95</v>
      </c>
      <c r="J187" s="114">
        <v>0</v>
      </c>
      <c r="K187" s="114">
        <v>2.23</v>
      </c>
      <c r="L187" s="114">
        <v>31.19</v>
      </c>
      <c r="M187" s="114">
        <v>3.3</v>
      </c>
      <c r="N187" s="114">
        <v>4.21</v>
      </c>
      <c r="O187" s="114">
        <v>2.78</v>
      </c>
      <c r="P187" s="114">
        <v>1.59</v>
      </c>
      <c r="Q187" s="114">
        <f>SUM(E187:P187)</f>
        <v>62.080000000000005</v>
      </c>
    </row>
    <row r="188" spans="1:17" x14ac:dyDescent="0.2">
      <c r="B188" s="11"/>
      <c r="C188" s="2" t="s">
        <v>369</v>
      </c>
      <c r="E188" s="114">
        <v>0.17</v>
      </c>
      <c r="F188" s="114">
        <v>0.15</v>
      </c>
      <c r="G188" s="114">
        <v>0.12</v>
      </c>
      <c r="H188" s="114">
        <v>7.0000000000000007E-2</v>
      </c>
      <c r="I188" s="114">
        <v>0.01</v>
      </c>
      <c r="J188" s="114">
        <v>0.01</v>
      </c>
      <c r="K188" s="114">
        <v>0.05</v>
      </c>
      <c r="L188" s="114">
        <v>7.0000000000000007E-2</v>
      </c>
      <c r="M188" s="114">
        <v>0.09</v>
      </c>
      <c r="N188" s="114">
        <v>0.06</v>
      </c>
      <c r="O188" s="114">
        <v>0.06</v>
      </c>
      <c r="P188" s="114">
        <v>0.1</v>
      </c>
      <c r="Q188" s="114">
        <f>SUM(E188:P188)</f>
        <v>0.96000000000000008</v>
      </c>
    </row>
    <row r="189" spans="1:17" x14ac:dyDescent="0.2">
      <c r="B189" s="11"/>
      <c r="C189" s="2" t="s">
        <v>367</v>
      </c>
      <c r="E189" s="114">
        <v>22.55</v>
      </c>
      <c r="F189" s="114">
        <v>20.09</v>
      </c>
      <c r="G189" s="114">
        <v>15.76</v>
      </c>
      <c r="H189" s="114">
        <v>16.46</v>
      </c>
      <c r="I189" s="114">
        <v>4.68</v>
      </c>
      <c r="J189" s="114">
        <v>0.32</v>
      </c>
      <c r="K189" s="114">
        <v>7.41</v>
      </c>
      <c r="L189" s="114">
        <v>15.18</v>
      </c>
      <c r="M189" s="114">
        <v>14.36</v>
      </c>
      <c r="N189" s="114">
        <v>14.45</v>
      </c>
      <c r="O189" s="114">
        <v>11.01</v>
      </c>
      <c r="P189" s="114">
        <v>8.57</v>
      </c>
      <c r="Q189" s="114">
        <f>SUM(E189:P189)</f>
        <v>150.83999999999997</v>
      </c>
    </row>
    <row r="190" spans="1:17" x14ac:dyDescent="0.2">
      <c r="B190" s="11"/>
      <c r="C190" s="2" t="s">
        <v>372</v>
      </c>
      <c r="E190" s="114">
        <v>0.66</v>
      </c>
      <c r="F190" s="114">
        <v>0.62</v>
      </c>
      <c r="G190" s="114">
        <v>2.02</v>
      </c>
      <c r="H190" s="114">
        <v>0.56999999999999995</v>
      </c>
      <c r="I190" s="114">
        <v>0.03</v>
      </c>
      <c r="J190" s="114">
        <v>0</v>
      </c>
      <c r="K190" s="114">
        <v>2.2799999999999998</v>
      </c>
      <c r="L190" s="114">
        <v>0.02</v>
      </c>
      <c r="M190" s="114">
        <v>0.02</v>
      </c>
      <c r="N190" s="114">
        <v>0.01</v>
      </c>
      <c r="O190" s="114">
        <v>0</v>
      </c>
      <c r="P190" s="114">
        <v>0.03</v>
      </c>
      <c r="Q190" s="114">
        <f>SUM(E190:P190)</f>
        <v>6.2599999999999989</v>
      </c>
    </row>
    <row r="191" spans="1:17" x14ac:dyDescent="0.2">
      <c r="B191" s="11"/>
      <c r="C191" s="2" t="s">
        <v>806</v>
      </c>
      <c r="E191" s="114">
        <v>0.02</v>
      </c>
      <c r="F191" s="114">
        <v>0.15</v>
      </c>
      <c r="G191" s="114">
        <v>0.02</v>
      </c>
      <c r="H191" s="114">
        <v>0</v>
      </c>
      <c r="I191" s="114">
        <v>0</v>
      </c>
      <c r="J191" s="114">
        <v>0</v>
      </c>
      <c r="K191" s="114">
        <v>0</v>
      </c>
      <c r="L191" s="114">
        <v>0</v>
      </c>
      <c r="M191" s="114">
        <v>0</v>
      </c>
      <c r="N191" s="114">
        <v>0</v>
      </c>
      <c r="O191" s="114">
        <v>0</v>
      </c>
      <c r="P191" s="114">
        <v>0</v>
      </c>
      <c r="Q191" s="114">
        <f>SUM(E191:P191)</f>
        <v>0.18999999999999997</v>
      </c>
    </row>
    <row r="192" spans="1:17" x14ac:dyDescent="0.2">
      <c r="B192" s="11"/>
      <c r="E192" s="114"/>
      <c r="F192" s="114"/>
      <c r="G192" s="114"/>
      <c r="H192" s="114"/>
      <c r="I192" s="114"/>
      <c r="J192" s="114"/>
      <c r="K192" s="114"/>
      <c r="L192" s="114"/>
      <c r="M192" s="114"/>
      <c r="N192" s="114"/>
      <c r="O192" s="114"/>
      <c r="P192" s="114"/>
      <c r="Q192" s="114"/>
    </row>
    <row r="193" spans="1:17" s="4" customFormat="1" ht="15" x14ac:dyDescent="0.25">
      <c r="A193" s="3" t="s">
        <v>174</v>
      </c>
      <c r="D193" s="3"/>
      <c r="E193" s="19">
        <f t="shared" ref="E193:P193" si="29">SUM(E195:E202)</f>
        <v>375.09000000000003</v>
      </c>
      <c r="F193" s="19">
        <f t="shared" si="29"/>
        <v>258.64</v>
      </c>
      <c r="G193" s="19">
        <f t="shared" si="29"/>
        <v>258.54000000000002</v>
      </c>
      <c r="H193" s="19">
        <f t="shared" si="29"/>
        <v>348.10999999999996</v>
      </c>
      <c r="I193" s="19">
        <f t="shared" si="29"/>
        <v>88.960000000000008</v>
      </c>
      <c r="J193" s="19">
        <f t="shared" si="29"/>
        <v>9.73</v>
      </c>
      <c r="K193" s="19">
        <f t="shared" si="29"/>
        <v>161.05999999999997</v>
      </c>
      <c r="L193" s="19">
        <f t="shared" si="29"/>
        <v>292.2</v>
      </c>
      <c r="M193" s="19">
        <f t="shared" si="29"/>
        <v>269.32</v>
      </c>
      <c r="N193" s="19">
        <f t="shared" si="29"/>
        <v>282.89</v>
      </c>
      <c r="O193" s="19">
        <f t="shared" si="29"/>
        <v>200.42</v>
      </c>
      <c r="P193" s="19">
        <f t="shared" si="29"/>
        <v>195.96999999999997</v>
      </c>
      <c r="Q193" s="19">
        <f>SUM(E193:P193)</f>
        <v>2740.93</v>
      </c>
    </row>
    <row r="194" spans="1:17" ht="15" x14ac:dyDescent="0.25">
      <c r="A194" s="1"/>
      <c r="D194" s="1"/>
      <c r="E194" s="183"/>
      <c r="F194" s="183"/>
      <c r="G194" s="183"/>
      <c r="H194" s="183"/>
      <c r="I194" s="183"/>
      <c r="J194" s="183"/>
      <c r="K194" s="183"/>
      <c r="L194" s="183"/>
      <c r="M194" s="183"/>
      <c r="N194" s="183"/>
      <c r="O194" s="183"/>
      <c r="P194" s="183"/>
      <c r="Q194" s="183"/>
    </row>
    <row r="195" spans="1:17" x14ac:dyDescent="0.2">
      <c r="C195" s="2" t="s">
        <v>377</v>
      </c>
      <c r="E195" s="114">
        <v>122.41</v>
      </c>
      <c r="F195" s="114">
        <v>50.5</v>
      </c>
      <c r="G195" s="114">
        <v>53.44</v>
      </c>
      <c r="H195" s="114">
        <v>123.39</v>
      </c>
      <c r="I195" s="114">
        <v>21.65</v>
      </c>
      <c r="J195" s="114">
        <v>4.09</v>
      </c>
      <c r="K195" s="114">
        <v>7.93</v>
      </c>
      <c r="L195" s="114">
        <v>33.47</v>
      </c>
      <c r="M195" s="114">
        <v>10.08</v>
      </c>
      <c r="N195" s="114">
        <v>0</v>
      </c>
      <c r="O195" s="114">
        <v>0.02</v>
      </c>
      <c r="P195" s="114">
        <v>0</v>
      </c>
      <c r="Q195" s="114">
        <f t="shared" ref="Q195:Q202" si="30">SUM(E195:P195)</f>
        <v>426.97999999999996</v>
      </c>
    </row>
    <row r="196" spans="1:17" x14ac:dyDescent="0.2">
      <c r="C196" s="2" t="s">
        <v>602</v>
      </c>
      <c r="E196" s="114">
        <v>1.54</v>
      </c>
      <c r="F196" s="114">
        <v>6.33</v>
      </c>
      <c r="G196" s="114">
        <v>0.74</v>
      </c>
      <c r="H196" s="114">
        <v>1.38</v>
      </c>
      <c r="I196" s="114">
        <v>2.0499999999999998</v>
      </c>
      <c r="J196" s="114">
        <v>0</v>
      </c>
      <c r="K196" s="114">
        <v>1.5</v>
      </c>
      <c r="L196" s="114">
        <v>0</v>
      </c>
      <c r="M196" s="114">
        <v>0</v>
      </c>
      <c r="N196" s="114">
        <v>0</v>
      </c>
      <c r="O196" s="114">
        <v>0</v>
      </c>
      <c r="P196" s="114">
        <v>0</v>
      </c>
      <c r="Q196" s="114">
        <f t="shared" si="30"/>
        <v>13.54</v>
      </c>
    </row>
    <row r="197" spans="1:17" x14ac:dyDescent="0.2">
      <c r="B197" s="11"/>
      <c r="C197" s="2" t="s">
        <v>374</v>
      </c>
      <c r="E197" s="114">
        <v>11.19</v>
      </c>
      <c r="F197" s="114">
        <v>3.1</v>
      </c>
      <c r="G197" s="114">
        <v>6.46</v>
      </c>
      <c r="H197" s="114">
        <v>4.6399999999999997</v>
      </c>
      <c r="I197" s="114">
        <v>0.94</v>
      </c>
      <c r="J197" s="114">
        <v>0</v>
      </c>
      <c r="K197" s="114">
        <v>1.61</v>
      </c>
      <c r="L197" s="114">
        <v>5.0999999999999996</v>
      </c>
      <c r="M197" s="114">
        <v>4.24</v>
      </c>
      <c r="N197" s="114">
        <v>2.96</v>
      </c>
      <c r="O197" s="114">
        <v>5</v>
      </c>
      <c r="P197" s="114">
        <v>3.08</v>
      </c>
      <c r="Q197" s="114">
        <f t="shared" si="30"/>
        <v>48.32</v>
      </c>
    </row>
    <row r="198" spans="1:17" x14ac:dyDescent="0.2">
      <c r="B198" s="11"/>
      <c r="C198" s="2" t="s">
        <v>820</v>
      </c>
      <c r="E198" s="114">
        <v>28.55</v>
      </c>
      <c r="F198" s="114">
        <v>23.66</v>
      </c>
      <c r="G198" s="114">
        <v>25.57</v>
      </c>
      <c r="H198" s="114">
        <v>27.17</v>
      </c>
      <c r="I198" s="114">
        <v>6.67</v>
      </c>
      <c r="J198" s="114">
        <v>0.49</v>
      </c>
      <c r="K198" s="114">
        <v>11.37</v>
      </c>
      <c r="L198" s="114">
        <v>18.37</v>
      </c>
      <c r="M198" s="114">
        <v>19.21</v>
      </c>
      <c r="N198" s="114">
        <v>22.51</v>
      </c>
      <c r="O198" s="114">
        <v>14.49</v>
      </c>
      <c r="P198" s="114">
        <v>16.96</v>
      </c>
      <c r="Q198" s="114">
        <f t="shared" si="30"/>
        <v>215.02</v>
      </c>
    </row>
    <row r="199" spans="1:17" x14ac:dyDescent="0.2">
      <c r="B199" s="11"/>
      <c r="C199" s="2" t="s">
        <v>808</v>
      </c>
      <c r="E199" s="114">
        <v>53.24</v>
      </c>
      <c r="F199" s="114">
        <v>39.01</v>
      </c>
      <c r="G199" s="114">
        <v>37.880000000000003</v>
      </c>
      <c r="H199" s="114">
        <v>42.2</v>
      </c>
      <c r="I199" s="114">
        <v>13.71</v>
      </c>
      <c r="J199" s="114">
        <v>1.27</v>
      </c>
      <c r="K199" s="114">
        <v>57.23</v>
      </c>
      <c r="L199" s="114">
        <v>73.069999999999993</v>
      </c>
      <c r="M199" s="114">
        <v>59.87</v>
      </c>
      <c r="N199" s="114">
        <v>73.12</v>
      </c>
      <c r="O199" s="114">
        <v>33.47</v>
      </c>
      <c r="P199" s="114">
        <v>27.27</v>
      </c>
      <c r="Q199" s="114">
        <f t="shared" si="30"/>
        <v>511.34000000000003</v>
      </c>
    </row>
    <row r="200" spans="1:17" x14ac:dyDescent="0.2">
      <c r="B200" s="11"/>
      <c r="C200" s="2" t="s">
        <v>376</v>
      </c>
      <c r="E200" s="114">
        <v>134.22</v>
      </c>
      <c r="F200" s="114">
        <v>115.03</v>
      </c>
      <c r="G200" s="114">
        <v>115.26</v>
      </c>
      <c r="H200" s="114">
        <v>129.62</v>
      </c>
      <c r="I200" s="114">
        <v>36.49</v>
      </c>
      <c r="J200" s="114">
        <v>3.13</v>
      </c>
      <c r="K200" s="114">
        <v>69.38</v>
      </c>
      <c r="L200" s="114">
        <v>139.4</v>
      </c>
      <c r="M200" s="114">
        <v>151.13999999999999</v>
      </c>
      <c r="N200" s="114">
        <v>155.79</v>
      </c>
      <c r="O200" s="114">
        <v>126.41</v>
      </c>
      <c r="P200" s="114">
        <v>126.96</v>
      </c>
      <c r="Q200" s="114">
        <f t="shared" si="30"/>
        <v>1302.8300000000002</v>
      </c>
    </row>
    <row r="201" spans="1:17" x14ac:dyDescent="0.2">
      <c r="B201" s="11"/>
      <c r="C201" s="2" t="s">
        <v>378</v>
      </c>
      <c r="E201" s="114">
        <v>23.93</v>
      </c>
      <c r="F201" s="114">
        <v>21</v>
      </c>
      <c r="G201" s="114">
        <v>19.190000000000001</v>
      </c>
      <c r="H201" s="114">
        <v>19.71</v>
      </c>
      <c r="I201" s="114">
        <v>7.45</v>
      </c>
      <c r="J201" s="114">
        <v>0.75</v>
      </c>
      <c r="K201" s="114">
        <v>12.03</v>
      </c>
      <c r="L201" s="114">
        <v>22.75</v>
      </c>
      <c r="M201" s="114">
        <v>24.78</v>
      </c>
      <c r="N201" s="114">
        <v>28.5</v>
      </c>
      <c r="O201" s="114">
        <v>21.03</v>
      </c>
      <c r="P201" s="114">
        <v>21.7</v>
      </c>
      <c r="Q201" s="114">
        <f t="shared" si="30"/>
        <v>222.82000000000002</v>
      </c>
    </row>
    <row r="202" spans="1:17" x14ac:dyDescent="0.2">
      <c r="C202" s="2" t="s">
        <v>379</v>
      </c>
      <c r="E202" s="114">
        <v>0.01</v>
      </c>
      <c r="F202" s="114">
        <v>0.01</v>
      </c>
      <c r="G202" s="114">
        <v>0</v>
      </c>
      <c r="H202" s="114">
        <v>0</v>
      </c>
      <c r="I202" s="114">
        <v>0</v>
      </c>
      <c r="J202" s="114">
        <v>0</v>
      </c>
      <c r="K202" s="114">
        <v>0.01</v>
      </c>
      <c r="L202" s="114">
        <v>0.04</v>
      </c>
      <c r="M202" s="114">
        <v>0</v>
      </c>
      <c r="N202" s="114">
        <v>0.01</v>
      </c>
      <c r="O202" s="114">
        <v>0</v>
      </c>
      <c r="P202" s="114">
        <v>0</v>
      </c>
      <c r="Q202" s="114">
        <f t="shared" si="30"/>
        <v>0.08</v>
      </c>
    </row>
    <row r="203" spans="1:17" x14ac:dyDescent="0.2">
      <c r="E203" s="114"/>
      <c r="F203" s="114"/>
      <c r="G203" s="114"/>
      <c r="H203" s="114"/>
      <c r="I203" s="114"/>
      <c r="J203" s="114"/>
      <c r="K203" s="114"/>
      <c r="L203" s="114"/>
      <c r="M203" s="114"/>
      <c r="N203" s="114"/>
      <c r="O203" s="114"/>
      <c r="P203" s="114"/>
      <c r="Q203" s="114"/>
    </row>
    <row r="204" spans="1:17" s="4" customFormat="1" ht="15" x14ac:dyDescent="0.25">
      <c r="A204" s="3" t="s">
        <v>182</v>
      </c>
      <c r="E204" s="19">
        <f t="shared" ref="E204:P204" si="31">SUM(E206:E231)</f>
        <v>49.989999999999981</v>
      </c>
      <c r="F204" s="19">
        <f t="shared" si="31"/>
        <v>20.91</v>
      </c>
      <c r="G204" s="19">
        <f t="shared" si="31"/>
        <v>5.3800000000000008</v>
      </c>
      <c r="H204" s="19">
        <f t="shared" si="31"/>
        <v>4.7299999999999995</v>
      </c>
      <c r="I204" s="19">
        <f t="shared" si="31"/>
        <v>5.45</v>
      </c>
      <c r="J204" s="19">
        <f t="shared" si="31"/>
        <v>0.28000000000000003</v>
      </c>
      <c r="K204" s="19">
        <f t="shared" si="31"/>
        <v>5.53</v>
      </c>
      <c r="L204" s="19">
        <f t="shared" si="31"/>
        <v>7.7299999999999986</v>
      </c>
      <c r="M204" s="19">
        <f t="shared" si="31"/>
        <v>7.419999999999999</v>
      </c>
      <c r="N204" s="19">
        <f t="shared" si="31"/>
        <v>6.8800000000000008</v>
      </c>
      <c r="O204" s="19">
        <f t="shared" si="31"/>
        <v>7.31</v>
      </c>
      <c r="P204" s="19">
        <f t="shared" si="31"/>
        <v>3.5700000000000003</v>
      </c>
      <c r="Q204" s="19">
        <f>SUM(E204:P204)</f>
        <v>125.17999999999998</v>
      </c>
    </row>
    <row r="205" spans="1:17" ht="15" x14ac:dyDescent="0.25">
      <c r="A205" s="1"/>
      <c r="E205" s="183"/>
      <c r="F205" s="183"/>
      <c r="G205" s="183"/>
      <c r="H205" s="183"/>
      <c r="I205" s="183"/>
      <c r="J205" s="183"/>
      <c r="K205" s="183"/>
      <c r="L205" s="183"/>
      <c r="M205" s="183"/>
      <c r="N205" s="183"/>
      <c r="O205" s="183"/>
      <c r="P205" s="183"/>
      <c r="Q205" s="183"/>
    </row>
    <row r="206" spans="1:17" x14ac:dyDescent="0.2">
      <c r="C206" s="2" t="s">
        <v>614</v>
      </c>
      <c r="E206" s="114">
        <v>0</v>
      </c>
      <c r="F206" s="114">
        <v>0.01</v>
      </c>
      <c r="G206" s="114">
        <v>0.01</v>
      </c>
      <c r="H206" s="114">
        <v>0.03</v>
      </c>
      <c r="I206" s="114">
        <v>0</v>
      </c>
      <c r="J206" s="114">
        <v>0</v>
      </c>
      <c r="K206" s="114">
        <v>0</v>
      </c>
      <c r="L206" s="114">
        <v>0</v>
      </c>
      <c r="M206" s="114">
        <v>0</v>
      </c>
      <c r="N206" s="114">
        <v>0</v>
      </c>
      <c r="O206" s="114">
        <v>0</v>
      </c>
      <c r="P206" s="114">
        <v>0</v>
      </c>
      <c r="Q206" s="114">
        <f t="shared" ref="Q206:Q231" si="32">SUM(E206:P206)</f>
        <v>0.05</v>
      </c>
    </row>
    <row r="207" spans="1:17" x14ac:dyDescent="0.2">
      <c r="C207" s="2" t="s">
        <v>402</v>
      </c>
      <c r="E207" s="114">
        <v>0</v>
      </c>
      <c r="F207" s="114">
        <v>0</v>
      </c>
      <c r="G207" s="114">
        <v>0</v>
      </c>
      <c r="H207" s="114">
        <v>0.01</v>
      </c>
      <c r="I207" s="114">
        <v>0</v>
      </c>
      <c r="J207" s="114">
        <v>0</v>
      </c>
      <c r="K207" s="114">
        <v>0</v>
      </c>
      <c r="L207" s="114">
        <v>0</v>
      </c>
      <c r="M207" s="114">
        <v>0</v>
      </c>
      <c r="N207" s="114">
        <v>0</v>
      </c>
      <c r="O207" s="114">
        <v>0.01</v>
      </c>
      <c r="P207" s="114">
        <v>0</v>
      </c>
      <c r="Q207" s="114">
        <f t="shared" si="32"/>
        <v>0.02</v>
      </c>
    </row>
    <row r="208" spans="1:17" x14ac:dyDescent="0.2">
      <c r="C208" s="2" t="s">
        <v>821</v>
      </c>
      <c r="E208" s="114">
        <v>0</v>
      </c>
      <c r="F208" s="114">
        <v>0</v>
      </c>
      <c r="G208" s="114">
        <v>0</v>
      </c>
      <c r="H208" s="114">
        <v>0</v>
      </c>
      <c r="I208" s="114">
        <v>0</v>
      </c>
      <c r="J208" s="114">
        <v>0</v>
      </c>
      <c r="K208" s="114">
        <v>0</v>
      </c>
      <c r="L208" s="114">
        <v>0</v>
      </c>
      <c r="M208" s="114">
        <v>0</v>
      </c>
      <c r="N208" s="114">
        <v>0</v>
      </c>
      <c r="O208" s="114">
        <v>0.01</v>
      </c>
      <c r="P208" s="114">
        <v>0</v>
      </c>
      <c r="Q208" s="114">
        <f t="shared" si="32"/>
        <v>0.01</v>
      </c>
    </row>
    <row r="209" spans="3:17" x14ac:dyDescent="0.2">
      <c r="C209" s="2" t="s">
        <v>382</v>
      </c>
      <c r="E209" s="114">
        <v>0</v>
      </c>
      <c r="F209" s="114">
        <v>0</v>
      </c>
      <c r="G209" s="114">
        <v>0.01</v>
      </c>
      <c r="H209" s="114">
        <v>0</v>
      </c>
      <c r="I209" s="114">
        <v>0</v>
      </c>
      <c r="J209" s="114">
        <v>0</v>
      </c>
      <c r="K209" s="114">
        <v>0</v>
      </c>
      <c r="L209" s="114">
        <v>0</v>
      </c>
      <c r="M209" s="114">
        <v>0</v>
      </c>
      <c r="N209" s="114">
        <v>0</v>
      </c>
      <c r="O209" s="114">
        <v>0</v>
      </c>
      <c r="P209" s="114">
        <v>0</v>
      </c>
      <c r="Q209" s="114">
        <f t="shared" si="32"/>
        <v>0.01</v>
      </c>
    </row>
    <row r="210" spans="3:17" x14ac:dyDescent="0.2">
      <c r="C210" s="2" t="s">
        <v>383</v>
      </c>
      <c r="E210" s="114">
        <v>46.55</v>
      </c>
      <c r="F210" s="114">
        <v>14.18</v>
      </c>
      <c r="G210" s="114">
        <v>0.27</v>
      </c>
      <c r="H210" s="114">
        <v>0.59</v>
      </c>
      <c r="I210" s="114">
        <v>4.3</v>
      </c>
      <c r="J210" s="114">
        <v>0</v>
      </c>
      <c r="K210" s="114">
        <v>0</v>
      </c>
      <c r="L210" s="114">
        <v>0</v>
      </c>
      <c r="M210" s="114">
        <v>0</v>
      </c>
      <c r="N210" s="114">
        <v>0</v>
      </c>
      <c r="O210" s="114">
        <v>0</v>
      </c>
      <c r="P210" s="114">
        <v>0</v>
      </c>
      <c r="Q210" s="114">
        <f t="shared" si="32"/>
        <v>65.89</v>
      </c>
    </row>
    <row r="211" spans="3:17" x14ac:dyDescent="0.2">
      <c r="C211" s="2" t="s">
        <v>385</v>
      </c>
      <c r="E211" s="114">
        <v>0</v>
      </c>
      <c r="F211" s="114">
        <v>0.01</v>
      </c>
      <c r="G211" s="114">
        <v>0.01</v>
      </c>
      <c r="H211" s="114">
        <v>0</v>
      </c>
      <c r="I211" s="114">
        <v>0</v>
      </c>
      <c r="J211" s="114">
        <v>0</v>
      </c>
      <c r="K211" s="114">
        <v>0</v>
      </c>
      <c r="L211" s="114">
        <v>0</v>
      </c>
      <c r="M211" s="114">
        <v>0</v>
      </c>
      <c r="N211" s="114">
        <v>0</v>
      </c>
      <c r="O211" s="114">
        <v>0</v>
      </c>
      <c r="P211" s="114">
        <v>0</v>
      </c>
      <c r="Q211" s="114">
        <f t="shared" si="32"/>
        <v>0.02</v>
      </c>
    </row>
    <row r="212" spans="3:17" x14ac:dyDescent="0.2">
      <c r="C212" s="2" t="s">
        <v>811</v>
      </c>
      <c r="E212" s="114">
        <v>1.98</v>
      </c>
      <c r="F212" s="114">
        <v>1.69</v>
      </c>
      <c r="G212" s="114">
        <v>1.58</v>
      </c>
      <c r="H212" s="114">
        <v>1.67</v>
      </c>
      <c r="I212" s="114">
        <v>0.47</v>
      </c>
      <c r="J212" s="114">
        <v>0</v>
      </c>
      <c r="K212" s="114">
        <v>3.31</v>
      </c>
      <c r="L212" s="114">
        <v>5.28</v>
      </c>
      <c r="M212" s="114">
        <v>3.67</v>
      </c>
      <c r="N212" s="114">
        <v>4.04</v>
      </c>
      <c r="O212" s="114">
        <v>3.04</v>
      </c>
      <c r="P212" s="114">
        <v>1.2</v>
      </c>
      <c r="Q212" s="114">
        <f t="shared" si="32"/>
        <v>27.929999999999996</v>
      </c>
    </row>
    <row r="213" spans="3:17" x14ac:dyDescent="0.2">
      <c r="C213" s="2" t="s">
        <v>409</v>
      </c>
      <c r="E213" s="114">
        <v>0.01</v>
      </c>
      <c r="F213" s="114">
        <v>0</v>
      </c>
      <c r="G213" s="114">
        <v>0</v>
      </c>
      <c r="H213" s="114">
        <v>0.01</v>
      </c>
      <c r="I213" s="114">
        <v>0</v>
      </c>
      <c r="J213" s="114">
        <v>0</v>
      </c>
      <c r="K213" s="114">
        <v>0</v>
      </c>
      <c r="L213" s="114">
        <v>0</v>
      </c>
      <c r="M213" s="114">
        <v>0</v>
      </c>
      <c r="N213" s="114">
        <v>0</v>
      </c>
      <c r="O213" s="114">
        <v>0</v>
      </c>
      <c r="P213" s="114">
        <v>0</v>
      </c>
      <c r="Q213" s="114">
        <f t="shared" si="32"/>
        <v>0.02</v>
      </c>
    </row>
    <row r="214" spans="3:17" x14ac:dyDescent="0.2">
      <c r="C214" s="2" t="s">
        <v>403</v>
      </c>
      <c r="E214" s="114">
        <v>0</v>
      </c>
      <c r="F214" s="114">
        <v>0</v>
      </c>
      <c r="G214" s="114">
        <v>0</v>
      </c>
      <c r="H214" s="114">
        <v>0</v>
      </c>
      <c r="I214" s="114">
        <v>0</v>
      </c>
      <c r="J214" s="114">
        <v>0</v>
      </c>
      <c r="K214" s="114">
        <v>0</v>
      </c>
      <c r="L214" s="114">
        <v>0.01</v>
      </c>
      <c r="M214" s="114">
        <v>0</v>
      </c>
      <c r="N214" s="114">
        <v>0</v>
      </c>
      <c r="O214" s="114">
        <v>0.01</v>
      </c>
      <c r="P214" s="114">
        <v>0.04</v>
      </c>
      <c r="Q214" s="114">
        <f t="shared" si="32"/>
        <v>0.06</v>
      </c>
    </row>
    <row r="215" spans="3:17" x14ac:dyDescent="0.2">
      <c r="C215" s="2" t="s">
        <v>394</v>
      </c>
      <c r="E215" s="114">
        <v>0.05</v>
      </c>
      <c r="F215" s="114">
        <v>0.18</v>
      </c>
      <c r="G215" s="114">
        <v>0.1</v>
      </c>
      <c r="H215" s="114">
        <v>0.13</v>
      </c>
      <c r="I215" s="114">
        <v>0</v>
      </c>
      <c r="J215" s="114">
        <v>0</v>
      </c>
      <c r="K215" s="114">
        <v>0.14000000000000001</v>
      </c>
      <c r="L215" s="114">
        <v>7.0000000000000007E-2</v>
      </c>
      <c r="M215" s="114">
        <v>0.36</v>
      </c>
      <c r="N215" s="114">
        <v>0.19</v>
      </c>
      <c r="O215" s="114">
        <v>0.41</v>
      </c>
      <c r="P215" s="114">
        <v>0.24</v>
      </c>
      <c r="Q215" s="114">
        <f t="shared" si="32"/>
        <v>1.8699999999999997</v>
      </c>
    </row>
    <row r="216" spans="3:17" x14ac:dyDescent="0.2">
      <c r="C216" s="2" t="s">
        <v>619</v>
      </c>
      <c r="E216" s="114">
        <v>0</v>
      </c>
      <c r="F216" s="114">
        <v>0</v>
      </c>
      <c r="G216" s="114">
        <v>0</v>
      </c>
      <c r="H216" s="114">
        <v>0</v>
      </c>
      <c r="I216" s="114">
        <v>0</v>
      </c>
      <c r="J216" s="114">
        <v>0</v>
      </c>
      <c r="K216" s="114">
        <v>0</v>
      </c>
      <c r="L216" s="114">
        <v>0</v>
      </c>
      <c r="M216" s="114">
        <v>0.03</v>
      </c>
      <c r="N216" s="114">
        <v>0</v>
      </c>
      <c r="O216" s="114">
        <v>0</v>
      </c>
      <c r="P216" s="114">
        <v>0</v>
      </c>
      <c r="Q216" s="114">
        <f t="shared" si="32"/>
        <v>0.03</v>
      </c>
    </row>
    <row r="217" spans="3:17" x14ac:dyDescent="0.2">
      <c r="C217" s="2" t="s">
        <v>605</v>
      </c>
      <c r="E217" s="114">
        <v>0</v>
      </c>
      <c r="F217" s="114">
        <v>0.01</v>
      </c>
      <c r="G217" s="114">
        <v>0</v>
      </c>
      <c r="H217" s="114">
        <v>0</v>
      </c>
      <c r="I217" s="114">
        <v>0</v>
      </c>
      <c r="J217" s="114">
        <v>0</v>
      </c>
      <c r="K217" s="114">
        <v>0</v>
      </c>
      <c r="L217" s="114">
        <v>0</v>
      </c>
      <c r="M217" s="114">
        <v>0</v>
      </c>
      <c r="N217" s="114">
        <v>0</v>
      </c>
      <c r="O217" s="114">
        <v>0</v>
      </c>
      <c r="P217" s="114">
        <v>0</v>
      </c>
      <c r="Q217" s="114">
        <f t="shared" si="32"/>
        <v>0.01</v>
      </c>
    </row>
    <row r="218" spans="3:17" x14ac:dyDescent="0.2">
      <c r="C218" s="2" t="s">
        <v>615</v>
      </c>
      <c r="E218" s="114">
        <v>0</v>
      </c>
      <c r="F218" s="114">
        <v>0</v>
      </c>
      <c r="G218" s="114">
        <v>0</v>
      </c>
      <c r="H218" s="114">
        <v>0</v>
      </c>
      <c r="I218" s="114">
        <v>0</v>
      </c>
      <c r="J218" s="114">
        <v>0</v>
      </c>
      <c r="K218" s="114">
        <v>0.01</v>
      </c>
      <c r="L218" s="114">
        <v>0.05</v>
      </c>
      <c r="M218" s="114">
        <v>0.02</v>
      </c>
      <c r="N218" s="114">
        <v>0.02</v>
      </c>
      <c r="O218" s="114">
        <v>0.02</v>
      </c>
      <c r="P218" s="114">
        <v>0</v>
      </c>
      <c r="Q218" s="114">
        <f t="shared" si="32"/>
        <v>0.12000000000000001</v>
      </c>
    </row>
    <row r="219" spans="3:17" x14ac:dyDescent="0.2">
      <c r="C219" s="2" t="s">
        <v>620</v>
      </c>
      <c r="E219" s="114">
        <v>0</v>
      </c>
      <c r="F219" s="114">
        <v>0</v>
      </c>
      <c r="G219" s="114">
        <v>0</v>
      </c>
      <c r="H219" s="114">
        <v>0</v>
      </c>
      <c r="I219" s="114">
        <v>0</v>
      </c>
      <c r="J219" s="114">
        <v>0</v>
      </c>
      <c r="K219" s="114">
        <v>0</v>
      </c>
      <c r="L219" s="114">
        <v>0</v>
      </c>
      <c r="M219" s="114">
        <v>0</v>
      </c>
      <c r="N219" s="114">
        <v>0</v>
      </c>
      <c r="O219" s="114">
        <v>0.01</v>
      </c>
      <c r="P219" s="114">
        <v>0</v>
      </c>
      <c r="Q219" s="114">
        <f t="shared" si="32"/>
        <v>0.01</v>
      </c>
    </row>
    <row r="220" spans="3:17" x14ac:dyDescent="0.2">
      <c r="C220" s="2" t="s">
        <v>617</v>
      </c>
      <c r="E220" s="114">
        <v>0</v>
      </c>
      <c r="F220" s="114">
        <v>0</v>
      </c>
      <c r="G220" s="114">
        <v>0</v>
      </c>
      <c r="H220" s="114">
        <v>0</v>
      </c>
      <c r="I220" s="114">
        <v>0</v>
      </c>
      <c r="J220" s="114">
        <v>0</v>
      </c>
      <c r="K220" s="114">
        <v>0</v>
      </c>
      <c r="L220" s="114">
        <v>0.01</v>
      </c>
      <c r="M220" s="114">
        <v>0</v>
      </c>
      <c r="N220" s="114">
        <v>0</v>
      </c>
      <c r="O220" s="114">
        <v>0.03</v>
      </c>
      <c r="P220" s="114">
        <v>0.03</v>
      </c>
      <c r="Q220" s="114">
        <f t="shared" si="32"/>
        <v>7.0000000000000007E-2</v>
      </c>
    </row>
    <row r="221" spans="3:17" x14ac:dyDescent="0.2">
      <c r="C221" s="2" t="s">
        <v>616</v>
      </c>
      <c r="E221" s="114">
        <v>0</v>
      </c>
      <c r="F221" s="114">
        <v>0</v>
      </c>
      <c r="G221" s="114">
        <v>0</v>
      </c>
      <c r="H221" s="114">
        <v>0</v>
      </c>
      <c r="I221" s="114">
        <v>0</v>
      </c>
      <c r="J221" s="114">
        <v>0</v>
      </c>
      <c r="K221" s="114">
        <v>0</v>
      </c>
      <c r="L221" s="114">
        <v>0.04</v>
      </c>
      <c r="M221" s="114">
        <v>0.01</v>
      </c>
      <c r="N221" s="114">
        <v>0.23</v>
      </c>
      <c r="O221" s="114">
        <v>1.34</v>
      </c>
      <c r="P221" s="114">
        <v>0.47</v>
      </c>
      <c r="Q221" s="114">
        <f t="shared" si="32"/>
        <v>2.09</v>
      </c>
    </row>
    <row r="222" spans="3:17" x14ac:dyDescent="0.2">
      <c r="C222" s="2" t="s">
        <v>618</v>
      </c>
      <c r="E222" s="114">
        <v>0</v>
      </c>
      <c r="F222" s="114">
        <v>0</v>
      </c>
      <c r="G222" s="114">
        <v>0</v>
      </c>
      <c r="H222" s="114">
        <v>0</v>
      </c>
      <c r="I222" s="114">
        <v>0</v>
      </c>
      <c r="J222" s="114">
        <v>0</v>
      </c>
      <c r="K222" s="114">
        <v>0</v>
      </c>
      <c r="L222" s="114">
        <v>0</v>
      </c>
      <c r="M222" s="114">
        <v>0.02</v>
      </c>
      <c r="N222" s="114">
        <v>0.01</v>
      </c>
      <c r="O222" s="114">
        <v>0.01</v>
      </c>
      <c r="P222" s="114">
        <v>0.01</v>
      </c>
      <c r="Q222" s="114">
        <f t="shared" si="32"/>
        <v>0.05</v>
      </c>
    </row>
    <row r="223" spans="3:17" x14ac:dyDescent="0.2">
      <c r="C223" s="2" t="s">
        <v>607</v>
      </c>
      <c r="E223" s="114">
        <v>0</v>
      </c>
      <c r="F223" s="114">
        <v>0</v>
      </c>
      <c r="G223" s="114">
        <v>0</v>
      </c>
      <c r="H223" s="114">
        <v>0.04</v>
      </c>
      <c r="I223" s="114">
        <v>0</v>
      </c>
      <c r="J223" s="114">
        <v>0</v>
      </c>
      <c r="K223" s="114">
        <v>0</v>
      </c>
      <c r="L223" s="114">
        <v>0</v>
      </c>
      <c r="M223" s="114">
        <v>0</v>
      </c>
      <c r="N223" s="114">
        <v>0</v>
      </c>
      <c r="O223" s="114">
        <v>0</v>
      </c>
      <c r="P223" s="114">
        <v>0</v>
      </c>
      <c r="Q223" s="114">
        <f t="shared" si="32"/>
        <v>0.04</v>
      </c>
    </row>
    <row r="224" spans="3:17" x14ac:dyDescent="0.2">
      <c r="C224" s="2" t="s">
        <v>810</v>
      </c>
      <c r="E224" s="114">
        <v>0.05</v>
      </c>
      <c r="F224" s="114">
        <v>0.02</v>
      </c>
      <c r="G224" s="114">
        <v>0</v>
      </c>
      <c r="H224" s="114">
        <v>0.02</v>
      </c>
      <c r="I224" s="114">
        <v>0</v>
      </c>
      <c r="J224" s="114">
        <v>0</v>
      </c>
      <c r="K224" s="114">
        <v>0</v>
      </c>
      <c r="L224" s="114">
        <v>0.02</v>
      </c>
      <c r="M224" s="114">
        <v>0.63</v>
      </c>
      <c r="N224" s="114">
        <v>0</v>
      </c>
      <c r="O224" s="114">
        <v>0.01</v>
      </c>
      <c r="P224" s="114">
        <v>0.04</v>
      </c>
      <c r="Q224" s="114">
        <f t="shared" si="32"/>
        <v>0.79</v>
      </c>
    </row>
    <row r="225" spans="3:17" x14ac:dyDescent="0.2">
      <c r="C225" s="2" t="s">
        <v>603</v>
      </c>
      <c r="E225" s="114">
        <v>0.01</v>
      </c>
      <c r="F225" s="114">
        <v>0.27</v>
      </c>
      <c r="G225" s="114">
        <v>0</v>
      </c>
      <c r="H225" s="114">
        <v>0.18</v>
      </c>
      <c r="I225" s="114">
        <v>0</v>
      </c>
      <c r="J225" s="114">
        <v>0</v>
      </c>
      <c r="K225" s="114">
        <v>0</v>
      </c>
      <c r="L225" s="114">
        <v>0</v>
      </c>
      <c r="M225" s="114">
        <v>0.01</v>
      </c>
      <c r="N225" s="114">
        <v>0.04</v>
      </c>
      <c r="O225" s="114">
        <v>0.04</v>
      </c>
      <c r="P225" s="114">
        <v>0.03</v>
      </c>
      <c r="Q225" s="114">
        <f t="shared" si="32"/>
        <v>0.58000000000000007</v>
      </c>
    </row>
    <row r="226" spans="3:17" x14ac:dyDescent="0.2">
      <c r="C226" s="2" t="s">
        <v>822</v>
      </c>
      <c r="E226" s="114">
        <v>0</v>
      </c>
      <c r="F226" s="114">
        <v>0</v>
      </c>
      <c r="G226" s="114">
        <v>0</v>
      </c>
      <c r="H226" s="114">
        <v>0</v>
      </c>
      <c r="I226" s="114">
        <v>0</v>
      </c>
      <c r="J226" s="114">
        <v>0</v>
      </c>
      <c r="K226" s="114">
        <v>0</v>
      </c>
      <c r="L226" s="114">
        <v>0</v>
      </c>
      <c r="M226" s="114">
        <v>0.01</v>
      </c>
      <c r="N226" s="114">
        <v>0</v>
      </c>
      <c r="O226" s="114">
        <v>0</v>
      </c>
      <c r="P226" s="114">
        <v>0</v>
      </c>
      <c r="Q226" s="114">
        <f t="shared" si="32"/>
        <v>0.01</v>
      </c>
    </row>
    <row r="227" spans="3:17" x14ac:dyDescent="0.2">
      <c r="C227" s="2" t="s">
        <v>613</v>
      </c>
      <c r="E227" s="114">
        <v>0.06</v>
      </c>
      <c r="F227" s="114">
        <v>0.04</v>
      </c>
      <c r="G227" s="114">
        <v>0</v>
      </c>
      <c r="H227" s="114">
        <v>0.04</v>
      </c>
      <c r="I227" s="114">
        <v>0</v>
      </c>
      <c r="J227" s="114">
        <v>0</v>
      </c>
      <c r="K227" s="114">
        <v>0</v>
      </c>
      <c r="L227" s="114">
        <v>0</v>
      </c>
      <c r="M227" s="114">
        <v>0.04</v>
      </c>
      <c r="N227" s="114">
        <v>0</v>
      </c>
      <c r="O227" s="114">
        <v>0.05</v>
      </c>
      <c r="P227" s="114">
        <v>0</v>
      </c>
      <c r="Q227" s="114">
        <f t="shared" si="32"/>
        <v>0.23000000000000004</v>
      </c>
    </row>
    <row r="228" spans="3:17" x14ac:dyDescent="0.2">
      <c r="C228" s="2" t="s">
        <v>393</v>
      </c>
      <c r="E228" s="114">
        <v>0.01</v>
      </c>
      <c r="F228" s="114">
        <v>0.06</v>
      </c>
      <c r="G228" s="114">
        <v>0.02</v>
      </c>
      <c r="H228" s="114">
        <v>0.02</v>
      </c>
      <c r="I228" s="114">
        <v>0</v>
      </c>
      <c r="J228" s="114">
        <v>0</v>
      </c>
      <c r="K228" s="114">
        <v>0.09</v>
      </c>
      <c r="L228" s="114">
        <v>0.43</v>
      </c>
      <c r="M228" s="114">
        <v>0.38</v>
      </c>
      <c r="N228" s="114">
        <v>0.74</v>
      </c>
      <c r="O228" s="114">
        <v>0.66</v>
      </c>
      <c r="P228" s="114">
        <v>0.39</v>
      </c>
      <c r="Q228" s="114">
        <f t="shared" si="32"/>
        <v>2.8000000000000003</v>
      </c>
    </row>
    <row r="229" spans="3:17" x14ac:dyDescent="0.2">
      <c r="C229" s="2" t="s">
        <v>809</v>
      </c>
      <c r="E229" s="114">
        <v>0.05</v>
      </c>
      <c r="F229" s="114">
        <v>7.0000000000000007E-2</v>
      </c>
      <c r="G229" s="114">
        <v>0.1</v>
      </c>
      <c r="H229" s="114">
        <v>0.09</v>
      </c>
      <c r="I229" s="114">
        <v>0.03</v>
      </c>
      <c r="J229" s="114">
        <v>0</v>
      </c>
      <c r="K229" s="114">
        <v>1.33</v>
      </c>
      <c r="L229" s="114">
        <v>0.08</v>
      </c>
      <c r="M229" s="114">
        <v>0.13</v>
      </c>
      <c r="N229" s="114">
        <v>0.1</v>
      </c>
      <c r="O229" s="114">
        <v>0.17</v>
      </c>
      <c r="P229" s="114">
        <v>0.55000000000000004</v>
      </c>
      <c r="Q229" s="114">
        <f t="shared" si="32"/>
        <v>2.7</v>
      </c>
    </row>
    <row r="230" spans="3:17" x14ac:dyDescent="0.2">
      <c r="C230" s="2" t="s">
        <v>410</v>
      </c>
      <c r="E230" s="114">
        <v>0.76</v>
      </c>
      <c r="F230" s="114">
        <v>3.52</v>
      </c>
      <c r="G230" s="114">
        <v>0.66</v>
      </c>
      <c r="H230" s="114">
        <v>0.85</v>
      </c>
      <c r="I230" s="114">
        <v>0.52</v>
      </c>
      <c r="J230" s="114">
        <v>0.28000000000000003</v>
      </c>
      <c r="K230" s="114">
        <v>0.33</v>
      </c>
      <c r="L230" s="114">
        <v>0.73</v>
      </c>
      <c r="M230" s="114">
        <v>0.81</v>
      </c>
      <c r="N230" s="114">
        <v>0.9</v>
      </c>
      <c r="O230" s="114">
        <v>0.84</v>
      </c>
      <c r="P230" s="114">
        <v>0.37</v>
      </c>
      <c r="Q230" s="114">
        <f t="shared" si="32"/>
        <v>10.57</v>
      </c>
    </row>
    <row r="231" spans="3:17" x14ac:dyDescent="0.2">
      <c r="C231" s="2" t="s">
        <v>380</v>
      </c>
      <c r="E231" s="114">
        <v>0.46</v>
      </c>
      <c r="F231" s="114">
        <v>0.85</v>
      </c>
      <c r="G231" s="114">
        <v>2.62</v>
      </c>
      <c r="H231" s="114">
        <v>1.05</v>
      </c>
      <c r="I231" s="114">
        <v>0.13</v>
      </c>
      <c r="J231" s="114">
        <v>0</v>
      </c>
      <c r="K231" s="114">
        <v>0.32</v>
      </c>
      <c r="L231" s="114">
        <v>1.01</v>
      </c>
      <c r="M231" s="114">
        <v>1.3</v>
      </c>
      <c r="N231" s="114">
        <v>0.61</v>
      </c>
      <c r="O231" s="114">
        <v>0.65</v>
      </c>
      <c r="P231" s="114">
        <v>0.2</v>
      </c>
      <c r="Q231" s="114">
        <f t="shared" si="32"/>
        <v>9.1999999999999993</v>
      </c>
    </row>
    <row r="232" spans="3:17" x14ac:dyDescent="0.2">
      <c r="E232" s="123"/>
      <c r="F232" s="123"/>
      <c r="G232" s="123"/>
      <c r="H232" s="123"/>
      <c r="I232" s="114"/>
      <c r="J232" s="114"/>
      <c r="K232" s="114"/>
      <c r="L232" s="114"/>
      <c r="M232" s="114"/>
      <c r="N232" s="114"/>
      <c r="O232" s="114"/>
      <c r="P232" s="114"/>
      <c r="Q232" s="114"/>
    </row>
    <row r="233" spans="3:17" ht="15" x14ac:dyDescent="0.25">
      <c r="D233" s="1" t="s">
        <v>552</v>
      </c>
      <c r="E233" s="16">
        <f t="shared" ref="E233:Q233" si="33">E10+E38+E47+E65+E69+E74+E78+E89+E96+E102+E109+E115+E123+E132+E137+E142+E149+E156+E175+E180+E185+E193+E204</f>
        <v>1760.1700000000003</v>
      </c>
      <c r="F233" s="16">
        <f t="shared" si="33"/>
        <v>1584.7300000000002</v>
      </c>
      <c r="G233" s="16">
        <f t="shared" si="33"/>
        <v>1304.0000000000002</v>
      </c>
      <c r="H233" s="16">
        <f t="shared" si="33"/>
        <v>2159.0700000000002</v>
      </c>
      <c r="I233" s="16">
        <f t="shared" si="33"/>
        <v>422.55</v>
      </c>
      <c r="J233" s="16">
        <f t="shared" si="33"/>
        <v>27.860000000000007</v>
      </c>
      <c r="K233" s="16">
        <f t="shared" si="33"/>
        <v>830.98</v>
      </c>
      <c r="L233" s="16">
        <f t="shared" si="33"/>
        <v>1844.32</v>
      </c>
      <c r="M233" s="16">
        <f t="shared" si="33"/>
        <v>1532.0400000000002</v>
      </c>
      <c r="N233" s="16">
        <f t="shared" si="33"/>
        <v>2722.5</v>
      </c>
      <c r="O233" s="16">
        <f t="shared" si="33"/>
        <v>1261.4199999999998</v>
      </c>
      <c r="P233" s="16">
        <f t="shared" si="33"/>
        <v>959.0200000000001</v>
      </c>
      <c r="Q233" s="16">
        <f t="shared" si="33"/>
        <v>16408.66</v>
      </c>
    </row>
    <row r="234" spans="3:17" ht="15" x14ac:dyDescent="0.25">
      <c r="D234" s="1"/>
      <c r="E234" s="18"/>
      <c r="F234" s="18"/>
      <c r="G234" s="18"/>
      <c r="H234" s="18"/>
      <c r="I234" s="18"/>
      <c r="J234" s="18"/>
      <c r="K234" s="18"/>
      <c r="L234" s="18"/>
      <c r="M234" s="18"/>
      <c r="N234" s="18"/>
      <c r="O234" s="18"/>
      <c r="P234" s="18"/>
      <c r="Q234" s="18"/>
    </row>
    <row r="235" spans="3:17" x14ac:dyDescent="0.2">
      <c r="C235" s="2" t="s">
        <v>709</v>
      </c>
    </row>
    <row r="236" spans="3:17" x14ac:dyDescent="0.2">
      <c r="C236" s="2" t="s">
        <v>6</v>
      </c>
    </row>
  </sheetData>
  <sortState xmlns:xlrd2="http://schemas.microsoft.com/office/spreadsheetml/2017/richdata2" ref="C49:Q64">
    <sortCondition ref="C49"/>
  </sortState>
  <mergeCells count="2">
    <mergeCell ref="A3:Q3"/>
    <mergeCell ref="A7:D7"/>
  </mergeCells>
  <printOptions horizontalCentered="1"/>
  <pageMargins left="0" right="0" top="0.6692913385826772" bottom="0.62992125984251968" header="0.31496062992125984" footer="0.31496062992125984"/>
  <pageSetup paperSize="9" scale="53" orientation="portrait" r:id="rId1"/>
  <headerFooter alignWithMargins="0">
    <oddHeader>&amp;CPage &amp;P</oddHeader>
  </headerFooter>
  <rowBreaks count="2" manualBreakCount="2">
    <brk id="94" max="16383" man="1"/>
    <brk id="1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5"/>
  <sheetViews>
    <sheetView view="pageBreakPreview" topLeftCell="B169" zoomScale="60" zoomScaleNormal="100" workbookViewId="0">
      <selection activeCell="B152" sqref="B152"/>
    </sheetView>
  </sheetViews>
  <sheetFormatPr defaultColWidth="8.85546875" defaultRowHeight="14.25" x14ac:dyDescent="0.2"/>
  <cols>
    <col min="1" max="1" width="2.42578125" style="2" customWidth="1"/>
    <col min="2" max="2" width="59.85546875" style="2" customWidth="1"/>
    <col min="3" max="3" width="2.42578125" style="2" customWidth="1"/>
    <col min="4" max="14" width="11.42578125" style="2" bestFit="1" customWidth="1"/>
    <col min="15" max="15" width="9.7109375" style="2" bestFit="1" customWidth="1"/>
    <col min="16" max="16" width="12.85546875" style="2" bestFit="1" customWidth="1"/>
    <col min="17" max="255" width="9.140625" style="2"/>
    <col min="256" max="256" width="2.42578125" style="2" customWidth="1"/>
    <col min="257" max="257" width="4" style="2" customWidth="1"/>
    <col min="258" max="258" width="46.7109375" style="2" customWidth="1"/>
    <col min="259" max="259" width="0.140625" style="2" customWidth="1"/>
    <col min="260" max="270" width="7.28515625" style="2" customWidth="1"/>
    <col min="271" max="271" width="6.42578125" style="2" customWidth="1"/>
    <col min="272" max="272" width="8.42578125" style="2" customWidth="1"/>
    <col min="273" max="511" width="9.140625" style="2"/>
    <col min="512" max="512" width="2.42578125" style="2" customWidth="1"/>
    <col min="513" max="513" width="4" style="2" customWidth="1"/>
    <col min="514" max="514" width="46.7109375" style="2" customWidth="1"/>
    <col min="515" max="515" width="0.140625" style="2" customWidth="1"/>
    <col min="516" max="526" width="7.28515625" style="2" customWidth="1"/>
    <col min="527" max="527" width="6.42578125" style="2" customWidth="1"/>
    <col min="528" max="528" width="8.42578125" style="2" customWidth="1"/>
    <col min="529" max="767" width="9.140625" style="2"/>
    <col min="768" max="768" width="2.42578125" style="2" customWidth="1"/>
    <col min="769" max="769" width="4" style="2" customWidth="1"/>
    <col min="770" max="770" width="46.7109375" style="2" customWidth="1"/>
    <col min="771" max="771" width="0.140625" style="2" customWidth="1"/>
    <col min="772" max="782" width="7.28515625" style="2" customWidth="1"/>
    <col min="783" max="783" width="6.42578125" style="2" customWidth="1"/>
    <col min="784" max="784" width="8.42578125" style="2" customWidth="1"/>
    <col min="785" max="1023" width="9.140625" style="2"/>
    <col min="1024" max="1024" width="2.42578125" style="2" customWidth="1"/>
    <col min="1025" max="1025" width="4" style="2" customWidth="1"/>
    <col min="1026" max="1026" width="46.7109375" style="2" customWidth="1"/>
    <col min="1027" max="1027" width="0.140625" style="2" customWidth="1"/>
    <col min="1028" max="1038" width="7.28515625" style="2" customWidth="1"/>
    <col min="1039" max="1039" width="6.42578125" style="2" customWidth="1"/>
    <col min="1040" max="1040" width="8.42578125" style="2" customWidth="1"/>
    <col min="1041" max="1279" width="9.140625" style="2"/>
    <col min="1280" max="1280" width="2.42578125" style="2" customWidth="1"/>
    <col min="1281" max="1281" width="4" style="2" customWidth="1"/>
    <col min="1282" max="1282" width="46.7109375" style="2" customWidth="1"/>
    <col min="1283" max="1283" width="0.140625" style="2" customWidth="1"/>
    <col min="1284" max="1294" width="7.28515625" style="2" customWidth="1"/>
    <col min="1295" max="1295" width="6.42578125" style="2" customWidth="1"/>
    <col min="1296" max="1296" width="8.42578125" style="2" customWidth="1"/>
    <col min="1297" max="1535" width="9.140625" style="2"/>
    <col min="1536" max="1536" width="2.42578125" style="2" customWidth="1"/>
    <col min="1537" max="1537" width="4" style="2" customWidth="1"/>
    <col min="1538" max="1538" width="46.7109375" style="2" customWidth="1"/>
    <col min="1539" max="1539" width="0.140625" style="2" customWidth="1"/>
    <col min="1540" max="1550" width="7.28515625" style="2" customWidth="1"/>
    <col min="1551" max="1551" width="6.42578125" style="2" customWidth="1"/>
    <col min="1552" max="1552" width="8.42578125" style="2" customWidth="1"/>
    <col min="1553" max="1791" width="9.140625" style="2"/>
    <col min="1792" max="1792" width="2.42578125" style="2" customWidth="1"/>
    <col min="1793" max="1793" width="4" style="2" customWidth="1"/>
    <col min="1794" max="1794" width="46.7109375" style="2" customWidth="1"/>
    <col min="1795" max="1795" width="0.140625" style="2" customWidth="1"/>
    <col min="1796" max="1806" width="7.28515625" style="2" customWidth="1"/>
    <col min="1807" max="1807" width="6.42578125" style="2" customWidth="1"/>
    <col min="1808" max="1808" width="8.42578125" style="2" customWidth="1"/>
    <col min="1809" max="2047" width="9.140625" style="2"/>
    <col min="2048" max="2048" width="2.42578125" style="2" customWidth="1"/>
    <col min="2049" max="2049" width="4" style="2" customWidth="1"/>
    <col min="2050" max="2050" width="46.7109375" style="2" customWidth="1"/>
    <col min="2051" max="2051" width="0.140625" style="2" customWidth="1"/>
    <col min="2052" max="2062" width="7.28515625" style="2" customWidth="1"/>
    <col min="2063" max="2063" width="6.42578125" style="2" customWidth="1"/>
    <col min="2064" max="2064" width="8.42578125" style="2" customWidth="1"/>
    <col min="2065" max="2303" width="9.140625" style="2"/>
    <col min="2304" max="2304" width="2.42578125" style="2" customWidth="1"/>
    <col min="2305" max="2305" width="4" style="2" customWidth="1"/>
    <col min="2306" max="2306" width="46.7109375" style="2" customWidth="1"/>
    <col min="2307" max="2307" width="0.140625" style="2" customWidth="1"/>
    <col min="2308" max="2318" width="7.28515625" style="2" customWidth="1"/>
    <col min="2319" max="2319" width="6.42578125" style="2" customWidth="1"/>
    <col min="2320" max="2320" width="8.42578125" style="2" customWidth="1"/>
    <col min="2321" max="2559" width="9.140625" style="2"/>
    <col min="2560" max="2560" width="2.42578125" style="2" customWidth="1"/>
    <col min="2561" max="2561" width="4" style="2" customWidth="1"/>
    <col min="2562" max="2562" width="46.7109375" style="2" customWidth="1"/>
    <col min="2563" max="2563" width="0.140625" style="2" customWidth="1"/>
    <col min="2564" max="2574" width="7.28515625" style="2" customWidth="1"/>
    <col min="2575" max="2575" width="6.42578125" style="2" customWidth="1"/>
    <col min="2576" max="2576" width="8.42578125" style="2" customWidth="1"/>
    <col min="2577" max="2815" width="9.140625" style="2"/>
    <col min="2816" max="2816" width="2.42578125" style="2" customWidth="1"/>
    <col min="2817" max="2817" width="4" style="2" customWidth="1"/>
    <col min="2818" max="2818" width="46.7109375" style="2" customWidth="1"/>
    <col min="2819" max="2819" width="0.140625" style="2" customWidth="1"/>
    <col min="2820" max="2830" width="7.28515625" style="2" customWidth="1"/>
    <col min="2831" max="2831" width="6.42578125" style="2" customWidth="1"/>
    <col min="2832" max="2832" width="8.42578125" style="2" customWidth="1"/>
    <col min="2833" max="3071" width="9.140625" style="2"/>
    <col min="3072" max="3072" width="2.42578125" style="2" customWidth="1"/>
    <col min="3073" max="3073" width="4" style="2" customWidth="1"/>
    <col min="3074" max="3074" width="46.7109375" style="2" customWidth="1"/>
    <col min="3075" max="3075" width="0.140625" style="2" customWidth="1"/>
    <col min="3076" max="3086" width="7.28515625" style="2" customWidth="1"/>
    <col min="3087" max="3087" width="6.42578125" style="2" customWidth="1"/>
    <col min="3088" max="3088" width="8.42578125" style="2" customWidth="1"/>
    <col min="3089" max="3327" width="9.140625" style="2"/>
    <col min="3328" max="3328" width="2.42578125" style="2" customWidth="1"/>
    <col min="3329" max="3329" width="4" style="2" customWidth="1"/>
    <col min="3330" max="3330" width="46.7109375" style="2" customWidth="1"/>
    <col min="3331" max="3331" width="0.140625" style="2" customWidth="1"/>
    <col min="3332" max="3342" width="7.28515625" style="2" customWidth="1"/>
    <col min="3343" max="3343" width="6.42578125" style="2" customWidth="1"/>
    <col min="3344" max="3344" width="8.42578125" style="2" customWidth="1"/>
    <col min="3345" max="3583" width="9.140625" style="2"/>
    <col min="3584" max="3584" width="2.42578125" style="2" customWidth="1"/>
    <col min="3585" max="3585" width="4" style="2" customWidth="1"/>
    <col min="3586" max="3586" width="46.7109375" style="2" customWidth="1"/>
    <col min="3587" max="3587" width="0.140625" style="2" customWidth="1"/>
    <col min="3588" max="3598" width="7.28515625" style="2" customWidth="1"/>
    <col min="3599" max="3599" width="6.42578125" style="2" customWidth="1"/>
    <col min="3600" max="3600" width="8.42578125" style="2" customWidth="1"/>
    <col min="3601" max="3839" width="9.140625" style="2"/>
    <col min="3840" max="3840" width="2.42578125" style="2" customWidth="1"/>
    <col min="3841" max="3841" width="4" style="2" customWidth="1"/>
    <col min="3842" max="3842" width="46.7109375" style="2" customWidth="1"/>
    <col min="3843" max="3843" width="0.140625" style="2" customWidth="1"/>
    <col min="3844" max="3854" width="7.28515625" style="2" customWidth="1"/>
    <col min="3855" max="3855" width="6.42578125" style="2" customWidth="1"/>
    <col min="3856" max="3856" width="8.42578125" style="2" customWidth="1"/>
    <col min="3857" max="4095" width="9.140625" style="2"/>
    <col min="4096" max="4096" width="2.42578125" style="2" customWidth="1"/>
    <col min="4097" max="4097" width="4" style="2" customWidth="1"/>
    <col min="4098" max="4098" width="46.7109375" style="2" customWidth="1"/>
    <col min="4099" max="4099" width="0.140625" style="2" customWidth="1"/>
    <col min="4100" max="4110" width="7.28515625" style="2" customWidth="1"/>
    <col min="4111" max="4111" width="6.42578125" style="2" customWidth="1"/>
    <col min="4112" max="4112" width="8.42578125" style="2" customWidth="1"/>
    <col min="4113" max="4351" width="9.140625" style="2"/>
    <col min="4352" max="4352" width="2.42578125" style="2" customWidth="1"/>
    <col min="4353" max="4353" width="4" style="2" customWidth="1"/>
    <col min="4354" max="4354" width="46.7109375" style="2" customWidth="1"/>
    <col min="4355" max="4355" width="0.140625" style="2" customWidth="1"/>
    <col min="4356" max="4366" width="7.28515625" style="2" customWidth="1"/>
    <col min="4367" max="4367" width="6.42578125" style="2" customWidth="1"/>
    <col min="4368" max="4368" width="8.42578125" style="2" customWidth="1"/>
    <col min="4369" max="4607" width="9.140625" style="2"/>
    <col min="4608" max="4608" width="2.42578125" style="2" customWidth="1"/>
    <col min="4609" max="4609" width="4" style="2" customWidth="1"/>
    <col min="4610" max="4610" width="46.7109375" style="2" customWidth="1"/>
    <col min="4611" max="4611" width="0.140625" style="2" customWidth="1"/>
    <col min="4612" max="4622" width="7.28515625" style="2" customWidth="1"/>
    <col min="4623" max="4623" width="6.42578125" style="2" customWidth="1"/>
    <col min="4624" max="4624" width="8.42578125" style="2" customWidth="1"/>
    <col min="4625" max="4863" width="9.140625" style="2"/>
    <col min="4864" max="4864" width="2.42578125" style="2" customWidth="1"/>
    <col min="4865" max="4865" width="4" style="2" customWidth="1"/>
    <col min="4866" max="4866" width="46.7109375" style="2" customWidth="1"/>
    <col min="4867" max="4867" width="0.140625" style="2" customWidth="1"/>
    <col min="4868" max="4878" width="7.28515625" style="2" customWidth="1"/>
    <col min="4879" max="4879" width="6.42578125" style="2" customWidth="1"/>
    <col min="4880" max="4880" width="8.42578125" style="2" customWidth="1"/>
    <col min="4881" max="5119" width="9.140625" style="2"/>
    <col min="5120" max="5120" width="2.42578125" style="2" customWidth="1"/>
    <col min="5121" max="5121" width="4" style="2" customWidth="1"/>
    <col min="5122" max="5122" width="46.7109375" style="2" customWidth="1"/>
    <col min="5123" max="5123" width="0.140625" style="2" customWidth="1"/>
    <col min="5124" max="5134" width="7.28515625" style="2" customWidth="1"/>
    <col min="5135" max="5135" width="6.42578125" style="2" customWidth="1"/>
    <col min="5136" max="5136" width="8.42578125" style="2" customWidth="1"/>
    <col min="5137" max="5375" width="9.140625" style="2"/>
    <col min="5376" max="5376" width="2.42578125" style="2" customWidth="1"/>
    <col min="5377" max="5377" width="4" style="2" customWidth="1"/>
    <col min="5378" max="5378" width="46.7109375" style="2" customWidth="1"/>
    <col min="5379" max="5379" width="0.140625" style="2" customWidth="1"/>
    <col min="5380" max="5390" width="7.28515625" style="2" customWidth="1"/>
    <col min="5391" max="5391" width="6.42578125" style="2" customWidth="1"/>
    <col min="5392" max="5392" width="8.42578125" style="2" customWidth="1"/>
    <col min="5393" max="5631" width="9.140625" style="2"/>
    <col min="5632" max="5632" width="2.42578125" style="2" customWidth="1"/>
    <col min="5633" max="5633" width="4" style="2" customWidth="1"/>
    <col min="5634" max="5634" width="46.7109375" style="2" customWidth="1"/>
    <col min="5635" max="5635" width="0.140625" style="2" customWidth="1"/>
    <col min="5636" max="5646" width="7.28515625" style="2" customWidth="1"/>
    <col min="5647" max="5647" width="6.42578125" style="2" customWidth="1"/>
    <col min="5648" max="5648" width="8.42578125" style="2" customWidth="1"/>
    <col min="5649" max="5887" width="9.140625" style="2"/>
    <col min="5888" max="5888" width="2.42578125" style="2" customWidth="1"/>
    <col min="5889" max="5889" width="4" style="2" customWidth="1"/>
    <col min="5890" max="5890" width="46.7109375" style="2" customWidth="1"/>
    <col min="5891" max="5891" width="0.140625" style="2" customWidth="1"/>
    <col min="5892" max="5902" width="7.28515625" style="2" customWidth="1"/>
    <col min="5903" max="5903" width="6.42578125" style="2" customWidth="1"/>
    <col min="5904" max="5904" width="8.42578125" style="2" customWidth="1"/>
    <col min="5905" max="6143" width="9.140625" style="2"/>
    <col min="6144" max="6144" width="2.42578125" style="2" customWidth="1"/>
    <col min="6145" max="6145" width="4" style="2" customWidth="1"/>
    <col min="6146" max="6146" width="46.7109375" style="2" customWidth="1"/>
    <col min="6147" max="6147" width="0.140625" style="2" customWidth="1"/>
    <col min="6148" max="6158" width="7.28515625" style="2" customWidth="1"/>
    <col min="6159" max="6159" width="6.42578125" style="2" customWidth="1"/>
    <col min="6160" max="6160" width="8.42578125" style="2" customWidth="1"/>
    <col min="6161" max="6399" width="9.140625" style="2"/>
    <col min="6400" max="6400" width="2.42578125" style="2" customWidth="1"/>
    <col min="6401" max="6401" width="4" style="2" customWidth="1"/>
    <col min="6402" max="6402" width="46.7109375" style="2" customWidth="1"/>
    <col min="6403" max="6403" width="0.140625" style="2" customWidth="1"/>
    <col min="6404" max="6414" width="7.28515625" style="2" customWidth="1"/>
    <col min="6415" max="6415" width="6.42578125" style="2" customWidth="1"/>
    <col min="6416" max="6416" width="8.42578125" style="2" customWidth="1"/>
    <col min="6417" max="6655" width="9.140625" style="2"/>
    <col min="6656" max="6656" width="2.42578125" style="2" customWidth="1"/>
    <col min="6657" max="6657" width="4" style="2" customWidth="1"/>
    <col min="6658" max="6658" width="46.7109375" style="2" customWidth="1"/>
    <col min="6659" max="6659" width="0.140625" style="2" customWidth="1"/>
    <col min="6660" max="6670" width="7.28515625" style="2" customWidth="1"/>
    <col min="6671" max="6671" width="6.42578125" style="2" customWidth="1"/>
    <col min="6672" max="6672" width="8.42578125" style="2" customWidth="1"/>
    <col min="6673" max="6911" width="9.140625" style="2"/>
    <col min="6912" max="6912" width="2.42578125" style="2" customWidth="1"/>
    <col min="6913" max="6913" width="4" style="2" customWidth="1"/>
    <col min="6914" max="6914" width="46.7109375" style="2" customWidth="1"/>
    <col min="6915" max="6915" width="0.140625" style="2" customWidth="1"/>
    <col min="6916" max="6926" width="7.28515625" style="2" customWidth="1"/>
    <col min="6927" max="6927" width="6.42578125" style="2" customWidth="1"/>
    <col min="6928" max="6928" width="8.42578125" style="2" customWidth="1"/>
    <col min="6929" max="7167" width="9.140625" style="2"/>
    <col min="7168" max="7168" width="2.42578125" style="2" customWidth="1"/>
    <col min="7169" max="7169" width="4" style="2" customWidth="1"/>
    <col min="7170" max="7170" width="46.7109375" style="2" customWidth="1"/>
    <col min="7171" max="7171" width="0.140625" style="2" customWidth="1"/>
    <col min="7172" max="7182" width="7.28515625" style="2" customWidth="1"/>
    <col min="7183" max="7183" width="6.42578125" style="2" customWidth="1"/>
    <col min="7184" max="7184" width="8.42578125" style="2" customWidth="1"/>
    <col min="7185" max="7423" width="9.140625" style="2"/>
    <col min="7424" max="7424" width="2.42578125" style="2" customWidth="1"/>
    <col min="7425" max="7425" width="4" style="2" customWidth="1"/>
    <col min="7426" max="7426" width="46.7109375" style="2" customWidth="1"/>
    <col min="7427" max="7427" width="0.140625" style="2" customWidth="1"/>
    <col min="7428" max="7438" width="7.28515625" style="2" customWidth="1"/>
    <col min="7439" max="7439" width="6.42578125" style="2" customWidth="1"/>
    <col min="7440" max="7440" width="8.42578125" style="2" customWidth="1"/>
    <col min="7441" max="7679" width="9.140625" style="2"/>
    <col min="7680" max="7680" width="2.42578125" style="2" customWidth="1"/>
    <col min="7681" max="7681" width="4" style="2" customWidth="1"/>
    <col min="7682" max="7682" width="46.7109375" style="2" customWidth="1"/>
    <col min="7683" max="7683" width="0.140625" style="2" customWidth="1"/>
    <col min="7684" max="7694" width="7.28515625" style="2" customWidth="1"/>
    <col min="7695" max="7695" width="6.42578125" style="2" customWidth="1"/>
    <col min="7696" max="7696" width="8.42578125" style="2" customWidth="1"/>
    <col min="7697" max="7935" width="9.140625" style="2"/>
    <col min="7936" max="7936" width="2.42578125" style="2" customWidth="1"/>
    <col min="7937" max="7937" width="4" style="2" customWidth="1"/>
    <col min="7938" max="7938" width="46.7109375" style="2" customWidth="1"/>
    <col min="7939" max="7939" width="0.140625" style="2" customWidth="1"/>
    <col min="7940" max="7950" width="7.28515625" style="2" customWidth="1"/>
    <col min="7951" max="7951" width="6.42578125" style="2" customWidth="1"/>
    <col min="7952" max="7952" width="8.42578125" style="2" customWidth="1"/>
    <col min="7953" max="8191" width="9.140625" style="2"/>
    <col min="8192" max="8192" width="2.42578125" style="2" customWidth="1"/>
    <col min="8193" max="8193" width="4" style="2" customWidth="1"/>
    <col min="8194" max="8194" width="46.7109375" style="2" customWidth="1"/>
    <col min="8195" max="8195" width="0.140625" style="2" customWidth="1"/>
    <col min="8196" max="8206" width="7.28515625" style="2" customWidth="1"/>
    <col min="8207" max="8207" width="6.42578125" style="2" customWidth="1"/>
    <col min="8208" max="8208" width="8.42578125" style="2" customWidth="1"/>
    <col min="8209" max="8447" width="9.140625" style="2"/>
    <col min="8448" max="8448" width="2.42578125" style="2" customWidth="1"/>
    <col min="8449" max="8449" width="4" style="2" customWidth="1"/>
    <col min="8450" max="8450" width="46.7109375" style="2" customWidth="1"/>
    <col min="8451" max="8451" width="0.140625" style="2" customWidth="1"/>
    <col min="8452" max="8462" width="7.28515625" style="2" customWidth="1"/>
    <col min="8463" max="8463" width="6.42578125" style="2" customWidth="1"/>
    <col min="8464" max="8464" width="8.42578125" style="2" customWidth="1"/>
    <col min="8465" max="8703" width="9.140625" style="2"/>
    <col min="8704" max="8704" width="2.42578125" style="2" customWidth="1"/>
    <col min="8705" max="8705" width="4" style="2" customWidth="1"/>
    <col min="8706" max="8706" width="46.7109375" style="2" customWidth="1"/>
    <col min="8707" max="8707" width="0.140625" style="2" customWidth="1"/>
    <col min="8708" max="8718" width="7.28515625" style="2" customWidth="1"/>
    <col min="8719" max="8719" width="6.42578125" style="2" customWidth="1"/>
    <col min="8720" max="8720" width="8.42578125" style="2" customWidth="1"/>
    <col min="8721" max="8959" width="9.140625" style="2"/>
    <col min="8960" max="8960" width="2.42578125" style="2" customWidth="1"/>
    <col min="8961" max="8961" width="4" style="2" customWidth="1"/>
    <col min="8962" max="8962" width="46.7109375" style="2" customWidth="1"/>
    <col min="8963" max="8963" width="0.140625" style="2" customWidth="1"/>
    <col min="8964" max="8974" width="7.28515625" style="2" customWidth="1"/>
    <col min="8975" max="8975" width="6.42578125" style="2" customWidth="1"/>
    <col min="8976" max="8976" width="8.42578125" style="2" customWidth="1"/>
    <col min="8977" max="9215" width="9.140625" style="2"/>
    <col min="9216" max="9216" width="2.42578125" style="2" customWidth="1"/>
    <col min="9217" max="9217" width="4" style="2" customWidth="1"/>
    <col min="9218" max="9218" width="46.7109375" style="2" customWidth="1"/>
    <col min="9219" max="9219" width="0.140625" style="2" customWidth="1"/>
    <col min="9220" max="9230" width="7.28515625" style="2" customWidth="1"/>
    <col min="9231" max="9231" width="6.42578125" style="2" customWidth="1"/>
    <col min="9232" max="9232" width="8.42578125" style="2" customWidth="1"/>
    <col min="9233" max="9471" width="9.140625" style="2"/>
    <col min="9472" max="9472" width="2.42578125" style="2" customWidth="1"/>
    <col min="9473" max="9473" width="4" style="2" customWidth="1"/>
    <col min="9474" max="9474" width="46.7109375" style="2" customWidth="1"/>
    <col min="9475" max="9475" width="0.140625" style="2" customWidth="1"/>
    <col min="9476" max="9486" width="7.28515625" style="2" customWidth="1"/>
    <col min="9487" max="9487" width="6.42578125" style="2" customWidth="1"/>
    <col min="9488" max="9488" width="8.42578125" style="2" customWidth="1"/>
    <col min="9489" max="9727" width="9.140625" style="2"/>
    <col min="9728" max="9728" width="2.42578125" style="2" customWidth="1"/>
    <col min="9729" max="9729" width="4" style="2" customWidth="1"/>
    <col min="9730" max="9730" width="46.7109375" style="2" customWidth="1"/>
    <col min="9731" max="9731" width="0.140625" style="2" customWidth="1"/>
    <col min="9732" max="9742" width="7.28515625" style="2" customWidth="1"/>
    <col min="9743" max="9743" width="6.42578125" style="2" customWidth="1"/>
    <col min="9744" max="9744" width="8.42578125" style="2" customWidth="1"/>
    <col min="9745" max="9983" width="9.140625" style="2"/>
    <col min="9984" max="9984" width="2.42578125" style="2" customWidth="1"/>
    <col min="9985" max="9985" width="4" style="2" customWidth="1"/>
    <col min="9986" max="9986" width="46.7109375" style="2" customWidth="1"/>
    <col min="9987" max="9987" width="0.140625" style="2" customWidth="1"/>
    <col min="9988" max="9998" width="7.28515625" style="2" customWidth="1"/>
    <col min="9999" max="9999" width="6.42578125" style="2" customWidth="1"/>
    <col min="10000" max="10000" width="8.42578125" style="2" customWidth="1"/>
    <col min="10001" max="10239" width="9.140625" style="2"/>
    <col min="10240" max="10240" width="2.42578125" style="2" customWidth="1"/>
    <col min="10241" max="10241" width="4" style="2" customWidth="1"/>
    <col min="10242" max="10242" width="46.7109375" style="2" customWidth="1"/>
    <col min="10243" max="10243" width="0.140625" style="2" customWidth="1"/>
    <col min="10244" max="10254" width="7.28515625" style="2" customWidth="1"/>
    <col min="10255" max="10255" width="6.42578125" style="2" customWidth="1"/>
    <col min="10256" max="10256" width="8.42578125" style="2" customWidth="1"/>
    <col min="10257" max="10495" width="9.140625" style="2"/>
    <col min="10496" max="10496" width="2.42578125" style="2" customWidth="1"/>
    <col min="10497" max="10497" width="4" style="2" customWidth="1"/>
    <col min="10498" max="10498" width="46.7109375" style="2" customWidth="1"/>
    <col min="10499" max="10499" width="0.140625" style="2" customWidth="1"/>
    <col min="10500" max="10510" width="7.28515625" style="2" customWidth="1"/>
    <col min="10511" max="10511" width="6.42578125" style="2" customWidth="1"/>
    <col min="10512" max="10512" width="8.42578125" style="2" customWidth="1"/>
    <col min="10513" max="10751" width="9.140625" style="2"/>
    <col min="10752" max="10752" width="2.42578125" style="2" customWidth="1"/>
    <col min="10753" max="10753" width="4" style="2" customWidth="1"/>
    <col min="10754" max="10754" width="46.7109375" style="2" customWidth="1"/>
    <col min="10755" max="10755" width="0.140625" style="2" customWidth="1"/>
    <col min="10756" max="10766" width="7.28515625" style="2" customWidth="1"/>
    <col min="10767" max="10767" width="6.42578125" style="2" customWidth="1"/>
    <col min="10768" max="10768" width="8.42578125" style="2" customWidth="1"/>
    <col min="10769" max="11007" width="9.140625" style="2"/>
    <col min="11008" max="11008" width="2.42578125" style="2" customWidth="1"/>
    <col min="11009" max="11009" width="4" style="2" customWidth="1"/>
    <col min="11010" max="11010" width="46.7109375" style="2" customWidth="1"/>
    <col min="11011" max="11011" width="0.140625" style="2" customWidth="1"/>
    <col min="11012" max="11022" width="7.28515625" style="2" customWidth="1"/>
    <col min="11023" max="11023" width="6.42578125" style="2" customWidth="1"/>
    <col min="11024" max="11024" width="8.42578125" style="2" customWidth="1"/>
    <col min="11025" max="11263" width="9.140625" style="2"/>
    <col min="11264" max="11264" width="2.42578125" style="2" customWidth="1"/>
    <col min="11265" max="11265" width="4" style="2" customWidth="1"/>
    <col min="11266" max="11266" width="46.7109375" style="2" customWidth="1"/>
    <col min="11267" max="11267" width="0.140625" style="2" customWidth="1"/>
    <col min="11268" max="11278" width="7.28515625" style="2" customWidth="1"/>
    <col min="11279" max="11279" width="6.42578125" style="2" customWidth="1"/>
    <col min="11280" max="11280" width="8.42578125" style="2" customWidth="1"/>
    <col min="11281" max="11519" width="9.140625" style="2"/>
    <col min="11520" max="11520" width="2.42578125" style="2" customWidth="1"/>
    <col min="11521" max="11521" width="4" style="2" customWidth="1"/>
    <col min="11522" max="11522" width="46.7109375" style="2" customWidth="1"/>
    <col min="11523" max="11523" width="0.140625" style="2" customWidth="1"/>
    <col min="11524" max="11534" width="7.28515625" style="2" customWidth="1"/>
    <col min="11535" max="11535" width="6.42578125" style="2" customWidth="1"/>
    <col min="11536" max="11536" width="8.42578125" style="2" customWidth="1"/>
    <col min="11537" max="11775" width="9.140625" style="2"/>
    <col min="11776" max="11776" width="2.42578125" style="2" customWidth="1"/>
    <col min="11777" max="11777" width="4" style="2" customWidth="1"/>
    <col min="11778" max="11778" width="46.7109375" style="2" customWidth="1"/>
    <col min="11779" max="11779" width="0.140625" style="2" customWidth="1"/>
    <col min="11780" max="11790" width="7.28515625" style="2" customWidth="1"/>
    <col min="11791" max="11791" width="6.42578125" style="2" customWidth="1"/>
    <col min="11792" max="11792" width="8.42578125" style="2" customWidth="1"/>
    <col min="11793" max="12031" width="9.140625" style="2"/>
    <col min="12032" max="12032" width="2.42578125" style="2" customWidth="1"/>
    <col min="12033" max="12033" width="4" style="2" customWidth="1"/>
    <col min="12034" max="12034" width="46.7109375" style="2" customWidth="1"/>
    <col min="12035" max="12035" width="0.140625" style="2" customWidth="1"/>
    <col min="12036" max="12046" width="7.28515625" style="2" customWidth="1"/>
    <col min="12047" max="12047" width="6.42578125" style="2" customWidth="1"/>
    <col min="12048" max="12048" width="8.42578125" style="2" customWidth="1"/>
    <col min="12049" max="12287" width="9.140625" style="2"/>
    <col min="12288" max="12288" width="2.42578125" style="2" customWidth="1"/>
    <col min="12289" max="12289" width="4" style="2" customWidth="1"/>
    <col min="12290" max="12290" width="46.7109375" style="2" customWidth="1"/>
    <col min="12291" max="12291" width="0.140625" style="2" customWidth="1"/>
    <col min="12292" max="12302" width="7.28515625" style="2" customWidth="1"/>
    <col min="12303" max="12303" width="6.42578125" style="2" customWidth="1"/>
    <col min="12304" max="12304" width="8.42578125" style="2" customWidth="1"/>
    <col min="12305" max="12543" width="9.140625" style="2"/>
    <col min="12544" max="12544" width="2.42578125" style="2" customWidth="1"/>
    <col min="12545" max="12545" width="4" style="2" customWidth="1"/>
    <col min="12546" max="12546" width="46.7109375" style="2" customWidth="1"/>
    <col min="12547" max="12547" width="0.140625" style="2" customWidth="1"/>
    <col min="12548" max="12558" width="7.28515625" style="2" customWidth="1"/>
    <col min="12559" max="12559" width="6.42578125" style="2" customWidth="1"/>
    <col min="12560" max="12560" width="8.42578125" style="2" customWidth="1"/>
    <col min="12561" max="12799" width="9.140625" style="2"/>
    <col min="12800" max="12800" width="2.42578125" style="2" customWidth="1"/>
    <col min="12801" max="12801" width="4" style="2" customWidth="1"/>
    <col min="12802" max="12802" width="46.7109375" style="2" customWidth="1"/>
    <col min="12803" max="12803" width="0.140625" style="2" customWidth="1"/>
    <col min="12804" max="12814" width="7.28515625" style="2" customWidth="1"/>
    <col min="12815" max="12815" width="6.42578125" style="2" customWidth="1"/>
    <col min="12816" max="12816" width="8.42578125" style="2" customWidth="1"/>
    <col min="12817" max="13055" width="9.140625" style="2"/>
    <col min="13056" max="13056" width="2.42578125" style="2" customWidth="1"/>
    <col min="13057" max="13057" width="4" style="2" customWidth="1"/>
    <col min="13058" max="13058" width="46.7109375" style="2" customWidth="1"/>
    <col min="13059" max="13059" width="0.140625" style="2" customWidth="1"/>
    <col min="13060" max="13070" width="7.28515625" style="2" customWidth="1"/>
    <col min="13071" max="13071" width="6.42578125" style="2" customWidth="1"/>
    <col min="13072" max="13072" width="8.42578125" style="2" customWidth="1"/>
    <col min="13073" max="13311" width="9.140625" style="2"/>
    <col min="13312" max="13312" width="2.42578125" style="2" customWidth="1"/>
    <col min="13313" max="13313" width="4" style="2" customWidth="1"/>
    <col min="13314" max="13314" width="46.7109375" style="2" customWidth="1"/>
    <col min="13315" max="13315" width="0.140625" style="2" customWidth="1"/>
    <col min="13316" max="13326" width="7.28515625" style="2" customWidth="1"/>
    <col min="13327" max="13327" width="6.42578125" style="2" customWidth="1"/>
    <col min="13328" max="13328" width="8.42578125" style="2" customWidth="1"/>
    <col min="13329" max="13567" width="9.140625" style="2"/>
    <col min="13568" max="13568" width="2.42578125" style="2" customWidth="1"/>
    <col min="13569" max="13569" width="4" style="2" customWidth="1"/>
    <col min="13570" max="13570" width="46.7109375" style="2" customWidth="1"/>
    <col min="13571" max="13571" width="0.140625" style="2" customWidth="1"/>
    <col min="13572" max="13582" width="7.28515625" style="2" customWidth="1"/>
    <col min="13583" max="13583" width="6.42578125" style="2" customWidth="1"/>
    <col min="13584" max="13584" width="8.42578125" style="2" customWidth="1"/>
    <col min="13585" max="13823" width="9.140625" style="2"/>
    <col min="13824" max="13824" width="2.42578125" style="2" customWidth="1"/>
    <col min="13825" max="13825" width="4" style="2" customWidth="1"/>
    <col min="13826" max="13826" width="46.7109375" style="2" customWidth="1"/>
    <col min="13827" max="13827" width="0.140625" style="2" customWidth="1"/>
    <col min="13828" max="13838" width="7.28515625" style="2" customWidth="1"/>
    <col min="13839" max="13839" width="6.42578125" style="2" customWidth="1"/>
    <col min="13840" max="13840" width="8.42578125" style="2" customWidth="1"/>
    <col min="13841" max="14079" width="9.140625" style="2"/>
    <col min="14080" max="14080" width="2.42578125" style="2" customWidth="1"/>
    <col min="14081" max="14081" width="4" style="2" customWidth="1"/>
    <col min="14082" max="14082" width="46.7109375" style="2" customWidth="1"/>
    <col min="14083" max="14083" width="0.140625" style="2" customWidth="1"/>
    <col min="14084" max="14094" width="7.28515625" style="2" customWidth="1"/>
    <col min="14095" max="14095" width="6.42578125" style="2" customWidth="1"/>
    <col min="14096" max="14096" width="8.42578125" style="2" customWidth="1"/>
    <col min="14097" max="14335" width="9.140625" style="2"/>
    <col min="14336" max="14336" width="2.42578125" style="2" customWidth="1"/>
    <col min="14337" max="14337" width="4" style="2" customWidth="1"/>
    <col min="14338" max="14338" width="46.7109375" style="2" customWidth="1"/>
    <col min="14339" max="14339" width="0.140625" style="2" customWidth="1"/>
    <col min="14340" max="14350" width="7.28515625" style="2" customWidth="1"/>
    <col min="14351" max="14351" width="6.42578125" style="2" customWidth="1"/>
    <col min="14352" max="14352" width="8.42578125" style="2" customWidth="1"/>
    <col min="14353" max="14591" width="9.140625" style="2"/>
    <col min="14592" max="14592" width="2.42578125" style="2" customWidth="1"/>
    <col min="14593" max="14593" width="4" style="2" customWidth="1"/>
    <col min="14594" max="14594" width="46.7109375" style="2" customWidth="1"/>
    <col min="14595" max="14595" width="0.140625" style="2" customWidth="1"/>
    <col min="14596" max="14606" width="7.28515625" style="2" customWidth="1"/>
    <col min="14607" max="14607" width="6.42578125" style="2" customWidth="1"/>
    <col min="14608" max="14608" width="8.42578125" style="2" customWidth="1"/>
    <col min="14609" max="14847" width="9.140625" style="2"/>
    <col min="14848" max="14848" width="2.42578125" style="2" customWidth="1"/>
    <col min="14849" max="14849" width="4" style="2" customWidth="1"/>
    <col min="14850" max="14850" width="46.7109375" style="2" customWidth="1"/>
    <col min="14851" max="14851" width="0.140625" style="2" customWidth="1"/>
    <col min="14852" max="14862" width="7.28515625" style="2" customWidth="1"/>
    <col min="14863" max="14863" width="6.42578125" style="2" customWidth="1"/>
    <col min="14864" max="14864" width="8.42578125" style="2" customWidth="1"/>
    <col min="14865" max="15103" width="9.140625" style="2"/>
    <col min="15104" max="15104" width="2.42578125" style="2" customWidth="1"/>
    <col min="15105" max="15105" width="4" style="2" customWidth="1"/>
    <col min="15106" max="15106" width="46.7109375" style="2" customWidth="1"/>
    <col min="15107" max="15107" width="0.140625" style="2" customWidth="1"/>
    <col min="15108" max="15118" width="7.28515625" style="2" customWidth="1"/>
    <col min="15119" max="15119" width="6.42578125" style="2" customWidth="1"/>
    <col min="15120" max="15120" width="8.42578125" style="2" customWidth="1"/>
    <col min="15121" max="15359" width="9.140625" style="2"/>
    <col min="15360" max="15360" width="2.42578125" style="2" customWidth="1"/>
    <col min="15361" max="15361" width="4" style="2" customWidth="1"/>
    <col min="15362" max="15362" width="46.7109375" style="2" customWidth="1"/>
    <col min="15363" max="15363" width="0.140625" style="2" customWidth="1"/>
    <col min="15364" max="15374" width="7.28515625" style="2" customWidth="1"/>
    <col min="15375" max="15375" width="6.42578125" style="2" customWidth="1"/>
    <col min="15376" max="15376" width="8.42578125" style="2" customWidth="1"/>
    <col min="15377" max="15615" width="9.140625" style="2"/>
    <col min="15616" max="15616" width="2.42578125" style="2" customWidth="1"/>
    <col min="15617" max="15617" width="4" style="2" customWidth="1"/>
    <col min="15618" max="15618" width="46.7109375" style="2" customWidth="1"/>
    <col min="15619" max="15619" width="0.140625" style="2" customWidth="1"/>
    <col min="15620" max="15630" width="7.28515625" style="2" customWidth="1"/>
    <col min="15631" max="15631" width="6.42578125" style="2" customWidth="1"/>
    <col min="15632" max="15632" width="8.42578125" style="2" customWidth="1"/>
    <col min="15633" max="15871" width="9.140625" style="2"/>
    <col min="15872" max="15872" width="2.42578125" style="2" customWidth="1"/>
    <col min="15873" max="15873" width="4" style="2" customWidth="1"/>
    <col min="15874" max="15874" width="46.7109375" style="2" customWidth="1"/>
    <col min="15875" max="15875" width="0.140625" style="2" customWidth="1"/>
    <col min="15876" max="15886" width="7.28515625" style="2" customWidth="1"/>
    <col min="15887" max="15887" width="6.42578125" style="2" customWidth="1"/>
    <col min="15888" max="15888" width="8.42578125" style="2" customWidth="1"/>
    <col min="15889" max="16127" width="9.140625" style="2"/>
    <col min="16128" max="16128" width="2.42578125" style="2" customWidth="1"/>
    <col min="16129" max="16129" width="4" style="2" customWidth="1"/>
    <col min="16130" max="16130" width="46.7109375" style="2" customWidth="1"/>
    <col min="16131" max="16131" width="0.140625" style="2" customWidth="1"/>
    <col min="16132" max="16142" width="7.28515625" style="2" customWidth="1"/>
    <col min="16143" max="16143" width="6.42578125" style="2" customWidth="1"/>
    <col min="16144" max="16144" width="8.42578125" style="2" customWidth="1"/>
    <col min="16145" max="16384" width="9.140625" style="2"/>
  </cols>
  <sheetData>
    <row r="1" spans="1:16" ht="15" x14ac:dyDescent="0.25">
      <c r="A1" s="1" t="s">
        <v>0</v>
      </c>
      <c r="B1" s="1"/>
      <c r="C1" s="1"/>
      <c r="D1" s="1"/>
      <c r="E1" s="1"/>
      <c r="F1" s="1"/>
      <c r="G1" s="1"/>
      <c r="H1" s="1"/>
      <c r="I1" s="1"/>
      <c r="J1" s="1"/>
      <c r="K1" s="1"/>
      <c r="L1" s="1"/>
      <c r="M1" s="1"/>
      <c r="N1" s="1"/>
      <c r="O1" s="1"/>
      <c r="P1" s="1"/>
    </row>
    <row r="2" spans="1:16" ht="15" x14ac:dyDescent="0.25">
      <c r="A2" s="1" t="s">
        <v>1</v>
      </c>
      <c r="B2" s="1"/>
      <c r="C2" s="1"/>
      <c r="D2" s="1"/>
      <c r="E2" s="1"/>
      <c r="F2" s="1"/>
      <c r="G2" s="1"/>
      <c r="H2" s="1"/>
      <c r="I2" s="1"/>
      <c r="J2" s="1"/>
      <c r="K2" s="1"/>
      <c r="L2" s="1"/>
      <c r="M2" s="1"/>
      <c r="N2" s="1"/>
      <c r="O2" s="1"/>
      <c r="P2" s="1"/>
    </row>
    <row r="3" spans="1:16" ht="15" x14ac:dyDescent="0.25">
      <c r="A3" s="315" t="s">
        <v>621</v>
      </c>
      <c r="B3" s="315"/>
      <c r="C3" s="315"/>
      <c r="D3" s="315"/>
      <c r="E3" s="315"/>
      <c r="F3" s="315"/>
      <c r="G3" s="315"/>
      <c r="H3" s="315"/>
      <c r="I3" s="315"/>
      <c r="J3" s="315"/>
      <c r="K3" s="315"/>
      <c r="L3" s="315"/>
      <c r="M3" s="315"/>
      <c r="N3" s="315"/>
      <c r="O3" s="315"/>
      <c r="P3" s="315"/>
    </row>
    <row r="4" spans="1:16" x14ac:dyDescent="0.2">
      <c r="A4" s="2" t="s">
        <v>3</v>
      </c>
    </row>
    <row r="6" spans="1:16" ht="7.5" customHeight="1" x14ac:dyDescent="0.2">
      <c r="A6" s="126"/>
      <c r="B6" s="126"/>
      <c r="C6" s="126"/>
      <c r="D6" s="126"/>
      <c r="E6" s="126"/>
      <c r="F6" s="126"/>
      <c r="G6" s="126"/>
      <c r="H6" s="126"/>
      <c r="I6" s="126"/>
      <c r="J6" s="126"/>
      <c r="K6" s="126"/>
      <c r="L6" s="126"/>
      <c r="M6" s="126"/>
      <c r="N6" s="126"/>
      <c r="O6" s="126"/>
      <c r="P6" s="126"/>
    </row>
    <row r="7" spans="1:16" x14ac:dyDescent="0.2">
      <c r="A7" s="328" t="s">
        <v>5</v>
      </c>
      <c r="B7" s="328"/>
      <c r="C7" s="328"/>
      <c r="D7" s="122" t="s">
        <v>461</v>
      </c>
      <c r="E7" s="122" t="s">
        <v>462</v>
      </c>
      <c r="F7" s="122" t="s">
        <v>463</v>
      </c>
      <c r="G7" s="122" t="s">
        <v>464</v>
      </c>
      <c r="H7" s="122" t="s">
        <v>465</v>
      </c>
      <c r="I7" s="122" t="s">
        <v>466</v>
      </c>
      <c r="J7" s="122" t="s">
        <v>467</v>
      </c>
      <c r="K7" s="122" t="s">
        <v>468</v>
      </c>
      <c r="L7" s="122" t="s">
        <v>469</v>
      </c>
      <c r="M7" s="122" t="s">
        <v>470</v>
      </c>
      <c r="N7" s="122" t="s">
        <v>471</v>
      </c>
      <c r="O7" s="122" t="s">
        <v>472</v>
      </c>
      <c r="P7" s="122" t="s">
        <v>238</v>
      </c>
    </row>
    <row r="8" spans="1:16" ht="5.25" customHeight="1" thickBot="1" x14ac:dyDescent="0.25">
      <c r="A8" s="127"/>
      <c r="B8" s="127"/>
      <c r="C8" s="127"/>
      <c r="D8" s="127"/>
      <c r="E8" s="127"/>
      <c r="F8" s="127"/>
      <c r="G8" s="127"/>
      <c r="H8" s="127"/>
      <c r="I8" s="127"/>
      <c r="J8" s="127"/>
      <c r="K8" s="127"/>
      <c r="L8" s="127"/>
      <c r="M8" s="127"/>
      <c r="N8" s="127"/>
      <c r="O8" s="127"/>
      <c r="P8" s="127"/>
    </row>
    <row r="9" spans="1:16" ht="15" thickTop="1" x14ac:dyDescent="0.2"/>
    <row r="10" spans="1:16" s="4" customFormat="1" ht="15" x14ac:dyDescent="0.25">
      <c r="A10" s="3" t="s">
        <v>20</v>
      </c>
      <c r="D10" s="19">
        <f t="shared" ref="D10:O10" si="0">SUM(D12:D30)</f>
        <v>336.31</v>
      </c>
      <c r="E10" s="19">
        <f t="shared" si="0"/>
        <v>495.42</v>
      </c>
      <c r="F10" s="19">
        <f t="shared" si="0"/>
        <v>141.59</v>
      </c>
      <c r="G10" s="19">
        <f t="shared" si="0"/>
        <v>222.65</v>
      </c>
      <c r="H10" s="19">
        <f t="shared" si="0"/>
        <v>254.38</v>
      </c>
      <c r="I10" s="19">
        <f t="shared" si="0"/>
        <v>187.2</v>
      </c>
      <c r="J10" s="19">
        <f t="shared" si="0"/>
        <v>158.39000000000001</v>
      </c>
      <c r="K10" s="19">
        <f t="shared" si="0"/>
        <v>102.66999999999999</v>
      </c>
      <c r="L10" s="19">
        <f t="shared" si="0"/>
        <v>237.95000000000002</v>
      </c>
      <c r="M10" s="19">
        <f t="shared" si="0"/>
        <v>1249.5899999999997</v>
      </c>
      <c r="N10" s="19">
        <f t="shared" si="0"/>
        <v>232.42000000000004</v>
      </c>
      <c r="O10" s="19">
        <f t="shared" si="0"/>
        <v>97.759999999999991</v>
      </c>
      <c r="P10" s="19">
        <f>SUM(D10:O10)</f>
        <v>3716.33</v>
      </c>
    </row>
    <row r="11" spans="1:16" ht="15" x14ac:dyDescent="0.25">
      <c r="A11" s="1"/>
      <c r="D11" s="175"/>
      <c r="E11" s="175"/>
      <c r="F11" s="175"/>
      <c r="G11" s="175"/>
      <c r="H11" s="175"/>
      <c r="I11" s="175"/>
      <c r="J11" s="175"/>
      <c r="K11" s="175"/>
      <c r="L11" s="175"/>
      <c r="M11" s="175"/>
      <c r="N11" s="175"/>
      <c r="O11" s="175"/>
      <c r="P11" s="175"/>
    </row>
    <row r="12" spans="1:16" x14ac:dyDescent="0.2">
      <c r="B12" s="2" t="s">
        <v>240</v>
      </c>
      <c r="D12" s="114">
        <v>0.95</v>
      </c>
      <c r="E12" s="114">
        <v>1.01</v>
      </c>
      <c r="F12" s="114">
        <v>0.76</v>
      </c>
      <c r="G12" s="114">
        <v>0.71</v>
      </c>
      <c r="H12" s="114">
        <v>11.04</v>
      </c>
      <c r="I12" s="114">
        <v>1.74</v>
      </c>
      <c r="J12" s="114">
        <v>2.68</v>
      </c>
      <c r="K12" s="114">
        <v>2.41</v>
      </c>
      <c r="L12" s="114">
        <v>1.98</v>
      </c>
      <c r="M12" s="114">
        <v>2.4700000000000002</v>
      </c>
      <c r="N12" s="114">
        <v>2.14</v>
      </c>
      <c r="O12" s="114">
        <v>1.37</v>
      </c>
      <c r="P12" s="114">
        <f t="shared" ref="P12:P30" si="1">SUM(D12:O12)</f>
        <v>29.259999999999998</v>
      </c>
    </row>
    <row r="13" spans="1:16" x14ac:dyDescent="0.2">
      <c r="B13" s="2" t="s">
        <v>611</v>
      </c>
      <c r="D13" s="114">
        <v>0.82</v>
      </c>
      <c r="E13" s="114">
        <v>0.94</v>
      </c>
      <c r="F13" s="114">
        <v>1.24</v>
      </c>
      <c r="G13" s="114">
        <v>1.08</v>
      </c>
      <c r="H13" s="114">
        <v>0.82</v>
      </c>
      <c r="I13" s="114">
        <v>1.3</v>
      </c>
      <c r="J13" s="114">
        <v>1.39</v>
      </c>
      <c r="K13" s="114">
        <v>1.43</v>
      </c>
      <c r="L13" s="114">
        <v>1.67</v>
      </c>
      <c r="M13" s="114">
        <v>0.91</v>
      </c>
      <c r="N13" s="114">
        <v>0.55000000000000004</v>
      </c>
      <c r="O13" s="114">
        <v>1.07</v>
      </c>
      <c r="P13" s="114">
        <f t="shared" si="1"/>
        <v>13.22</v>
      </c>
    </row>
    <row r="14" spans="1:16" x14ac:dyDescent="0.2">
      <c r="B14" s="2" t="s">
        <v>242</v>
      </c>
      <c r="D14" s="114">
        <v>3.46</v>
      </c>
      <c r="E14" s="114">
        <v>2.73</v>
      </c>
      <c r="F14" s="114">
        <v>1.9</v>
      </c>
      <c r="G14" s="114">
        <v>1.1499999999999999</v>
      </c>
      <c r="H14" s="114">
        <v>1.41</v>
      </c>
      <c r="I14" s="114">
        <v>1.39</v>
      </c>
      <c r="J14" s="114">
        <v>1.47</v>
      </c>
      <c r="K14" s="114">
        <v>0.94</v>
      </c>
      <c r="L14" s="114">
        <v>1.35</v>
      </c>
      <c r="M14" s="114">
        <v>0.95</v>
      </c>
      <c r="N14" s="114">
        <v>0.64</v>
      </c>
      <c r="O14" s="114">
        <v>0.59</v>
      </c>
      <c r="P14" s="114">
        <f t="shared" si="1"/>
        <v>17.98</v>
      </c>
    </row>
    <row r="15" spans="1:16" x14ac:dyDescent="0.2">
      <c r="B15" s="2" t="s">
        <v>243</v>
      </c>
      <c r="D15" s="114">
        <v>124.92</v>
      </c>
      <c r="E15" s="114">
        <v>3.58</v>
      </c>
      <c r="F15" s="114">
        <v>6.31</v>
      </c>
      <c r="G15" s="114">
        <v>83.4</v>
      </c>
      <c r="H15" s="114">
        <v>13.2</v>
      </c>
      <c r="I15" s="114">
        <v>11.57</v>
      </c>
      <c r="J15" s="114">
        <v>5.9</v>
      </c>
      <c r="K15" s="114">
        <v>4.93</v>
      </c>
      <c r="L15" s="114">
        <v>10.81</v>
      </c>
      <c r="M15" s="114">
        <v>117.18</v>
      </c>
      <c r="N15" s="114">
        <v>43.56</v>
      </c>
      <c r="O15" s="114">
        <v>4.37</v>
      </c>
      <c r="P15" s="114">
        <f t="shared" si="1"/>
        <v>429.73</v>
      </c>
    </row>
    <row r="16" spans="1:16" x14ac:dyDescent="0.2">
      <c r="B16" s="2" t="s">
        <v>244</v>
      </c>
      <c r="D16" s="114">
        <v>0.95</v>
      </c>
      <c r="E16" s="114">
        <v>1.1299999999999999</v>
      </c>
      <c r="F16" s="114">
        <v>0.49</v>
      </c>
      <c r="G16" s="114">
        <v>0.23</v>
      </c>
      <c r="H16" s="114">
        <v>0.19</v>
      </c>
      <c r="I16" s="114">
        <v>0.47</v>
      </c>
      <c r="J16" s="114">
        <v>0.19</v>
      </c>
      <c r="K16" s="114">
        <v>0.12</v>
      </c>
      <c r="L16" s="114">
        <v>0.22</v>
      </c>
      <c r="M16" s="114">
        <v>0.43</v>
      </c>
      <c r="N16" s="114">
        <v>0.12</v>
      </c>
      <c r="O16" s="114">
        <v>0.17</v>
      </c>
      <c r="P16" s="114">
        <f t="shared" si="1"/>
        <v>4.71</v>
      </c>
    </row>
    <row r="17" spans="1:16" x14ac:dyDescent="0.2">
      <c r="B17" s="2" t="s">
        <v>245</v>
      </c>
      <c r="D17" s="114">
        <v>0</v>
      </c>
      <c r="E17" s="114">
        <v>0</v>
      </c>
      <c r="F17" s="114">
        <v>0</v>
      </c>
      <c r="G17" s="114">
        <v>0</v>
      </c>
      <c r="H17" s="114">
        <v>0.01</v>
      </c>
      <c r="I17" s="114">
        <v>0.02</v>
      </c>
      <c r="J17" s="114">
        <v>0.02</v>
      </c>
      <c r="K17" s="114">
        <v>0.01</v>
      </c>
      <c r="L17" s="114">
        <v>0.03</v>
      </c>
      <c r="M17" s="114">
        <v>0</v>
      </c>
      <c r="N17" s="114">
        <v>0</v>
      </c>
      <c r="O17" s="114">
        <v>0.01</v>
      </c>
      <c r="P17" s="114">
        <f t="shared" si="1"/>
        <v>9.9999999999999992E-2</v>
      </c>
    </row>
    <row r="18" spans="1:16" x14ac:dyDescent="0.2">
      <c r="B18" s="2" t="s">
        <v>557</v>
      </c>
      <c r="D18" s="114">
        <v>0</v>
      </c>
      <c r="E18" s="114">
        <v>0</v>
      </c>
      <c r="F18" s="114">
        <v>0</v>
      </c>
      <c r="G18" s="114">
        <v>0</v>
      </c>
      <c r="H18" s="114">
        <v>0</v>
      </c>
      <c r="I18" s="114">
        <v>0</v>
      </c>
      <c r="J18" s="114">
        <v>0</v>
      </c>
      <c r="K18" s="114">
        <v>0</v>
      </c>
      <c r="L18" s="114">
        <v>0.08</v>
      </c>
      <c r="M18" s="114">
        <v>0</v>
      </c>
      <c r="N18" s="114">
        <v>0</v>
      </c>
      <c r="O18" s="114">
        <v>0</v>
      </c>
      <c r="P18" s="114">
        <f t="shared" si="1"/>
        <v>0.08</v>
      </c>
    </row>
    <row r="19" spans="1:16" x14ac:dyDescent="0.2">
      <c r="B19" s="2" t="s">
        <v>246</v>
      </c>
      <c r="D19" s="114">
        <v>12.72</v>
      </c>
      <c r="E19" s="114">
        <v>3.78</v>
      </c>
      <c r="F19" s="114">
        <v>4.54</v>
      </c>
      <c r="G19" s="114">
        <v>3.42</v>
      </c>
      <c r="H19" s="114">
        <v>5.23</v>
      </c>
      <c r="I19" s="114">
        <v>5.66</v>
      </c>
      <c r="J19" s="114">
        <v>4.3899999999999997</v>
      </c>
      <c r="K19" s="114">
        <v>3.77</v>
      </c>
      <c r="L19" s="114">
        <v>6.11</v>
      </c>
      <c r="M19" s="114">
        <v>4.67</v>
      </c>
      <c r="N19" s="114">
        <v>4.8099999999999996</v>
      </c>
      <c r="O19" s="114">
        <v>5.05</v>
      </c>
      <c r="P19" s="114">
        <f t="shared" si="1"/>
        <v>64.150000000000006</v>
      </c>
    </row>
    <row r="20" spans="1:16" x14ac:dyDescent="0.2">
      <c r="B20" s="2" t="s">
        <v>247</v>
      </c>
      <c r="D20" s="114">
        <v>0.18</v>
      </c>
      <c r="E20" s="114">
        <v>0.01</v>
      </c>
      <c r="F20" s="114">
        <v>0.01</v>
      </c>
      <c r="G20" s="114">
        <v>0</v>
      </c>
      <c r="H20" s="114">
        <v>0.04</v>
      </c>
      <c r="I20" s="114">
        <v>0.01</v>
      </c>
      <c r="J20" s="114">
        <v>0.01</v>
      </c>
      <c r="K20" s="114">
        <v>0.02</v>
      </c>
      <c r="L20" s="114">
        <v>0.11</v>
      </c>
      <c r="M20" s="114">
        <v>0.02</v>
      </c>
      <c r="N20" s="114">
        <v>0.12</v>
      </c>
      <c r="O20" s="114">
        <v>0.01</v>
      </c>
      <c r="P20" s="114">
        <f t="shared" si="1"/>
        <v>0.54</v>
      </c>
    </row>
    <row r="21" spans="1:16" x14ac:dyDescent="0.2">
      <c r="B21" s="2" t="s">
        <v>248</v>
      </c>
      <c r="D21" s="114">
        <v>0.17</v>
      </c>
      <c r="E21" s="114">
        <v>0.01</v>
      </c>
      <c r="F21" s="114">
        <v>0</v>
      </c>
      <c r="G21" s="114">
        <v>0.06</v>
      </c>
      <c r="H21" s="114">
        <v>0.68</v>
      </c>
      <c r="I21" s="114">
        <v>0.01</v>
      </c>
      <c r="J21" s="114">
        <v>0.13</v>
      </c>
      <c r="K21" s="114">
        <v>0.02</v>
      </c>
      <c r="L21" s="114">
        <v>0.03</v>
      </c>
      <c r="M21" s="114">
        <v>0</v>
      </c>
      <c r="N21" s="114">
        <v>0.03</v>
      </c>
      <c r="O21" s="114">
        <v>0.1</v>
      </c>
      <c r="P21" s="114">
        <f t="shared" si="1"/>
        <v>1.2400000000000002</v>
      </c>
    </row>
    <row r="22" spans="1:16" x14ac:dyDescent="0.2">
      <c r="B22" s="2" t="s">
        <v>249</v>
      </c>
      <c r="D22" s="114">
        <v>0.77</v>
      </c>
      <c r="E22" s="114">
        <v>0.4</v>
      </c>
      <c r="F22" s="114">
        <v>0.38</v>
      </c>
      <c r="G22" s="114">
        <v>0.16</v>
      </c>
      <c r="H22" s="114">
        <v>0.25</v>
      </c>
      <c r="I22" s="114">
        <v>0.26</v>
      </c>
      <c r="J22" s="114">
        <v>0.36</v>
      </c>
      <c r="K22" s="114">
        <v>0.31</v>
      </c>
      <c r="L22" s="114">
        <v>0.53</v>
      </c>
      <c r="M22" s="114">
        <v>0.34</v>
      </c>
      <c r="N22" s="114">
        <v>0.19</v>
      </c>
      <c r="O22" s="114">
        <v>0.23</v>
      </c>
      <c r="P22" s="114">
        <f t="shared" si="1"/>
        <v>4.18</v>
      </c>
    </row>
    <row r="23" spans="1:16" x14ac:dyDescent="0.2">
      <c r="B23" s="2" t="s">
        <v>250</v>
      </c>
      <c r="D23" s="114">
        <v>0.68</v>
      </c>
      <c r="E23" s="114">
        <v>0.64</v>
      </c>
      <c r="F23" s="114">
        <v>0.43</v>
      </c>
      <c r="G23" s="114">
        <v>0.1</v>
      </c>
      <c r="H23" s="114">
        <v>0.2</v>
      </c>
      <c r="I23" s="114">
        <v>0.13</v>
      </c>
      <c r="J23" s="114">
        <v>0.32</v>
      </c>
      <c r="K23" s="114">
        <v>0.19</v>
      </c>
      <c r="L23" s="114">
        <v>0.52</v>
      </c>
      <c r="M23" s="114">
        <v>0.53</v>
      </c>
      <c r="N23" s="114">
        <v>0.37</v>
      </c>
      <c r="O23" s="114">
        <v>0.57999999999999996</v>
      </c>
      <c r="P23" s="114">
        <f t="shared" si="1"/>
        <v>4.6900000000000004</v>
      </c>
    </row>
    <row r="24" spans="1:16" x14ac:dyDescent="0.2">
      <c r="B24" s="2" t="s">
        <v>251</v>
      </c>
      <c r="D24" s="114">
        <v>94.97</v>
      </c>
      <c r="E24" s="114">
        <v>412.58</v>
      </c>
      <c r="F24" s="114">
        <v>44.87</v>
      </c>
      <c r="G24" s="114">
        <v>63.79</v>
      </c>
      <c r="H24" s="114">
        <v>72.58</v>
      </c>
      <c r="I24" s="114">
        <v>69.19</v>
      </c>
      <c r="J24" s="114">
        <v>93.52</v>
      </c>
      <c r="K24" s="114">
        <v>48.23</v>
      </c>
      <c r="L24" s="114">
        <v>115.12</v>
      </c>
      <c r="M24" s="114">
        <v>1044.57</v>
      </c>
      <c r="N24" s="114">
        <v>100.75</v>
      </c>
      <c r="O24" s="114">
        <v>36.369999999999997</v>
      </c>
      <c r="P24" s="114">
        <f t="shared" si="1"/>
        <v>2196.54</v>
      </c>
    </row>
    <row r="25" spans="1:16" x14ac:dyDescent="0.2">
      <c r="B25" s="2" t="s">
        <v>239</v>
      </c>
      <c r="D25" s="114">
        <v>1.24</v>
      </c>
      <c r="E25" s="114">
        <v>1.99</v>
      </c>
      <c r="F25" s="114">
        <v>0.83</v>
      </c>
      <c r="G25" s="114">
        <v>0.56999999999999995</v>
      </c>
      <c r="H25" s="114">
        <v>2.2599999999999998</v>
      </c>
      <c r="I25" s="114">
        <v>1.1499999999999999</v>
      </c>
      <c r="J25" s="114">
        <v>0.6</v>
      </c>
      <c r="K25" s="114">
        <v>0.96</v>
      </c>
      <c r="L25" s="114">
        <v>1.77</v>
      </c>
      <c r="M25" s="114">
        <v>2.0499999999999998</v>
      </c>
      <c r="N25" s="114">
        <v>0.6</v>
      </c>
      <c r="O25" s="114">
        <v>0.62</v>
      </c>
      <c r="P25" s="114">
        <f t="shared" si="1"/>
        <v>14.639999999999997</v>
      </c>
    </row>
    <row r="26" spans="1:16" x14ac:dyDescent="0.2">
      <c r="B26" s="2" t="s">
        <v>252</v>
      </c>
      <c r="D26" s="114">
        <v>2.23</v>
      </c>
      <c r="E26" s="114">
        <v>0.28999999999999998</v>
      </c>
      <c r="F26" s="114">
        <v>0.28000000000000003</v>
      </c>
      <c r="G26" s="114">
        <v>0.15</v>
      </c>
      <c r="H26" s="114">
        <v>0.19</v>
      </c>
      <c r="I26" s="114">
        <v>0.21</v>
      </c>
      <c r="J26" s="114">
        <v>0.18</v>
      </c>
      <c r="K26" s="114">
        <v>0.14000000000000001</v>
      </c>
      <c r="L26" s="114">
        <v>0.37</v>
      </c>
      <c r="M26" s="114">
        <v>0.18</v>
      </c>
      <c r="N26" s="114">
        <v>0.12</v>
      </c>
      <c r="O26" s="114">
        <v>0.68</v>
      </c>
      <c r="P26" s="114">
        <f t="shared" si="1"/>
        <v>5.0199999999999996</v>
      </c>
    </row>
    <row r="27" spans="1:16" x14ac:dyDescent="0.2">
      <c r="B27" s="2" t="s">
        <v>253</v>
      </c>
      <c r="D27" s="114">
        <v>18</v>
      </c>
      <c r="E27" s="114">
        <v>6.33</v>
      </c>
      <c r="F27" s="114">
        <v>9.82</v>
      </c>
      <c r="G27" s="114">
        <v>5.9</v>
      </c>
      <c r="H27" s="114">
        <v>8.18</v>
      </c>
      <c r="I27" s="114">
        <v>13.19</v>
      </c>
      <c r="J27" s="114">
        <v>6.33</v>
      </c>
      <c r="K27" s="114">
        <v>2.42</v>
      </c>
      <c r="L27" s="114">
        <v>11.24</v>
      </c>
      <c r="M27" s="114">
        <v>8.61</v>
      </c>
      <c r="N27" s="114">
        <v>7.27</v>
      </c>
      <c r="O27" s="114">
        <v>3</v>
      </c>
      <c r="P27" s="114">
        <f t="shared" si="1"/>
        <v>100.28999999999999</v>
      </c>
    </row>
    <row r="28" spans="1:16" x14ac:dyDescent="0.2">
      <c r="B28" s="2" t="s">
        <v>255</v>
      </c>
      <c r="D28" s="114">
        <v>67.069999999999993</v>
      </c>
      <c r="E28" s="114">
        <v>55.19</v>
      </c>
      <c r="F28" s="114">
        <v>61.52</v>
      </c>
      <c r="G28" s="114">
        <v>57.77</v>
      </c>
      <c r="H28" s="114">
        <v>133.85</v>
      </c>
      <c r="I28" s="114">
        <v>76.81</v>
      </c>
      <c r="J28" s="114">
        <v>36.08</v>
      </c>
      <c r="K28" s="114">
        <v>33.590000000000003</v>
      </c>
      <c r="L28" s="114">
        <v>80.489999999999995</v>
      </c>
      <c r="M28" s="114">
        <v>60.08</v>
      </c>
      <c r="N28" s="114">
        <v>65.33</v>
      </c>
      <c r="O28" s="114">
        <v>39.67</v>
      </c>
      <c r="P28" s="114">
        <f t="shared" si="1"/>
        <v>767.45</v>
      </c>
    </row>
    <row r="29" spans="1:16" x14ac:dyDescent="0.2">
      <c r="B29" s="2" t="s">
        <v>257</v>
      </c>
      <c r="D29" s="114">
        <v>0.18</v>
      </c>
      <c r="E29" s="114">
        <v>0.1</v>
      </c>
      <c r="F29" s="114">
        <v>0.12</v>
      </c>
      <c r="G29" s="114">
        <v>0.12</v>
      </c>
      <c r="H29" s="114">
        <v>0.25</v>
      </c>
      <c r="I29" s="114">
        <v>0.2</v>
      </c>
      <c r="J29" s="114">
        <v>0.08</v>
      </c>
      <c r="K29" s="114">
        <v>7.0000000000000007E-2</v>
      </c>
      <c r="L29" s="114">
        <v>0.11</v>
      </c>
      <c r="M29" s="114">
        <v>0.08</v>
      </c>
      <c r="N29" s="114">
        <v>0.08</v>
      </c>
      <c r="O29" s="114">
        <v>0.06</v>
      </c>
      <c r="P29" s="114">
        <f t="shared" si="1"/>
        <v>1.4500000000000004</v>
      </c>
    </row>
    <row r="30" spans="1:16" x14ac:dyDescent="0.2">
      <c r="B30" s="2" t="s">
        <v>259</v>
      </c>
      <c r="D30" s="114">
        <v>7</v>
      </c>
      <c r="E30" s="114">
        <v>4.71</v>
      </c>
      <c r="F30" s="114">
        <v>8.09</v>
      </c>
      <c r="G30" s="114">
        <v>4.04</v>
      </c>
      <c r="H30" s="114">
        <v>4</v>
      </c>
      <c r="I30" s="114">
        <v>3.89</v>
      </c>
      <c r="J30" s="114">
        <v>4.74</v>
      </c>
      <c r="K30" s="114">
        <v>3.11</v>
      </c>
      <c r="L30" s="114">
        <v>5.41</v>
      </c>
      <c r="M30" s="114">
        <v>6.52</v>
      </c>
      <c r="N30" s="114">
        <v>5.74</v>
      </c>
      <c r="O30" s="114">
        <v>3.81</v>
      </c>
      <c r="P30" s="114">
        <f t="shared" si="1"/>
        <v>61.059999999999995</v>
      </c>
    </row>
    <row r="31" spans="1:16" x14ac:dyDescent="0.2">
      <c r="D31" s="114"/>
      <c r="E31" s="114"/>
      <c r="F31" s="114"/>
      <c r="G31" s="114"/>
      <c r="H31" s="114"/>
      <c r="I31" s="114"/>
      <c r="J31" s="114"/>
      <c r="K31" s="114"/>
      <c r="L31" s="114"/>
      <c r="M31" s="114"/>
      <c r="N31" s="114"/>
      <c r="O31" s="114"/>
      <c r="P31" s="114"/>
    </row>
    <row r="32" spans="1:16" s="4" customFormat="1" ht="15" x14ac:dyDescent="0.25">
      <c r="A32" s="3" t="s">
        <v>46</v>
      </c>
      <c r="D32" s="19">
        <f t="shared" ref="D32:O32" si="2">SUM(D34:D38)</f>
        <v>20.959999999999997</v>
      </c>
      <c r="E32" s="19">
        <f t="shared" si="2"/>
        <v>2.29</v>
      </c>
      <c r="F32" s="19">
        <f t="shared" si="2"/>
        <v>5.26</v>
      </c>
      <c r="G32" s="19">
        <f t="shared" si="2"/>
        <v>0.58000000000000007</v>
      </c>
      <c r="H32" s="19">
        <f t="shared" si="2"/>
        <v>17.470000000000002</v>
      </c>
      <c r="I32" s="19">
        <f t="shared" si="2"/>
        <v>20.419999999999998</v>
      </c>
      <c r="J32" s="19">
        <f t="shared" si="2"/>
        <v>14.32</v>
      </c>
      <c r="K32" s="19">
        <f t="shared" si="2"/>
        <v>20.94</v>
      </c>
      <c r="L32" s="19">
        <f t="shared" si="2"/>
        <v>11.38</v>
      </c>
      <c r="M32" s="19">
        <f t="shared" si="2"/>
        <v>12.959999999999999</v>
      </c>
      <c r="N32" s="19">
        <f t="shared" si="2"/>
        <v>18.670000000000002</v>
      </c>
      <c r="O32" s="19">
        <f t="shared" si="2"/>
        <v>10.81</v>
      </c>
      <c r="P32" s="19">
        <f>SUM(D32:O32)</f>
        <v>156.06</v>
      </c>
    </row>
    <row r="33" spans="1:16" x14ac:dyDescent="0.2">
      <c r="D33" s="114"/>
      <c r="E33" s="114"/>
      <c r="F33" s="114"/>
      <c r="G33" s="114"/>
      <c r="H33" s="114"/>
      <c r="I33" s="114"/>
      <c r="J33" s="114"/>
      <c r="K33" s="114"/>
      <c r="L33" s="114"/>
      <c r="M33" s="114"/>
      <c r="N33" s="114"/>
      <c r="O33" s="114"/>
      <c r="P33" s="114"/>
    </row>
    <row r="34" spans="1:16" x14ac:dyDescent="0.2">
      <c r="B34" s="2" t="s">
        <v>261</v>
      </c>
      <c r="D34" s="114">
        <v>0.13</v>
      </c>
      <c r="E34" s="114">
        <v>0.12</v>
      </c>
      <c r="F34" s="114">
        <v>0.15</v>
      </c>
      <c r="G34" s="114">
        <v>0.04</v>
      </c>
      <c r="H34" s="114">
        <v>0.03</v>
      </c>
      <c r="I34" s="114">
        <v>0.02</v>
      </c>
      <c r="J34" s="114">
        <v>0.6</v>
      </c>
      <c r="K34" s="114">
        <v>0.03</v>
      </c>
      <c r="L34" s="114">
        <v>0.14000000000000001</v>
      </c>
      <c r="M34" s="114">
        <v>0.06</v>
      </c>
      <c r="N34" s="114">
        <v>0</v>
      </c>
      <c r="O34" s="114">
        <v>0.01</v>
      </c>
      <c r="P34" s="114">
        <f>SUM(D34:O34)</f>
        <v>1.3299999999999998</v>
      </c>
    </row>
    <row r="35" spans="1:16" x14ac:dyDescent="0.2">
      <c r="B35" s="2" t="s">
        <v>263</v>
      </c>
      <c r="D35" s="114">
        <v>20.65</v>
      </c>
      <c r="E35" s="114">
        <v>2.13</v>
      </c>
      <c r="F35" s="114">
        <v>5.0999999999999996</v>
      </c>
      <c r="G35" s="114">
        <v>0.47</v>
      </c>
      <c r="H35" s="114">
        <v>17.440000000000001</v>
      </c>
      <c r="I35" s="114">
        <v>20.09</v>
      </c>
      <c r="J35" s="114">
        <v>13.31</v>
      </c>
      <c r="K35" s="114">
        <v>20.82</v>
      </c>
      <c r="L35" s="114">
        <v>11.05</v>
      </c>
      <c r="M35" s="114">
        <v>12.87</v>
      </c>
      <c r="N35" s="114">
        <v>18.670000000000002</v>
      </c>
      <c r="O35" s="114">
        <v>10.71</v>
      </c>
      <c r="P35" s="114">
        <f>SUM(D35:O35)</f>
        <v>153.31</v>
      </c>
    </row>
    <row r="36" spans="1:16" x14ac:dyDescent="0.2">
      <c r="B36" s="2" t="s">
        <v>265</v>
      </c>
      <c r="D36" s="114">
        <v>0.18</v>
      </c>
      <c r="E36" s="114">
        <v>0.04</v>
      </c>
      <c r="F36" s="114">
        <v>0.01</v>
      </c>
      <c r="G36" s="114">
        <v>7.0000000000000007E-2</v>
      </c>
      <c r="H36" s="114">
        <v>0</v>
      </c>
      <c r="I36" s="114">
        <v>0.31</v>
      </c>
      <c r="J36" s="114">
        <v>0.21</v>
      </c>
      <c r="K36" s="114">
        <v>0.09</v>
      </c>
      <c r="L36" s="114">
        <v>0.19</v>
      </c>
      <c r="M36" s="114">
        <v>0.02</v>
      </c>
      <c r="N36" s="114">
        <v>0</v>
      </c>
      <c r="O36" s="114">
        <v>0.05</v>
      </c>
      <c r="P36" s="114">
        <f>SUM(D36:O36)</f>
        <v>1.1700000000000002</v>
      </c>
    </row>
    <row r="37" spans="1:16" x14ac:dyDescent="0.2">
      <c r="B37" s="2" t="s">
        <v>260</v>
      </c>
      <c r="D37" s="114">
        <v>0</v>
      </c>
      <c r="E37" s="114">
        <v>0</v>
      </c>
      <c r="F37" s="114">
        <v>0</v>
      </c>
      <c r="G37" s="114">
        <v>0</v>
      </c>
      <c r="H37" s="114">
        <v>0</v>
      </c>
      <c r="I37" s="114">
        <v>0</v>
      </c>
      <c r="J37" s="114">
        <v>0.2</v>
      </c>
      <c r="K37" s="114">
        <v>0</v>
      </c>
      <c r="L37" s="114">
        <v>0</v>
      </c>
      <c r="M37" s="114">
        <v>0</v>
      </c>
      <c r="N37" s="114">
        <v>0</v>
      </c>
      <c r="O37" s="114">
        <v>0</v>
      </c>
      <c r="P37" s="114">
        <f>SUM(D37:O37)</f>
        <v>0.2</v>
      </c>
    </row>
    <row r="38" spans="1:16" x14ac:dyDescent="0.2">
      <c r="B38" s="2" t="s">
        <v>266</v>
      </c>
      <c r="D38" s="114">
        <v>0</v>
      </c>
      <c r="E38" s="114">
        <v>0</v>
      </c>
      <c r="F38" s="114">
        <v>0</v>
      </c>
      <c r="G38" s="114">
        <v>0</v>
      </c>
      <c r="H38" s="114">
        <v>0</v>
      </c>
      <c r="I38" s="114">
        <v>0</v>
      </c>
      <c r="J38" s="114">
        <v>0</v>
      </c>
      <c r="K38" s="114">
        <v>0</v>
      </c>
      <c r="L38" s="114">
        <v>0</v>
      </c>
      <c r="M38" s="114">
        <v>0.01</v>
      </c>
      <c r="N38" s="114">
        <v>0</v>
      </c>
      <c r="O38" s="114">
        <v>0.04</v>
      </c>
      <c r="P38" s="114">
        <f>SUM(D38:O38)</f>
        <v>0.05</v>
      </c>
    </row>
    <row r="39" spans="1:16" x14ac:dyDescent="0.2">
      <c r="D39" s="114"/>
      <c r="E39" s="114"/>
      <c r="F39" s="114"/>
      <c r="G39" s="114"/>
      <c r="H39" s="114"/>
      <c r="I39" s="114"/>
      <c r="J39" s="114"/>
      <c r="K39" s="114"/>
      <c r="L39" s="114"/>
      <c r="M39" s="114"/>
      <c r="N39" s="114"/>
      <c r="O39" s="114"/>
      <c r="P39" s="114"/>
    </row>
    <row r="40" spans="1:16" s="4" customFormat="1" ht="15" x14ac:dyDescent="0.25">
      <c r="A40" s="3" t="s">
        <v>54</v>
      </c>
      <c r="D40" s="19">
        <f t="shared" ref="D40:O40" si="3">SUM(D42:D54)</f>
        <v>32.47</v>
      </c>
      <c r="E40" s="19">
        <f t="shared" si="3"/>
        <v>22.150000000000002</v>
      </c>
      <c r="F40" s="19">
        <f t="shared" si="3"/>
        <v>20.230000000000004</v>
      </c>
      <c r="G40" s="19">
        <f t="shared" si="3"/>
        <v>14.930000000000001</v>
      </c>
      <c r="H40" s="19">
        <f t="shared" si="3"/>
        <v>21.020000000000003</v>
      </c>
      <c r="I40" s="19">
        <f t="shared" si="3"/>
        <v>27.84</v>
      </c>
      <c r="J40" s="19">
        <f t="shared" si="3"/>
        <v>21.46</v>
      </c>
      <c r="K40" s="19">
        <f t="shared" si="3"/>
        <v>17.02</v>
      </c>
      <c r="L40" s="19">
        <f t="shared" si="3"/>
        <v>20.290000000000003</v>
      </c>
      <c r="M40" s="19">
        <f t="shared" si="3"/>
        <v>13.8</v>
      </c>
      <c r="N40" s="19">
        <f t="shared" si="3"/>
        <v>13.659999999999998</v>
      </c>
      <c r="O40" s="19">
        <f t="shared" si="3"/>
        <v>12.169999999999998</v>
      </c>
      <c r="P40" s="19">
        <f>SUM(D40:O40)</f>
        <v>237.04000000000002</v>
      </c>
    </row>
    <row r="41" spans="1:16" x14ac:dyDescent="0.2">
      <c r="D41" s="114"/>
      <c r="E41" s="114"/>
      <c r="F41" s="114"/>
      <c r="G41" s="114"/>
      <c r="H41" s="114"/>
      <c r="I41" s="114"/>
      <c r="J41" s="114"/>
      <c r="K41" s="114"/>
      <c r="L41" s="114"/>
      <c r="M41" s="114"/>
      <c r="N41" s="114"/>
      <c r="O41" s="114"/>
      <c r="P41" s="114"/>
    </row>
    <row r="42" spans="1:16" x14ac:dyDescent="0.2">
      <c r="B42" s="2" t="s">
        <v>268</v>
      </c>
      <c r="D42" s="114">
        <v>0.01</v>
      </c>
      <c r="E42" s="114">
        <v>0</v>
      </c>
      <c r="F42" s="114">
        <v>0</v>
      </c>
      <c r="G42" s="114">
        <v>0.01</v>
      </c>
      <c r="H42" s="114">
        <v>0.01</v>
      </c>
      <c r="I42" s="114">
        <v>0</v>
      </c>
      <c r="J42" s="114">
        <v>0</v>
      </c>
      <c r="K42" s="114">
        <v>0.01</v>
      </c>
      <c r="L42" s="114">
        <v>0</v>
      </c>
      <c r="M42" s="114">
        <v>0.01</v>
      </c>
      <c r="N42" s="114">
        <v>0</v>
      </c>
      <c r="O42" s="114">
        <v>0</v>
      </c>
      <c r="P42" s="114">
        <f t="shared" ref="P42:P54" si="4">SUM(D42:O42)</f>
        <v>0.05</v>
      </c>
    </row>
    <row r="43" spans="1:16" x14ac:dyDescent="0.2">
      <c r="B43" s="2" t="s">
        <v>814</v>
      </c>
      <c r="D43" s="114">
        <v>14.03</v>
      </c>
      <c r="E43" s="114">
        <v>7.32</v>
      </c>
      <c r="F43" s="114">
        <v>9.09</v>
      </c>
      <c r="G43" s="114">
        <v>7.44</v>
      </c>
      <c r="H43" s="114">
        <v>11.49</v>
      </c>
      <c r="I43" s="114">
        <v>8.9499999999999993</v>
      </c>
      <c r="J43" s="114">
        <v>8.19</v>
      </c>
      <c r="K43" s="114">
        <v>7.28</v>
      </c>
      <c r="L43" s="114">
        <v>11.59</v>
      </c>
      <c r="M43" s="114">
        <v>8.1999999999999993</v>
      </c>
      <c r="N43" s="114">
        <v>8.66</v>
      </c>
      <c r="O43" s="114">
        <v>6.43</v>
      </c>
      <c r="P43" s="114">
        <f t="shared" si="4"/>
        <v>108.67000000000002</v>
      </c>
    </row>
    <row r="44" spans="1:16" x14ac:dyDescent="0.2">
      <c r="B44" s="2" t="s">
        <v>270</v>
      </c>
      <c r="D44" s="114">
        <v>9.3699999999999992</v>
      </c>
      <c r="E44" s="114">
        <v>8.4499999999999993</v>
      </c>
      <c r="F44" s="114">
        <v>3.97</v>
      </c>
      <c r="G44" s="114">
        <v>2.5</v>
      </c>
      <c r="H44" s="114">
        <v>3.52</v>
      </c>
      <c r="I44" s="114">
        <v>5.61</v>
      </c>
      <c r="J44" s="114">
        <v>8</v>
      </c>
      <c r="K44" s="114">
        <v>3.33</v>
      </c>
      <c r="L44" s="114">
        <v>4.59</v>
      </c>
      <c r="M44" s="114">
        <v>2.78</v>
      </c>
      <c r="N44" s="114">
        <v>2.1800000000000002</v>
      </c>
      <c r="O44" s="114">
        <v>3.34</v>
      </c>
      <c r="P44" s="114">
        <f t="shared" si="4"/>
        <v>57.64</v>
      </c>
    </row>
    <row r="45" spans="1:16" x14ac:dyDescent="0.2">
      <c r="B45" s="2" t="s">
        <v>271</v>
      </c>
      <c r="D45" s="114">
        <v>1.1299999999999999</v>
      </c>
      <c r="E45" s="114">
        <v>1.03</v>
      </c>
      <c r="F45" s="114">
        <v>0.82</v>
      </c>
      <c r="G45" s="114">
        <v>0.65</v>
      </c>
      <c r="H45" s="114">
        <v>0.62</v>
      </c>
      <c r="I45" s="114">
        <v>0.52</v>
      </c>
      <c r="J45" s="114">
        <v>0.49</v>
      </c>
      <c r="K45" s="114">
        <v>0.31</v>
      </c>
      <c r="L45" s="114">
        <v>0.6</v>
      </c>
      <c r="M45" s="114">
        <v>0.31</v>
      </c>
      <c r="N45" s="114">
        <v>0.41</v>
      </c>
      <c r="O45" s="114">
        <v>0.46</v>
      </c>
      <c r="P45" s="114">
        <f t="shared" si="4"/>
        <v>7.3499999999999988</v>
      </c>
    </row>
    <row r="46" spans="1:16" x14ac:dyDescent="0.2">
      <c r="B46" s="2" t="s">
        <v>561</v>
      </c>
      <c r="D46" s="114">
        <v>0.03</v>
      </c>
      <c r="E46" s="114">
        <v>0.11</v>
      </c>
      <c r="F46" s="114">
        <v>0.1</v>
      </c>
      <c r="G46" s="114">
        <v>0.08</v>
      </c>
      <c r="H46" s="114">
        <v>0.18</v>
      </c>
      <c r="I46" s="114">
        <v>7.77</v>
      </c>
      <c r="J46" s="114">
        <v>0.03</v>
      </c>
      <c r="K46" s="114">
        <v>0</v>
      </c>
      <c r="L46" s="114">
        <v>0.02</v>
      </c>
      <c r="M46" s="114">
        <v>0.02</v>
      </c>
      <c r="N46" s="114">
        <v>0.03</v>
      </c>
      <c r="O46" s="114">
        <v>0.02</v>
      </c>
      <c r="P46" s="114">
        <f t="shared" si="4"/>
        <v>8.389999999999997</v>
      </c>
    </row>
    <row r="47" spans="1:16" x14ac:dyDescent="0.2">
      <c r="B47" s="2" t="s">
        <v>272</v>
      </c>
      <c r="D47" s="114">
        <v>0.19</v>
      </c>
      <c r="E47" s="114">
        <v>0.11</v>
      </c>
      <c r="F47" s="114">
        <v>0.09</v>
      </c>
      <c r="G47" s="114">
        <v>7.0000000000000007E-2</v>
      </c>
      <c r="H47" s="114">
        <v>0.09</v>
      </c>
      <c r="I47" s="114">
        <v>0.19</v>
      </c>
      <c r="J47" s="114">
        <v>0.19</v>
      </c>
      <c r="K47" s="114">
        <v>0.08</v>
      </c>
      <c r="L47" s="114">
        <v>0.14000000000000001</v>
      </c>
      <c r="M47" s="114">
        <v>0.13</v>
      </c>
      <c r="N47" s="114">
        <v>0.19</v>
      </c>
      <c r="O47" s="114">
        <v>0.09</v>
      </c>
      <c r="P47" s="114">
        <f t="shared" si="4"/>
        <v>1.5599999999999998</v>
      </c>
    </row>
    <row r="48" spans="1:16" x14ac:dyDescent="0.2">
      <c r="B48" s="2" t="s">
        <v>273</v>
      </c>
      <c r="D48" s="114">
        <v>0.01</v>
      </c>
      <c r="E48" s="114">
        <v>0.01</v>
      </c>
      <c r="F48" s="114">
        <v>0.02</v>
      </c>
      <c r="G48" s="114">
        <v>0.01</v>
      </c>
      <c r="H48" s="114">
        <v>0.02</v>
      </c>
      <c r="I48" s="114">
        <v>0.04</v>
      </c>
      <c r="J48" s="114">
        <v>0.01</v>
      </c>
      <c r="K48" s="114">
        <v>0</v>
      </c>
      <c r="L48" s="114">
        <v>0.01</v>
      </c>
      <c r="M48" s="114">
        <v>0.02</v>
      </c>
      <c r="N48" s="114">
        <v>0.01</v>
      </c>
      <c r="O48" s="114">
        <v>0.01</v>
      </c>
      <c r="P48" s="114">
        <f t="shared" si="4"/>
        <v>0.17</v>
      </c>
    </row>
    <row r="49" spans="1:16" x14ac:dyDescent="0.2">
      <c r="B49" s="2" t="s">
        <v>267</v>
      </c>
      <c r="D49" s="114">
        <v>3.59</v>
      </c>
      <c r="E49" s="114">
        <v>2.9</v>
      </c>
      <c r="F49" s="114">
        <v>3.28</v>
      </c>
      <c r="G49" s="114">
        <v>1.63</v>
      </c>
      <c r="H49" s="114">
        <v>2.08</v>
      </c>
      <c r="I49" s="114">
        <v>2.11</v>
      </c>
      <c r="J49" s="114">
        <v>2.2999999999999998</v>
      </c>
      <c r="K49" s="114">
        <v>3.63</v>
      </c>
      <c r="L49" s="114">
        <v>2.5499999999999998</v>
      </c>
      <c r="M49" s="114">
        <v>2.0499999999999998</v>
      </c>
      <c r="N49" s="114">
        <v>1.64</v>
      </c>
      <c r="O49" s="114">
        <v>1.35</v>
      </c>
      <c r="P49" s="114">
        <f t="shared" si="4"/>
        <v>29.11</v>
      </c>
    </row>
    <row r="50" spans="1:16" x14ac:dyDescent="0.2">
      <c r="B50" s="2" t="s">
        <v>274</v>
      </c>
      <c r="D50" s="114">
        <v>0</v>
      </c>
      <c r="E50" s="114">
        <v>0.01</v>
      </c>
      <c r="F50" s="114">
        <v>0</v>
      </c>
      <c r="G50" s="114">
        <v>0</v>
      </c>
      <c r="H50" s="114">
        <v>0.03</v>
      </c>
      <c r="I50" s="114">
        <v>0.02</v>
      </c>
      <c r="J50" s="114">
        <v>7.0000000000000007E-2</v>
      </c>
      <c r="K50" s="114">
        <v>0</v>
      </c>
      <c r="L50" s="114">
        <v>0.05</v>
      </c>
      <c r="M50" s="114">
        <v>0.13</v>
      </c>
      <c r="N50" s="114">
        <v>0.04</v>
      </c>
      <c r="O50" s="114">
        <v>0.02</v>
      </c>
      <c r="P50" s="114">
        <f t="shared" si="4"/>
        <v>0.37</v>
      </c>
    </row>
    <row r="51" spans="1:16" x14ac:dyDescent="0.2">
      <c r="B51" s="2" t="s">
        <v>275</v>
      </c>
      <c r="D51" s="114">
        <v>0.38</v>
      </c>
      <c r="E51" s="114">
        <v>0.11</v>
      </c>
      <c r="F51" s="114">
        <v>0.28000000000000003</v>
      </c>
      <c r="G51" s="114">
        <v>0.14000000000000001</v>
      </c>
      <c r="H51" s="114">
        <v>0.2</v>
      </c>
      <c r="I51" s="114">
        <v>0.17</v>
      </c>
      <c r="J51" s="114">
        <v>0.14000000000000001</v>
      </c>
      <c r="K51" s="114">
        <v>0.15</v>
      </c>
      <c r="L51" s="114">
        <v>0.08</v>
      </c>
      <c r="M51" s="114">
        <v>7.0000000000000007E-2</v>
      </c>
      <c r="N51" s="114">
        <v>0.09</v>
      </c>
      <c r="O51" s="114">
        <v>0.08</v>
      </c>
      <c r="P51" s="114">
        <f t="shared" si="4"/>
        <v>1.8900000000000001</v>
      </c>
    </row>
    <row r="52" spans="1:16" x14ac:dyDescent="0.2">
      <c r="B52" s="2" t="s">
        <v>562</v>
      </c>
      <c r="D52" s="114">
        <v>0</v>
      </c>
      <c r="E52" s="114">
        <v>0</v>
      </c>
      <c r="F52" s="114">
        <v>0</v>
      </c>
      <c r="G52" s="114">
        <v>0</v>
      </c>
      <c r="H52" s="114">
        <v>0.03</v>
      </c>
      <c r="I52" s="114">
        <v>0</v>
      </c>
      <c r="J52" s="114">
        <v>0</v>
      </c>
      <c r="K52" s="114">
        <v>0</v>
      </c>
      <c r="L52" s="114">
        <v>0</v>
      </c>
      <c r="M52" s="114">
        <v>0</v>
      </c>
      <c r="N52" s="114">
        <v>0</v>
      </c>
      <c r="O52" s="114">
        <v>0</v>
      </c>
      <c r="P52" s="114">
        <f t="shared" si="4"/>
        <v>0.03</v>
      </c>
    </row>
    <row r="53" spans="1:16" x14ac:dyDescent="0.2">
      <c r="B53" s="2" t="s">
        <v>278</v>
      </c>
      <c r="D53" s="114">
        <v>0</v>
      </c>
      <c r="E53" s="114">
        <v>0</v>
      </c>
      <c r="F53" s="114">
        <v>0</v>
      </c>
      <c r="G53" s="114">
        <v>0</v>
      </c>
      <c r="H53" s="114">
        <v>0.01</v>
      </c>
      <c r="I53" s="114">
        <v>0</v>
      </c>
      <c r="J53" s="114">
        <v>0</v>
      </c>
      <c r="K53" s="114">
        <v>0</v>
      </c>
      <c r="L53" s="114">
        <v>0</v>
      </c>
      <c r="M53" s="114">
        <v>0.01</v>
      </c>
      <c r="N53" s="114">
        <v>0</v>
      </c>
      <c r="O53" s="114">
        <v>0</v>
      </c>
      <c r="P53" s="114">
        <f t="shared" si="4"/>
        <v>0.02</v>
      </c>
    </row>
    <row r="54" spans="1:16" x14ac:dyDescent="0.2">
      <c r="B54" s="2" t="s">
        <v>813</v>
      </c>
      <c r="D54" s="114">
        <v>3.73</v>
      </c>
      <c r="E54" s="114">
        <v>2.1</v>
      </c>
      <c r="F54" s="114">
        <v>2.58</v>
      </c>
      <c r="G54" s="114">
        <v>2.4</v>
      </c>
      <c r="H54" s="114">
        <v>2.74</v>
      </c>
      <c r="I54" s="114">
        <v>2.46</v>
      </c>
      <c r="J54" s="114">
        <v>2.04</v>
      </c>
      <c r="K54" s="114">
        <v>2.23</v>
      </c>
      <c r="L54" s="114">
        <v>0.66</v>
      </c>
      <c r="M54" s="114">
        <v>7.0000000000000007E-2</v>
      </c>
      <c r="N54" s="114">
        <v>0.41</v>
      </c>
      <c r="O54" s="114">
        <v>0.37</v>
      </c>
      <c r="P54" s="114">
        <f t="shared" si="4"/>
        <v>21.790000000000003</v>
      </c>
    </row>
    <row r="55" spans="1:16" x14ac:dyDescent="0.2">
      <c r="D55" s="114"/>
      <c r="E55" s="114"/>
      <c r="F55" s="114"/>
      <c r="G55" s="114"/>
      <c r="H55" s="114"/>
      <c r="I55" s="114"/>
      <c r="J55" s="114"/>
      <c r="K55" s="114"/>
      <c r="L55" s="114"/>
      <c r="M55" s="114"/>
      <c r="N55" s="114"/>
      <c r="O55" s="114"/>
      <c r="P55" s="114"/>
    </row>
    <row r="56" spans="1:16" s="4" customFormat="1" ht="15" x14ac:dyDescent="0.25">
      <c r="A56" s="3" t="s">
        <v>69</v>
      </c>
      <c r="D56" s="19">
        <f>SUM(D58:D58)</f>
        <v>0.01</v>
      </c>
      <c r="E56" s="19">
        <v>0</v>
      </c>
      <c r="F56" s="19">
        <v>0</v>
      </c>
      <c r="G56" s="19">
        <v>0</v>
      </c>
      <c r="H56" s="19">
        <v>0</v>
      </c>
      <c r="I56" s="19">
        <v>0</v>
      </c>
      <c r="J56" s="19">
        <f>SUM(J58:J58)</f>
        <v>0.01</v>
      </c>
      <c r="K56" s="19">
        <v>0</v>
      </c>
      <c r="L56" s="19">
        <v>0</v>
      </c>
      <c r="M56" s="19">
        <v>0</v>
      </c>
      <c r="N56" s="19">
        <v>0</v>
      </c>
      <c r="O56" s="19">
        <f>SUM(O58:O58)</f>
        <v>0.01</v>
      </c>
      <c r="P56" s="19">
        <f>SUM(D56:O56)</f>
        <v>0.03</v>
      </c>
    </row>
    <row r="57" spans="1:16" ht="15" x14ac:dyDescent="0.25">
      <c r="A57" s="1"/>
      <c r="D57" s="114" t="s">
        <v>6</v>
      </c>
      <c r="E57" s="114" t="s">
        <v>6</v>
      </c>
      <c r="F57" s="114" t="s">
        <v>6</v>
      </c>
      <c r="G57" s="114" t="s">
        <v>6</v>
      </c>
      <c r="H57" s="114" t="s">
        <v>6</v>
      </c>
      <c r="I57" s="114" t="s">
        <v>6</v>
      </c>
      <c r="J57" s="114" t="s">
        <v>6</v>
      </c>
      <c r="K57" s="114" t="s">
        <v>6</v>
      </c>
      <c r="L57" s="114" t="s">
        <v>6</v>
      </c>
      <c r="M57" s="114" t="s">
        <v>6</v>
      </c>
      <c r="N57" s="114" t="s">
        <v>6</v>
      </c>
      <c r="O57" s="114" t="s">
        <v>6</v>
      </c>
      <c r="P57" s="175"/>
    </row>
    <row r="58" spans="1:16" x14ac:dyDescent="0.2">
      <c r="B58" s="2" t="s">
        <v>281</v>
      </c>
      <c r="D58" s="114">
        <v>0.01</v>
      </c>
      <c r="E58" s="114">
        <v>0</v>
      </c>
      <c r="F58" s="114">
        <v>0</v>
      </c>
      <c r="G58" s="114">
        <v>0</v>
      </c>
      <c r="H58" s="114">
        <v>0</v>
      </c>
      <c r="I58" s="114">
        <v>0</v>
      </c>
      <c r="J58" s="114">
        <v>0.01</v>
      </c>
      <c r="K58" s="114">
        <v>0</v>
      </c>
      <c r="L58" s="114">
        <v>0</v>
      </c>
      <c r="M58" s="114">
        <v>0</v>
      </c>
      <c r="N58" s="114">
        <v>0</v>
      </c>
      <c r="O58" s="114">
        <v>0.01</v>
      </c>
      <c r="P58" s="114">
        <f>SUM(D58:O58)</f>
        <v>0.03</v>
      </c>
    </row>
    <row r="59" spans="1:16" x14ac:dyDescent="0.2">
      <c r="D59" s="114" t="s">
        <v>6</v>
      </c>
      <c r="E59" s="114" t="s">
        <v>6</v>
      </c>
      <c r="F59" s="114" t="s">
        <v>6</v>
      </c>
      <c r="G59" s="114" t="s">
        <v>6</v>
      </c>
      <c r="H59" s="114" t="s">
        <v>6</v>
      </c>
      <c r="I59" s="114" t="s">
        <v>6</v>
      </c>
      <c r="J59" s="114" t="s">
        <v>6</v>
      </c>
      <c r="K59" s="114" t="s">
        <v>6</v>
      </c>
      <c r="L59" s="114" t="s">
        <v>6</v>
      </c>
      <c r="M59" s="114" t="s">
        <v>6</v>
      </c>
      <c r="N59" s="114" t="s">
        <v>6</v>
      </c>
      <c r="O59" s="114" t="s">
        <v>6</v>
      </c>
      <c r="P59" s="114"/>
    </row>
    <row r="60" spans="1:16" s="4" customFormat="1" ht="15" x14ac:dyDescent="0.25">
      <c r="A60" s="3" t="s">
        <v>71</v>
      </c>
      <c r="D60" s="19">
        <f t="shared" ref="D60:O60" si="5">SUM(D62:D63)</f>
        <v>18.860000000000003</v>
      </c>
      <c r="E60" s="19">
        <f t="shared" si="5"/>
        <v>9.0299999999999994</v>
      </c>
      <c r="F60" s="19">
        <f t="shared" si="5"/>
        <v>8.69</v>
      </c>
      <c r="G60" s="19">
        <f t="shared" si="5"/>
        <v>13.24</v>
      </c>
      <c r="H60" s="19">
        <f t="shared" si="5"/>
        <v>13.78</v>
      </c>
      <c r="I60" s="19">
        <f t="shared" si="5"/>
        <v>13.02</v>
      </c>
      <c r="J60" s="19">
        <f t="shared" si="5"/>
        <v>10.29</v>
      </c>
      <c r="K60" s="19">
        <f t="shared" si="5"/>
        <v>11.2</v>
      </c>
      <c r="L60" s="19">
        <f t="shared" si="5"/>
        <v>11.88</v>
      </c>
      <c r="M60" s="19">
        <f t="shared" si="5"/>
        <v>7.87</v>
      </c>
      <c r="N60" s="19">
        <f t="shared" si="5"/>
        <v>9.39</v>
      </c>
      <c r="O60" s="19">
        <f t="shared" si="5"/>
        <v>7.87</v>
      </c>
      <c r="P60" s="19">
        <f>SUM(D60:O60)</f>
        <v>135.12</v>
      </c>
    </row>
    <row r="61" spans="1:16" x14ac:dyDescent="0.2">
      <c r="D61" s="114" t="s">
        <v>6</v>
      </c>
      <c r="E61" s="114" t="s">
        <v>6</v>
      </c>
      <c r="F61" s="114" t="s">
        <v>6</v>
      </c>
      <c r="G61" s="114" t="s">
        <v>6</v>
      </c>
      <c r="H61" s="114" t="s">
        <v>6</v>
      </c>
      <c r="I61" s="114" t="s">
        <v>6</v>
      </c>
      <c r="J61" s="114" t="s">
        <v>6</v>
      </c>
      <c r="K61" s="114" t="s">
        <v>6</v>
      </c>
      <c r="L61" s="114" t="s">
        <v>6</v>
      </c>
      <c r="M61" s="114" t="s">
        <v>6</v>
      </c>
      <c r="N61" s="114" t="s">
        <v>6</v>
      </c>
      <c r="O61" s="114" t="s">
        <v>6</v>
      </c>
      <c r="P61" s="114" t="s">
        <v>6</v>
      </c>
    </row>
    <row r="62" spans="1:16" x14ac:dyDescent="0.2">
      <c r="B62" s="2" t="s">
        <v>282</v>
      </c>
      <c r="D62" s="114">
        <v>18.850000000000001</v>
      </c>
      <c r="E62" s="114">
        <v>9</v>
      </c>
      <c r="F62" s="114">
        <v>8.67</v>
      </c>
      <c r="G62" s="114">
        <v>13.23</v>
      </c>
      <c r="H62" s="114">
        <v>13.77</v>
      </c>
      <c r="I62" s="114">
        <v>13.01</v>
      </c>
      <c r="J62" s="114">
        <v>10.27</v>
      </c>
      <c r="K62" s="114">
        <v>11.2</v>
      </c>
      <c r="L62" s="114">
        <v>11.88</v>
      </c>
      <c r="M62" s="114">
        <v>7.87</v>
      </c>
      <c r="N62" s="114">
        <v>9.3800000000000008</v>
      </c>
      <c r="O62" s="114">
        <v>7.87</v>
      </c>
      <c r="P62" s="114">
        <f>SUM(D62:O62)</f>
        <v>135</v>
      </c>
    </row>
    <row r="63" spans="1:16" x14ac:dyDescent="0.2">
      <c r="B63" s="2" t="s">
        <v>285</v>
      </c>
      <c r="D63" s="114">
        <v>0.01</v>
      </c>
      <c r="E63" s="114">
        <v>0.03</v>
      </c>
      <c r="F63" s="114">
        <v>0.02</v>
      </c>
      <c r="G63" s="114">
        <v>0.01</v>
      </c>
      <c r="H63" s="114">
        <v>0.01</v>
      </c>
      <c r="I63" s="114">
        <v>0.01</v>
      </c>
      <c r="J63" s="114">
        <v>0.02</v>
      </c>
      <c r="K63" s="114">
        <v>0</v>
      </c>
      <c r="L63" s="114">
        <v>0</v>
      </c>
      <c r="M63" s="114">
        <v>0</v>
      </c>
      <c r="N63" s="114">
        <v>0.01</v>
      </c>
      <c r="O63" s="114">
        <v>0</v>
      </c>
      <c r="P63" s="114">
        <f>SUM(D63:O63)</f>
        <v>0.11999999999999998</v>
      </c>
    </row>
    <row r="64" spans="1:16" x14ac:dyDescent="0.2">
      <c r="D64" s="114" t="s">
        <v>6</v>
      </c>
      <c r="E64" s="114" t="s">
        <v>6</v>
      </c>
      <c r="F64" s="114" t="s">
        <v>6</v>
      </c>
      <c r="G64" s="114" t="s">
        <v>6</v>
      </c>
      <c r="H64" s="114" t="s">
        <v>6</v>
      </c>
      <c r="I64" s="114" t="s">
        <v>6</v>
      </c>
      <c r="J64" s="114" t="s">
        <v>6</v>
      </c>
      <c r="K64" s="114" t="s">
        <v>6</v>
      </c>
      <c r="L64" s="114" t="s">
        <v>6</v>
      </c>
      <c r="M64" s="114" t="s">
        <v>6</v>
      </c>
      <c r="N64" s="114" t="s">
        <v>6</v>
      </c>
      <c r="O64" s="114" t="s">
        <v>6</v>
      </c>
      <c r="P64" s="114"/>
    </row>
    <row r="65" spans="1:16" s="4" customFormat="1" ht="15" x14ac:dyDescent="0.25">
      <c r="A65" s="3" t="s">
        <v>75</v>
      </c>
      <c r="D65" s="19">
        <f t="shared" ref="D65:L65" si="6">SUM(D67:D67)</f>
        <v>0.17</v>
      </c>
      <c r="E65" s="19">
        <f t="shared" si="6"/>
        <v>0.03</v>
      </c>
      <c r="F65" s="19">
        <f t="shared" si="6"/>
        <v>0.1</v>
      </c>
      <c r="G65" s="19">
        <f t="shared" si="6"/>
        <v>0.05</v>
      </c>
      <c r="H65" s="19">
        <f t="shared" si="6"/>
        <v>0.18</v>
      </c>
      <c r="I65" s="19">
        <f t="shared" si="6"/>
        <v>0.01</v>
      </c>
      <c r="J65" s="19">
        <f t="shared" si="6"/>
        <v>0.04</v>
      </c>
      <c r="K65" s="19">
        <f t="shared" si="6"/>
        <v>0.06</v>
      </c>
      <c r="L65" s="19">
        <f t="shared" si="6"/>
        <v>0.47</v>
      </c>
      <c r="M65" s="19">
        <v>0</v>
      </c>
      <c r="N65" s="19">
        <v>0</v>
      </c>
      <c r="O65" s="19">
        <f>SUM(O67:O67)</f>
        <v>0.01</v>
      </c>
      <c r="P65" s="19">
        <f>SUM(D65:O65)</f>
        <v>1.1200000000000001</v>
      </c>
    </row>
    <row r="66" spans="1:16" x14ac:dyDescent="0.2">
      <c r="D66" s="114" t="s">
        <v>6</v>
      </c>
      <c r="E66" s="114" t="s">
        <v>6</v>
      </c>
      <c r="F66" s="114" t="s">
        <v>6</v>
      </c>
      <c r="G66" s="114" t="s">
        <v>6</v>
      </c>
      <c r="H66" s="114" t="s">
        <v>6</v>
      </c>
      <c r="I66" s="114" t="s">
        <v>6</v>
      </c>
      <c r="J66" s="114" t="s">
        <v>6</v>
      </c>
      <c r="K66" s="114" t="s">
        <v>6</v>
      </c>
      <c r="L66" s="114" t="s">
        <v>6</v>
      </c>
      <c r="M66" s="114" t="s">
        <v>6</v>
      </c>
      <c r="N66" s="114" t="s">
        <v>6</v>
      </c>
      <c r="O66" s="114" t="s">
        <v>6</v>
      </c>
      <c r="P66" s="114"/>
    </row>
    <row r="67" spans="1:16" x14ac:dyDescent="0.2">
      <c r="B67" s="2" t="s">
        <v>287</v>
      </c>
      <c r="D67" s="114">
        <v>0.17</v>
      </c>
      <c r="E67" s="114">
        <v>0.03</v>
      </c>
      <c r="F67" s="114">
        <v>0.1</v>
      </c>
      <c r="G67" s="114">
        <v>0.05</v>
      </c>
      <c r="H67" s="114">
        <v>0.18</v>
      </c>
      <c r="I67" s="114">
        <v>0.01</v>
      </c>
      <c r="J67" s="114">
        <v>0.04</v>
      </c>
      <c r="K67" s="114">
        <v>0.06</v>
      </c>
      <c r="L67" s="114">
        <v>0.47</v>
      </c>
      <c r="M67" s="114">
        <v>0</v>
      </c>
      <c r="N67" s="114">
        <v>0</v>
      </c>
      <c r="O67" s="114">
        <v>0.01</v>
      </c>
      <c r="P67" s="114">
        <f>SUM(D67:O67)</f>
        <v>1.1200000000000001</v>
      </c>
    </row>
    <row r="68" spans="1:16" x14ac:dyDescent="0.2">
      <c r="D68" s="114"/>
      <c r="E68" s="114"/>
      <c r="F68" s="114"/>
      <c r="G68" s="114"/>
      <c r="H68" s="114"/>
      <c r="I68" s="114"/>
      <c r="J68" s="114"/>
      <c r="K68" s="114"/>
      <c r="L68" s="114"/>
      <c r="M68" s="114"/>
      <c r="N68" s="114"/>
      <c r="O68" s="114"/>
      <c r="P68" s="114"/>
    </row>
    <row r="69" spans="1:16" s="4" customFormat="1" ht="15" x14ac:dyDescent="0.25">
      <c r="A69" s="3" t="s">
        <v>569</v>
      </c>
      <c r="D69" s="19">
        <f t="shared" ref="D69:O69" si="7">SUM(D71:D78)</f>
        <v>28.9</v>
      </c>
      <c r="E69" s="19">
        <f t="shared" si="7"/>
        <v>33.65</v>
      </c>
      <c r="F69" s="19">
        <f t="shared" si="7"/>
        <v>43.93</v>
      </c>
      <c r="G69" s="19">
        <f t="shared" si="7"/>
        <v>41.73</v>
      </c>
      <c r="H69" s="19">
        <f t="shared" si="7"/>
        <v>42.81</v>
      </c>
      <c r="I69" s="19">
        <f t="shared" si="7"/>
        <v>57.4</v>
      </c>
      <c r="J69" s="19">
        <f t="shared" si="7"/>
        <v>50.760000000000005</v>
      </c>
      <c r="K69" s="19">
        <f t="shared" si="7"/>
        <v>38.57</v>
      </c>
      <c r="L69" s="19">
        <f t="shared" si="7"/>
        <v>54.949999999999996</v>
      </c>
      <c r="M69" s="19">
        <f t="shared" si="7"/>
        <v>38.26</v>
      </c>
      <c r="N69" s="19">
        <f t="shared" si="7"/>
        <v>27.859999999999996</v>
      </c>
      <c r="O69" s="19">
        <f t="shared" si="7"/>
        <v>36.909999999999997</v>
      </c>
      <c r="P69" s="19">
        <f>SUM(D69:O69)</f>
        <v>495.73</v>
      </c>
    </row>
    <row r="70" spans="1:16" x14ac:dyDescent="0.2">
      <c r="D70" s="114"/>
      <c r="E70" s="114"/>
      <c r="F70" s="114"/>
      <c r="G70" s="114"/>
      <c r="H70" s="114"/>
      <c r="I70" s="114"/>
      <c r="J70" s="114"/>
      <c r="K70" s="114"/>
      <c r="L70" s="114"/>
      <c r="M70" s="114"/>
      <c r="N70" s="114"/>
      <c r="O70" s="114"/>
      <c r="P70" s="114"/>
    </row>
    <row r="71" spans="1:16" x14ac:dyDescent="0.2">
      <c r="B71" s="2" t="s">
        <v>288</v>
      </c>
      <c r="D71" s="114">
        <v>17.29</v>
      </c>
      <c r="E71" s="114">
        <v>16.79</v>
      </c>
      <c r="F71" s="114">
        <v>27.11</v>
      </c>
      <c r="G71" s="114">
        <v>22.35</v>
      </c>
      <c r="H71" s="114">
        <v>25.38</v>
      </c>
      <c r="I71" s="114">
        <v>24.62</v>
      </c>
      <c r="J71" s="114">
        <v>22.73</v>
      </c>
      <c r="K71" s="114">
        <v>20.92</v>
      </c>
      <c r="L71" s="114">
        <v>26.57</v>
      </c>
      <c r="M71" s="114">
        <v>17.16</v>
      </c>
      <c r="N71" s="114">
        <v>15.7</v>
      </c>
      <c r="O71" s="114">
        <v>10.93</v>
      </c>
      <c r="P71" s="114">
        <f t="shared" ref="P71:P78" si="8">SUM(D71:O71)</f>
        <v>247.54999999999998</v>
      </c>
    </row>
    <row r="72" spans="1:16" x14ac:dyDescent="0.2">
      <c r="B72" s="2" t="s">
        <v>289</v>
      </c>
      <c r="D72" s="114">
        <v>0.01</v>
      </c>
      <c r="E72" s="114">
        <v>0.01</v>
      </c>
      <c r="F72" s="114">
        <v>0.13</v>
      </c>
      <c r="G72" s="114">
        <v>0.01</v>
      </c>
      <c r="H72" s="114">
        <v>0.15</v>
      </c>
      <c r="I72" s="114">
        <v>0.01</v>
      </c>
      <c r="J72" s="114">
        <v>0.02</v>
      </c>
      <c r="K72" s="114">
        <v>0.01</v>
      </c>
      <c r="L72" s="114">
        <v>0.01</v>
      </c>
      <c r="M72" s="114">
        <v>0.01</v>
      </c>
      <c r="N72" s="114">
        <v>0.01</v>
      </c>
      <c r="O72" s="114">
        <v>0</v>
      </c>
      <c r="P72" s="114">
        <f t="shared" si="8"/>
        <v>0.38000000000000006</v>
      </c>
    </row>
    <row r="73" spans="1:16" x14ac:dyDescent="0.2">
      <c r="B73" s="2" t="s">
        <v>291</v>
      </c>
      <c r="D73" s="114">
        <v>2.94</v>
      </c>
      <c r="E73" s="114">
        <v>3.44</v>
      </c>
      <c r="F73" s="114">
        <v>2.85</v>
      </c>
      <c r="G73" s="114">
        <v>2.84</v>
      </c>
      <c r="H73" s="114">
        <v>2.42</v>
      </c>
      <c r="I73" s="114">
        <v>2.77</v>
      </c>
      <c r="J73" s="114">
        <v>2.5499999999999998</v>
      </c>
      <c r="K73" s="114">
        <v>2.88</v>
      </c>
      <c r="L73" s="114">
        <v>4.47</v>
      </c>
      <c r="M73" s="114">
        <v>3</v>
      </c>
      <c r="N73" s="114">
        <v>2.82</v>
      </c>
      <c r="O73" s="114">
        <v>2.4900000000000002</v>
      </c>
      <c r="P73" s="114">
        <f t="shared" si="8"/>
        <v>35.47</v>
      </c>
    </row>
    <row r="74" spans="1:16" x14ac:dyDescent="0.2">
      <c r="B74" s="2" t="s">
        <v>290</v>
      </c>
      <c r="D74" s="114">
        <v>0.16</v>
      </c>
      <c r="E74" s="114">
        <v>0.2</v>
      </c>
      <c r="F74" s="114">
        <v>0.2</v>
      </c>
      <c r="G74" s="114">
        <v>0.47</v>
      </c>
      <c r="H74" s="114">
        <v>0.13</v>
      </c>
      <c r="I74" s="114">
        <v>7.0000000000000007E-2</v>
      </c>
      <c r="J74" s="114">
        <v>0.11</v>
      </c>
      <c r="K74" s="114">
        <v>0.2</v>
      </c>
      <c r="L74" s="114">
        <v>0.14000000000000001</v>
      </c>
      <c r="M74" s="114">
        <v>0.14000000000000001</v>
      </c>
      <c r="N74" s="114">
        <v>0.14000000000000001</v>
      </c>
      <c r="O74" s="114">
        <v>0.03</v>
      </c>
      <c r="P74" s="114">
        <f t="shared" si="8"/>
        <v>1.9900000000000004</v>
      </c>
    </row>
    <row r="75" spans="1:16" x14ac:dyDescent="0.2">
      <c r="B75" s="2" t="s">
        <v>292</v>
      </c>
      <c r="D75" s="114">
        <v>0.4</v>
      </c>
      <c r="E75" s="114">
        <v>4.7</v>
      </c>
      <c r="F75" s="114">
        <v>1.64</v>
      </c>
      <c r="G75" s="114">
        <v>0.11</v>
      </c>
      <c r="H75" s="114">
        <v>2.48</v>
      </c>
      <c r="I75" s="114">
        <v>0.59</v>
      </c>
      <c r="J75" s="114">
        <v>0.59</v>
      </c>
      <c r="K75" s="114">
        <v>0.39</v>
      </c>
      <c r="L75" s="114">
        <v>0.89</v>
      </c>
      <c r="M75" s="114">
        <v>0.21</v>
      </c>
      <c r="N75" s="114">
        <v>0.46</v>
      </c>
      <c r="O75" s="114">
        <v>6.52</v>
      </c>
      <c r="P75" s="114">
        <f t="shared" si="8"/>
        <v>18.980000000000004</v>
      </c>
    </row>
    <row r="76" spans="1:16" x14ac:dyDescent="0.2">
      <c r="B76" s="2" t="s">
        <v>293</v>
      </c>
      <c r="D76" s="114">
        <v>5.93</v>
      </c>
      <c r="E76" s="114">
        <v>7.26</v>
      </c>
      <c r="F76" s="114">
        <v>10.47</v>
      </c>
      <c r="G76" s="114">
        <v>14.94</v>
      </c>
      <c r="H76" s="114">
        <v>10.52</v>
      </c>
      <c r="I76" s="114">
        <v>28.27</v>
      </c>
      <c r="J76" s="114">
        <v>23.2</v>
      </c>
      <c r="K76" s="114">
        <v>13.17</v>
      </c>
      <c r="L76" s="114">
        <v>21.28</v>
      </c>
      <c r="M76" s="114">
        <v>16.62</v>
      </c>
      <c r="N76" s="114">
        <v>7.68</v>
      </c>
      <c r="O76" s="114">
        <v>15.87</v>
      </c>
      <c r="P76" s="114">
        <f t="shared" si="8"/>
        <v>175.21000000000004</v>
      </c>
    </row>
    <row r="77" spans="1:16" x14ac:dyDescent="0.2">
      <c r="B77" s="2" t="s">
        <v>294</v>
      </c>
      <c r="D77" s="114">
        <v>1.31</v>
      </c>
      <c r="E77" s="114">
        <v>0.69</v>
      </c>
      <c r="F77" s="114">
        <v>0.92</v>
      </c>
      <c r="G77" s="114">
        <v>0.6</v>
      </c>
      <c r="H77" s="114">
        <v>0.77</v>
      </c>
      <c r="I77" s="114">
        <v>0.67</v>
      </c>
      <c r="J77" s="114">
        <v>0.97</v>
      </c>
      <c r="K77" s="114">
        <v>0.79</v>
      </c>
      <c r="L77" s="114">
        <v>1.04</v>
      </c>
      <c r="M77" s="114">
        <v>0.62</v>
      </c>
      <c r="N77" s="114">
        <v>0.74</v>
      </c>
      <c r="O77" s="114">
        <v>0.73</v>
      </c>
      <c r="P77" s="114">
        <f t="shared" si="8"/>
        <v>9.85</v>
      </c>
    </row>
    <row r="78" spans="1:16" x14ac:dyDescent="0.2">
      <c r="B78" s="2" t="s">
        <v>296</v>
      </c>
      <c r="D78" s="114">
        <v>0.86</v>
      </c>
      <c r="E78" s="114">
        <v>0.56000000000000005</v>
      </c>
      <c r="F78" s="114">
        <v>0.61</v>
      </c>
      <c r="G78" s="114">
        <v>0.41</v>
      </c>
      <c r="H78" s="114">
        <v>0.96</v>
      </c>
      <c r="I78" s="114">
        <v>0.4</v>
      </c>
      <c r="J78" s="114">
        <v>0.59</v>
      </c>
      <c r="K78" s="114">
        <v>0.21</v>
      </c>
      <c r="L78" s="114">
        <v>0.55000000000000004</v>
      </c>
      <c r="M78" s="114">
        <v>0.5</v>
      </c>
      <c r="N78" s="114">
        <v>0.31</v>
      </c>
      <c r="O78" s="114">
        <v>0.34</v>
      </c>
      <c r="P78" s="114">
        <f t="shared" si="8"/>
        <v>6.2999999999999989</v>
      </c>
    </row>
    <row r="79" spans="1:16" x14ac:dyDescent="0.2">
      <c r="D79" s="114"/>
      <c r="E79" s="114"/>
      <c r="F79" s="114"/>
      <c r="G79" s="114"/>
      <c r="H79" s="114"/>
      <c r="I79" s="114"/>
      <c r="J79" s="114"/>
      <c r="K79" s="114"/>
      <c r="L79" s="114"/>
      <c r="M79" s="114"/>
      <c r="N79" s="114"/>
      <c r="O79" s="114"/>
      <c r="P79" s="114"/>
    </row>
    <row r="80" spans="1:16" s="4" customFormat="1" ht="15" x14ac:dyDescent="0.25">
      <c r="A80" s="3" t="s">
        <v>88</v>
      </c>
      <c r="D80" s="19">
        <f t="shared" ref="D80:O80" si="9">SUM(D82:D85)</f>
        <v>183.72</v>
      </c>
      <c r="E80" s="19">
        <f t="shared" si="9"/>
        <v>60.1</v>
      </c>
      <c r="F80" s="19">
        <f t="shared" si="9"/>
        <v>65.95</v>
      </c>
      <c r="G80" s="19">
        <f t="shared" si="9"/>
        <v>80.239999999999995</v>
      </c>
      <c r="H80" s="19">
        <f t="shared" si="9"/>
        <v>358.74</v>
      </c>
      <c r="I80" s="19">
        <f t="shared" si="9"/>
        <v>121.57000000000001</v>
      </c>
      <c r="J80" s="19">
        <f t="shared" si="9"/>
        <v>176.08</v>
      </c>
      <c r="K80" s="19">
        <f t="shared" si="9"/>
        <v>196.89</v>
      </c>
      <c r="L80" s="19">
        <f t="shared" si="9"/>
        <v>155.26999999999998</v>
      </c>
      <c r="M80" s="19">
        <f t="shared" si="9"/>
        <v>98.04</v>
      </c>
      <c r="N80" s="19">
        <f t="shared" si="9"/>
        <v>224.92</v>
      </c>
      <c r="O80" s="19">
        <f t="shared" si="9"/>
        <v>89.57</v>
      </c>
      <c r="P80" s="19">
        <f>SUM(D80:O80)</f>
        <v>1811.09</v>
      </c>
    </row>
    <row r="81" spans="1:16" x14ac:dyDescent="0.2">
      <c r="D81" s="114"/>
      <c r="E81" s="114"/>
      <c r="F81" s="114"/>
      <c r="G81" s="114"/>
      <c r="H81" s="114"/>
      <c r="I81" s="114"/>
      <c r="J81" s="114"/>
      <c r="K81" s="114"/>
      <c r="L81" s="114"/>
      <c r="M81" s="114"/>
      <c r="N81" s="114"/>
      <c r="O81" s="114"/>
      <c r="P81" s="114"/>
    </row>
    <row r="82" spans="1:16" x14ac:dyDescent="0.2">
      <c r="B82" s="2" t="s">
        <v>298</v>
      </c>
      <c r="D82" s="114">
        <v>0.73</v>
      </c>
      <c r="E82" s="114">
        <v>0.43</v>
      </c>
      <c r="F82" s="114">
        <v>0.27</v>
      </c>
      <c r="G82" s="114">
        <v>0.82</v>
      </c>
      <c r="H82" s="114">
        <v>0.66</v>
      </c>
      <c r="I82" s="114">
        <v>0.2</v>
      </c>
      <c r="J82" s="114">
        <v>0.23</v>
      </c>
      <c r="K82" s="114">
        <v>0.47</v>
      </c>
      <c r="L82" s="114">
        <v>0.39</v>
      </c>
      <c r="M82" s="114">
        <v>0.45</v>
      </c>
      <c r="N82" s="114">
        <v>0.22</v>
      </c>
      <c r="O82" s="114">
        <v>2.42</v>
      </c>
      <c r="P82" s="114">
        <f>SUM(D82:O82)</f>
        <v>7.29</v>
      </c>
    </row>
    <row r="83" spans="1:16" x14ac:dyDescent="0.2">
      <c r="B83" s="2" t="s">
        <v>297</v>
      </c>
      <c r="D83" s="114">
        <v>4.45</v>
      </c>
      <c r="E83" s="114">
        <v>3.05</v>
      </c>
      <c r="F83" s="114">
        <v>7.92</v>
      </c>
      <c r="G83" s="114">
        <v>7.25</v>
      </c>
      <c r="H83" s="114">
        <v>4.05</v>
      </c>
      <c r="I83" s="114">
        <v>3.72</v>
      </c>
      <c r="J83" s="114">
        <v>4.57</v>
      </c>
      <c r="K83" s="114">
        <v>3.39</v>
      </c>
      <c r="L83" s="114">
        <v>6.3</v>
      </c>
      <c r="M83" s="114">
        <v>6.22</v>
      </c>
      <c r="N83" s="114">
        <v>1.96</v>
      </c>
      <c r="O83" s="114">
        <v>2.0299999999999998</v>
      </c>
      <c r="P83" s="114">
        <f>SUM(D83:O83)</f>
        <v>54.910000000000004</v>
      </c>
    </row>
    <row r="84" spans="1:16" x14ac:dyDescent="0.2">
      <c r="B84" s="2" t="s">
        <v>299</v>
      </c>
      <c r="D84" s="114">
        <v>1.1100000000000001</v>
      </c>
      <c r="E84" s="114">
        <v>1.4</v>
      </c>
      <c r="F84" s="114">
        <v>1.05</v>
      </c>
      <c r="G84" s="114">
        <v>0.85</v>
      </c>
      <c r="H84" s="114">
        <v>1.89</v>
      </c>
      <c r="I84" s="114">
        <v>1.7</v>
      </c>
      <c r="J84" s="114">
        <v>1.01</v>
      </c>
      <c r="K84" s="114">
        <v>0.53</v>
      </c>
      <c r="L84" s="114">
        <v>0.98</v>
      </c>
      <c r="M84" s="114">
        <v>0.45</v>
      </c>
      <c r="N84" s="114">
        <v>0.32</v>
      </c>
      <c r="O84" s="114">
        <v>0.34</v>
      </c>
      <c r="P84" s="114">
        <f>SUM(D84:O84)</f>
        <v>11.629999999999999</v>
      </c>
    </row>
    <row r="85" spans="1:16" x14ac:dyDescent="0.2">
      <c r="B85" s="2" t="s">
        <v>300</v>
      </c>
      <c r="D85" s="114">
        <v>177.43</v>
      </c>
      <c r="E85" s="114">
        <v>55.22</v>
      </c>
      <c r="F85" s="114">
        <v>56.71</v>
      </c>
      <c r="G85" s="114">
        <v>71.319999999999993</v>
      </c>
      <c r="H85" s="114">
        <v>352.14</v>
      </c>
      <c r="I85" s="114">
        <v>115.95</v>
      </c>
      <c r="J85" s="114">
        <v>170.27</v>
      </c>
      <c r="K85" s="114">
        <v>192.5</v>
      </c>
      <c r="L85" s="114">
        <v>147.6</v>
      </c>
      <c r="M85" s="114">
        <v>90.92</v>
      </c>
      <c r="N85" s="114">
        <v>222.42</v>
      </c>
      <c r="O85" s="114">
        <v>84.78</v>
      </c>
      <c r="P85" s="114">
        <f>SUM(D85:O85)</f>
        <v>1737.26</v>
      </c>
    </row>
    <row r="86" spans="1:16" x14ac:dyDescent="0.2">
      <c r="D86" s="114"/>
      <c r="E86" s="114"/>
      <c r="F86" s="114"/>
      <c r="G86" s="114"/>
      <c r="H86" s="114"/>
      <c r="I86" s="114"/>
      <c r="J86" s="114"/>
      <c r="K86" s="114"/>
      <c r="L86" s="114"/>
      <c r="M86" s="114"/>
      <c r="N86" s="114"/>
      <c r="O86" s="114"/>
      <c r="P86" s="114"/>
    </row>
    <row r="87" spans="1:16" s="4" customFormat="1" ht="15" x14ac:dyDescent="0.25">
      <c r="A87" s="3" t="s">
        <v>92</v>
      </c>
      <c r="D87" s="19">
        <f t="shared" ref="D87:O87" si="10">SUM(D89:D90)</f>
        <v>103.58</v>
      </c>
      <c r="E87" s="19">
        <f t="shared" si="10"/>
        <v>89.86</v>
      </c>
      <c r="F87" s="19">
        <f t="shared" si="10"/>
        <v>99.94</v>
      </c>
      <c r="G87" s="19">
        <f t="shared" si="10"/>
        <v>75.550000000000011</v>
      </c>
      <c r="H87" s="19">
        <f t="shared" si="10"/>
        <v>93.94</v>
      </c>
      <c r="I87" s="19">
        <f t="shared" si="10"/>
        <v>93.86</v>
      </c>
      <c r="J87" s="19">
        <f t="shared" si="10"/>
        <v>77.05</v>
      </c>
      <c r="K87" s="19">
        <f t="shared" si="10"/>
        <v>75.349999999999994</v>
      </c>
      <c r="L87" s="19">
        <f t="shared" si="10"/>
        <v>98.679999999999993</v>
      </c>
      <c r="M87" s="19">
        <f t="shared" si="10"/>
        <v>73</v>
      </c>
      <c r="N87" s="19">
        <f t="shared" si="10"/>
        <v>67.75</v>
      </c>
      <c r="O87" s="19">
        <f t="shared" si="10"/>
        <v>51.99</v>
      </c>
      <c r="P87" s="19">
        <f>SUM(D87:O87)</f>
        <v>1000.55</v>
      </c>
    </row>
    <row r="88" spans="1:16" x14ac:dyDescent="0.2">
      <c r="D88" s="114"/>
      <c r="E88" s="114"/>
      <c r="F88" s="114"/>
      <c r="G88" s="114"/>
      <c r="H88" s="114"/>
      <c r="I88" s="114"/>
      <c r="J88" s="114"/>
      <c r="K88" s="114"/>
      <c r="L88" s="114"/>
      <c r="M88" s="114"/>
      <c r="N88" s="114"/>
      <c r="O88" s="114"/>
      <c r="P88" s="114"/>
    </row>
    <row r="89" spans="1:16" x14ac:dyDescent="0.2">
      <c r="B89" s="2" t="s">
        <v>302</v>
      </c>
      <c r="D89" s="114">
        <v>3.62</v>
      </c>
      <c r="E89" s="114">
        <v>2.72</v>
      </c>
      <c r="F89" s="114">
        <v>3.24</v>
      </c>
      <c r="G89" s="114">
        <v>2.76</v>
      </c>
      <c r="H89" s="114">
        <v>3.72</v>
      </c>
      <c r="I89" s="114">
        <v>2.92</v>
      </c>
      <c r="J89" s="114">
        <v>2.71</v>
      </c>
      <c r="K89" s="114">
        <v>2.33</v>
      </c>
      <c r="L89" s="114">
        <v>3.52</v>
      </c>
      <c r="M89" s="114">
        <v>2.5</v>
      </c>
      <c r="N89" s="114">
        <v>2.16</v>
      </c>
      <c r="O89" s="114">
        <v>1.57</v>
      </c>
      <c r="P89" s="114">
        <f>SUM(D89:O89)</f>
        <v>33.769999999999996</v>
      </c>
    </row>
    <row r="90" spans="1:16" x14ac:dyDescent="0.2">
      <c r="B90" s="2" t="s">
        <v>301</v>
      </c>
      <c r="D90" s="114">
        <v>99.96</v>
      </c>
      <c r="E90" s="114">
        <v>87.14</v>
      </c>
      <c r="F90" s="114">
        <v>96.7</v>
      </c>
      <c r="G90" s="114">
        <v>72.790000000000006</v>
      </c>
      <c r="H90" s="114">
        <v>90.22</v>
      </c>
      <c r="I90" s="114">
        <v>90.94</v>
      </c>
      <c r="J90" s="114">
        <v>74.34</v>
      </c>
      <c r="K90" s="114">
        <v>73.02</v>
      </c>
      <c r="L90" s="114">
        <v>95.16</v>
      </c>
      <c r="M90" s="114">
        <v>70.5</v>
      </c>
      <c r="N90" s="114">
        <v>65.59</v>
      </c>
      <c r="O90" s="114">
        <v>50.42</v>
      </c>
      <c r="P90" s="114">
        <f>SUM(D90:O90)</f>
        <v>966.78</v>
      </c>
    </row>
    <row r="91" spans="1:16" x14ac:dyDescent="0.2">
      <c r="D91" s="114"/>
      <c r="E91" s="114"/>
      <c r="F91" s="114"/>
      <c r="G91" s="114"/>
      <c r="H91" s="114"/>
      <c r="I91" s="114"/>
      <c r="J91" s="114"/>
      <c r="K91" s="114"/>
      <c r="L91" s="114"/>
      <c r="M91" s="114"/>
      <c r="N91" s="114"/>
      <c r="O91" s="114"/>
      <c r="P91" s="114"/>
    </row>
    <row r="92" spans="1:16" s="4" customFormat="1" ht="15" x14ac:dyDescent="0.25">
      <c r="A92" s="3" t="s">
        <v>96</v>
      </c>
      <c r="D92" s="19">
        <f t="shared" ref="D92:O92" si="11">SUM(D94:D96)</f>
        <v>34.479999999999997</v>
      </c>
      <c r="E92" s="19">
        <f t="shared" si="11"/>
        <v>26.830000000000002</v>
      </c>
      <c r="F92" s="19">
        <f t="shared" si="11"/>
        <v>28.58</v>
      </c>
      <c r="G92" s="19">
        <f t="shared" si="11"/>
        <v>16.54</v>
      </c>
      <c r="H92" s="19">
        <f t="shared" si="11"/>
        <v>24.64</v>
      </c>
      <c r="I92" s="19">
        <f t="shared" si="11"/>
        <v>21.55</v>
      </c>
      <c r="J92" s="19">
        <f t="shared" si="11"/>
        <v>22.14</v>
      </c>
      <c r="K92" s="19">
        <f t="shared" si="11"/>
        <v>22.990000000000002</v>
      </c>
      <c r="L92" s="19">
        <f t="shared" si="11"/>
        <v>30.88</v>
      </c>
      <c r="M92" s="19">
        <f t="shared" si="11"/>
        <v>22.83</v>
      </c>
      <c r="N92" s="19">
        <f t="shared" si="11"/>
        <v>19.170000000000002</v>
      </c>
      <c r="O92" s="19">
        <f t="shared" si="11"/>
        <v>13.38</v>
      </c>
      <c r="P92" s="19">
        <f>SUM(D92:O92)</f>
        <v>284.01</v>
      </c>
    </row>
    <row r="93" spans="1:16" x14ac:dyDescent="0.2">
      <c r="D93" s="114"/>
      <c r="E93" s="114"/>
      <c r="F93" s="114"/>
      <c r="G93" s="114"/>
      <c r="H93" s="114"/>
      <c r="I93" s="114"/>
      <c r="J93" s="114"/>
      <c r="K93" s="114"/>
      <c r="L93" s="114"/>
      <c r="M93" s="114"/>
      <c r="N93" s="114"/>
      <c r="O93" s="114"/>
      <c r="P93" s="114"/>
    </row>
    <row r="94" spans="1:16" x14ac:dyDescent="0.2">
      <c r="B94" s="2" t="s">
        <v>305</v>
      </c>
      <c r="D94" s="114">
        <v>17.649999999999999</v>
      </c>
      <c r="E94" s="114">
        <v>15.6</v>
      </c>
      <c r="F94" s="114">
        <v>15.52</v>
      </c>
      <c r="G94" s="114">
        <v>10.75</v>
      </c>
      <c r="H94" s="114">
        <v>16.07</v>
      </c>
      <c r="I94" s="114">
        <v>12.65</v>
      </c>
      <c r="J94" s="114">
        <v>15.33</v>
      </c>
      <c r="K94" s="114">
        <v>12.43</v>
      </c>
      <c r="L94" s="114">
        <v>17.28</v>
      </c>
      <c r="M94" s="114">
        <v>13.2</v>
      </c>
      <c r="N94" s="114">
        <v>10.45</v>
      </c>
      <c r="O94" s="114">
        <v>8.7200000000000006</v>
      </c>
      <c r="P94" s="114">
        <f>SUM(D94:O94)</f>
        <v>165.64999999999998</v>
      </c>
    </row>
    <row r="95" spans="1:16" x14ac:dyDescent="0.2">
      <c r="B95" s="2" t="s">
        <v>306</v>
      </c>
      <c r="D95" s="114">
        <v>3.88</v>
      </c>
      <c r="E95" s="114">
        <v>4.68</v>
      </c>
      <c r="F95" s="114">
        <v>3.13</v>
      </c>
      <c r="G95" s="114">
        <v>1.38</v>
      </c>
      <c r="H95" s="114">
        <v>1.49</v>
      </c>
      <c r="I95" s="114">
        <v>1.06</v>
      </c>
      <c r="J95" s="114">
        <v>0.92</v>
      </c>
      <c r="K95" s="114">
        <v>0.75</v>
      </c>
      <c r="L95" s="114">
        <v>1.31</v>
      </c>
      <c r="M95" s="114">
        <v>0.9</v>
      </c>
      <c r="N95" s="114">
        <v>1.3</v>
      </c>
      <c r="O95" s="114">
        <v>0.64</v>
      </c>
      <c r="P95" s="114">
        <f>SUM(D95:O95)</f>
        <v>21.439999999999998</v>
      </c>
    </row>
    <row r="96" spans="1:16" x14ac:dyDescent="0.2">
      <c r="B96" s="2" t="s">
        <v>304</v>
      </c>
      <c r="D96" s="114">
        <v>12.95</v>
      </c>
      <c r="E96" s="114">
        <v>6.55</v>
      </c>
      <c r="F96" s="114">
        <v>9.93</v>
      </c>
      <c r="G96" s="114">
        <v>4.41</v>
      </c>
      <c r="H96" s="114">
        <v>7.08</v>
      </c>
      <c r="I96" s="114">
        <v>7.84</v>
      </c>
      <c r="J96" s="114">
        <v>5.89</v>
      </c>
      <c r="K96" s="114">
        <v>9.81</v>
      </c>
      <c r="L96" s="114">
        <v>12.29</v>
      </c>
      <c r="M96" s="114">
        <v>8.73</v>
      </c>
      <c r="N96" s="114">
        <v>7.42</v>
      </c>
      <c r="O96" s="114">
        <v>4.0199999999999996</v>
      </c>
      <c r="P96" s="114">
        <f>SUM(D96:O96)</f>
        <v>96.92</v>
      </c>
    </row>
    <row r="97" spans="1:16" x14ac:dyDescent="0.2">
      <c r="D97" s="114"/>
      <c r="E97" s="114"/>
      <c r="F97" s="114"/>
      <c r="G97" s="114"/>
      <c r="H97" s="114"/>
      <c r="I97" s="114"/>
      <c r="J97" s="114"/>
      <c r="K97" s="114"/>
      <c r="L97" s="114"/>
      <c r="M97" s="114"/>
      <c r="N97" s="114"/>
      <c r="O97" s="114"/>
      <c r="P97" s="114"/>
    </row>
    <row r="98" spans="1:16" s="4" customFormat="1" ht="15" x14ac:dyDescent="0.25">
      <c r="A98" s="3" t="s">
        <v>102</v>
      </c>
      <c r="C98" s="3"/>
      <c r="D98" s="19">
        <f t="shared" ref="D98:O98" si="12">SUM(D100:D102)</f>
        <v>15.07</v>
      </c>
      <c r="E98" s="19">
        <f t="shared" si="12"/>
        <v>7.86</v>
      </c>
      <c r="F98" s="19">
        <f t="shared" si="12"/>
        <v>17.88</v>
      </c>
      <c r="G98" s="19">
        <f t="shared" si="12"/>
        <v>5.3599999999999994</v>
      </c>
      <c r="H98" s="19">
        <f t="shared" si="12"/>
        <v>6.36</v>
      </c>
      <c r="I98" s="19">
        <f t="shared" si="12"/>
        <v>7.8500000000000005</v>
      </c>
      <c r="J98" s="19">
        <f t="shared" si="12"/>
        <v>10.35</v>
      </c>
      <c r="K98" s="19">
        <f t="shared" si="12"/>
        <v>11.31</v>
      </c>
      <c r="L98" s="19">
        <f t="shared" si="12"/>
        <v>17.98</v>
      </c>
      <c r="M98" s="19">
        <f t="shared" si="12"/>
        <v>7.11</v>
      </c>
      <c r="N98" s="19">
        <f t="shared" si="12"/>
        <v>8.89</v>
      </c>
      <c r="O98" s="19">
        <f t="shared" si="12"/>
        <v>4.34</v>
      </c>
      <c r="P98" s="19">
        <f>SUM(D98:O98)</f>
        <v>120.36000000000001</v>
      </c>
    </row>
    <row r="99" spans="1:16" x14ac:dyDescent="0.2">
      <c r="D99" s="114"/>
      <c r="E99" s="114"/>
      <c r="F99" s="114"/>
      <c r="G99" s="114"/>
      <c r="H99" s="114"/>
      <c r="I99" s="114"/>
      <c r="J99" s="114"/>
      <c r="K99" s="114"/>
      <c r="L99" s="114"/>
      <c r="M99" s="114"/>
      <c r="N99" s="114"/>
      <c r="O99" s="114"/>
      <c r="P99" s="114"/>
    </row>
    <row r="100" spans="1:16" x14ac:dyDescent="0.2">
      <c r="B100" s="2" t="s">
        <v>308</v>
      </c>
      <c r="D100" s="114">
        <v>14.35</v>
      </c>
      <c r="E100" s="114">
        <v>6.88</v>
      </c>
      <c r="F100" s="114">
        <v>12.59</v>
      </c>
      <c r="G100" s="114">
        <v>4.83</v>
      </c>
      <c r="H100" s="114">
        <v>5.78</v>
      </c>
      <c r="I100" s="114">
        <v>7.21</v>
      </c>
      <c r="J100" s="114">
        <v>6.8</v>
      </c>
      <c r="K100" s="114">
        <v>7.9</v>
      </c>
      <c r="L100" s="114">
        <v>13.15</v>
      </c>
      <c r="M100" s="114">
        <v>4.75</v>
      </c>
      <c r="N100" s="114">
        <v>7.78</v>
      </c>
      <c r="O100" s="114">
        <v>4.03</v>
      </c>
      <c r="P100" s="114">
        <f>SUM(D100:O100)</f>
        <v>96.050000000000011</v>
      </c>
    </row>
    <row r="101" spans="1:16" x14ac:dyDescent="0.2">
      <c r="B101" s="2" t="s">
        <v>310</v>
      </c>
      <c r="D101" s="114">
        <v>0.39</v>
      </c>
      <c r="E101" s="114">
        <v>0.91</v>
      </c>
      <c r="F101" s="114">
        <v>5.05</v>
      </c>
      <c r="G101" s="114">
        <v>0.43</v>
      </c>
      <c r="H101" s="114">
        <v>0.44</v>
      </c>
      <c r="I101" s="114">
        <v>0.44</v>
      </c>
      <c r="J101" s="114">
        <v>3.38</v>
      </c>
      <c r="K101" s="114">
        <v>3.35</v>
      </c>
      <c r="L101" s="114">
        <v>4.67</v>
      </c>
      <c r="M101" s="114">
        <v>2.16</v>
      </c>
      <c r="N101" s="114">
        <v>1.04</v>
      </c>
      <c r="O101" s="114">
        <v>0.21</v>
      </c>
      <c r="P101" s="114">
        <f>SUM(D101:O101)</f>
        <v>22.47</v>
      </c>
    </row>
    <row r="102" spans="1:16" x14ac:dyDescent="0.2">
      <c r="B102" s="2" t="s">
        <v>311</v>
      </c>
      <c r="D102" s="114">
        <v>0.33</v>
      </c>
      <c r="E102" s="114">
        <v>7.0000000000000007E-2</v>
      </c>
      <c r="F102" s="114">
        <v>0.24</v>
      </c>
      <c r="G102" s="114">
        <v>0.1</v>
      </c>
      <c r="H102" s="114">
        <v>0.14000000000000001</v>
      </c>
      <c r="I102" s="114">
        <v>0.2</v>
      </c>
      <c r="J102" s="114">
        <v>0.17</v>
      </c>
      <c r="K102" s="114">
        <v>0.06</v>
      </c>
      <c r="L102" s="114">
        <v>0.16</v>
      </c>
      <c r="M102" s="114">
        <v>0.2</v>
      </c>
      <c r="N102" s="114">
        <v>7.0000000000000007E-2</v>
      </c>
      <c r="O102" s="114">
        <v>0.1</v>
      </c>
      <c r="P102" s="114">
        <f>SUM(D102:O102)</f>
        <v>1.84</v>
      </c>
    </row>
    <row r="103" spans="1:16" x14ac:dyDescent="0.2">
      <c r="D103" s="114"/>
      <c r="E103" s="114"/>
      <c r="F103" s="114"/>
      <c r="G103" s="114"/>
      <c r="H103" s="114"/>
      <c r="I103" s="114"/>
      <c r="J103" s="114"/>
      <c r="K103" s="114"/>
      <c r="L103" s="114"/>
      <c r="M103" s="114"/>
      <c r="N103" s="114"/>
      <c r="O103" s="114"/>
      <c r="P103" s="114"/>
    </row>
    <row r="104" spans="1:16" s="4" customFormat="1" ht="15" x14ac:dyDescent="0.25">
      <c r="A104" s="3" t="s">
        <v>107</v>
      </c>
      <c r="D104" s="19">
        <f t="shared" ref="D104:O104" si="13">SUM(D106:D110)</f>
        <v>460.26000000000005</v>
      </c>
      <c r="E104" s="19">
        <f t="shared" si="13"/>
        <v>330.63</v>
      </c>
      <c r="F104" s="19">
        <f t="shared" si="13"/>
        <v>342.30000000000007</v>
      </c>
      <c r="G104" s="19">
        <f t="shared" si="13"/>
        <v>274.16999999999996</v>
      </c>
      <c r="H104" s="19">
        <f t="shared" si="13"/>
        <v>363.21</v>
      </c>
      <c r="I104" s="19">
        <f t="shared" si="13"/>
        <v>351.64000000000004</v>
      </c>
      <c r="J104" s="19">
        <f t="shared" si="13"/>
        <v>471.22</v>
      </c>
      <c r="K104" s="19">
        <f t="shared" si="13"/>
        <v>361.60999999999996</v>
      </c>
      <c r="L104" s="19">
        <f t="shared" si="13"/>
        <v>429.53999999999996</v>
      </c>
      <c r="M104" s="19">
        <f t="shared" si="13"/>
        <v>402.26000000000005</v>
      </c>
      <c r="N104" s="19">
        <f t="shared" si="13"/>
        <v>326.41000000000003</v>
      </c>
      <c r="O104" s="19">
        <f t="shared" si="13"/>
        <v>286.08000000000004</v>
      </c>
      <c r="P104" s="19">
        <f>SUM(D104:O104)</f>
        <v>4399.3300000000008</v>
      </c>
    </row>
    <row r="105" spans="1:16" x14ac:dyDescent="0.2">
      <c r="D105" s="114"/>
      <c r="E105" s="114"/>
      <c r="F105" s="114"/>
      <c r="G105" s="114"/>
      <c r="H105" s="114"/>
      <c r="I105" s="114"/>
      <c r="J105" s="114"/>
      <c r="K105" s="114"/>
      <c r="L105" s="114"/>
      <c r="M105" s="114"/>
      <c r="N105" s="114"/>
      <c r="O105" s="114"/>
      <c r="P105" s="114"/>
    </row>
    <row r="106" spans="1:16" x14ac:dyDescent="0.2">
      <c r="B106" s="2" t="s">
        <v>313</v>
      </c>
      <c r="D106" s="114">
        <v>0</v>
      </c>
      <c r="E106" s="114">
        <v>0</v>
      </c>
      <c r="F106" s="114">
        <v>0.01</v>
      </c>
      <c r="G106" s="114">
        <v>0</v>
      </c>
      <c r="H106" s="114">
        <v>0</v>
      </c>
      <c r="I106" s="114">
        <v>0</v>
      </c>
      <c r="J106" s="114">
        <v>0.04</v>
      </c>
      <c r="K106" s="114">
        <v>0.01</v>
      </c>
      <c r="L106" s="114">
        <v>0</v>
      </c>
      <c r="M106" s="114">
        <v>0.04</v>
      </c>
      <c r="N106" s="114">
        <v>0.02</v>
      </c>
      <c r="O106" s="114">
        <v>0</v>
      </c>
      <c r="P106" s="114">
        <f>SUM(D106:O106)</f>
        <v>0.12000000000000001</v>
      </c>
    </row>
    <row r="107" spans="1:16" x14ac:dyDescent="0.2">
      <c r="B107" s="2" t="s">
        <v>314</v>
      </c>
      <c r="D107" s="114">
        <v>193.09</v>
      </c>
      <c r="E107" s="114">
        <v>104.61</v>
      </c>
      <c r="F107" s="114">
        <v>127.05</v>
      </c>
      <c r="G107" s="114">
        <v>90.73</v>
      </c>
      <c r="H107" s="114">
        <v>124.05</v>
      </c>
      <c r="I107" s="114">
        <v>115.01</v>
      </c>
      <c r="J107" s="114">
        <v>117.73</v>
      </c>
      <c r="K107" s="114">
        <v>123.14</v>
      </c>
      <c r="L107" s="114">
        <v>149.4</v>
      </c>
      <c r="M107" s="114">
        <v>104.73</v>
      </c>
      <c r="N107" s="114">
        <v>106.98</v>
      </c>
      <c r="O107" s="114">
        <v>99.65</v>
      </c>
      <c r="P107" s="114">
        <f>SUM(D107:O107)</f>
        <v>1456.17</v>
      </c>
    </row>
    <row r="108" spans="1:16" x14ac:dyDescent="0.2">
      <c r="B108" s="2" t="s">
        <v>315</v>
      </c>
      <c r="D108" s="114">
        <v>215.97</v>
      </c>
      <c r="E108" s="114">
        <v>183.84</v>
      </c>
      <c r="F108" s="114">
        <v>172.77</v>
      </c>
      <c r="G108" s="114">
        <v>151.22999999999999</v>
      </c>
      <c r="H108" s="114">
        <v>195.94</v>
      </c>
      <c r="I108" s="114">
        <v>191.21</v>
      </c>
      <c r="J108" s="114">
        <v>311.44</v>
      </c>
      <c r="K108" s="114">
        <v>202.79</v>
      </c>
      <c r="L108" s="114">
        <v>232.39</v>
      </c>
      <c r="M108" s="114">
        <v>260.92</v>
      </c>
      <c r="N108" s="114">
        <v>188.13</v>
      </c>
      <c r="O108" s="114">
        <v>161.18</v>
      </c>
      <c r="P108" s="114">
        <f>SUM(D108:O108)</f>
        <v>2467.81</v>
      </c>
    </row>
    <row r="109" spans="1:16" x14ac:dyDescent="0.2">
      <c r="B109" s="2" t="s">
        <v>316</v>
      </c>
      <c r="D109" s="114">
        <v>46.85</v>
      </c>
      <c r="E109" s="114">
        <v>39.39</v>
      </c>
      <c r="F109" s="114">
        <v>40.1</v>
      </c>
      <c r="G109" s="114">
        <v>30.39</v>
      </c>
      <c r="H109" s="114">
        <v>40.130000000000003</v>
      </c>
      <c r="I109" s="114">
        <v>42.51</v>
      </c>
      <c r="J109" s="114">
        <v>39.58</v>
      </c>
      <c r="K109" s="114">
        <v>33.9</v>
      </c>
      <c r="L109" s="114">
        <v>44.49</v>
      </c>
      <c r="M109" s="114">
        <v>34.630000000000003</v>
      </c>
      <c r="N109" s="114">
        <v>29.73</v>
      </c>
      <c r="O109" s="114">
        <v>23.5</v>
      </c>
      <c r="P109" s="114">
        <f>SUM(D109:O109)</f>
        <v>445.2</v>
      </c>
    </row>
    <row r="110" spans="1:16" x14ac:dyDescent="0.2">
      <c r="B110" s="2" t="s">
        <v>312</v>
      </c>
      <c r="D110" s="114">
        <v>4.3499999999999996</v>
      </c>
      <c r="E110" s="114">
        <v>2.79</v>
      </c>
      <c r="F110" s="114">
        <v>2.37</v>
      </c>
      <c r="G110" s="114">
        <v>1.82</v>
      </c>
      <c r="H110" s="114">
        <v>3.09</v>
      </c>
      <c r="I110" s="114">
        <v>2.91</v>
      </c>
      <c r="J110" s="114">
        <v>2.4300000000000002</v>
      </c>
      <c r="K110" s="114">
        <v>1.77</v>
      </c>
      <c r="L110" s="114">
        <v>3.26</v>
      </c>
      <c r="M110" s="114">
        <v>1.94</v>
      </c>
      <c r="N110" s="114">
        <v>1.55</v>
      </c>
      <c r="O110" s="114">
        <v>1.75</v>
      </c>
      <c r="P110" s="114">
        <f>SUM(D110:O110)</f>
        <v>30.03</v>
      </c>
    </row>
    <row r="111" spans="1:16" x14ac:dyDescent="0.2">
      <c r="D111" s="114"/>
      <c r="E111" s="114"/>
      <c r="F111" s="114"/>
      <c r="G111" s="114"/>
      <c r="H111" s="114"/>
      <c r="I111" s="114"/>
      <c r="J111" s="114"/>
      <c r="K111" s="114"/>
      <c r="L111" s="114"/>
      <c r="M111" s="114"/>
      <c r="N111" s="114"/>
      <c r="O111" s="114"/>
      <c r="P111" s="114"/>
    </row>
    <row r="112" spans="1:16" s="4" customFormat="1" ht="15" x14ac:dyDescent="0.25">
      <c r="A112" s="3" t="s">
        <v>113</v>
      </c>
      <c r="D112" s="19">
        <f t="shared" ref="D112:O112" si="14">SUM(D114:D117)</f>
        <v>55.330000000000005</v>
      </c>
      <c r="E112" s="19">
        <f t="shared" si="14"/>
        <v>38.97</v>
      </c>
      <c r="F112" s="19">
        <f t="shared" si="14"/>
        <v>41.580000000000005</v>
      </c>
      <c r="G112" s="19">
        <f t="shared" si="14"/>
        <v>36.200000000000003</v>
      </c>
      <c r="H112" s="19">
        <f t="shared" si="14"/>
        <v>47.69</v>
      </c>
      <c r="I112" s="19">
        <f t="shared" si="14"/>
        <v>46.86</v>
      </c>
      <c r="J112" s="19">
        <f t="shared" si="14"/>
        <v>65.03</v>
      </c>
      <c r="K112" s="19">
        <f t="shared" si="14"/>
        <v>40.220000000000006</v>
      </c>
      <c r="L112" s="19">
        <f t="shared" si="14"/>
        <v>58.41</v>
      </c>
      <c r="M112" s="19">
        <f t="shared" si="14"/>
        <v>41.19</v>
      </c>
      <c r="N112" s="19">
        <f t="shared" si="14"/>
        <v>41.32</v>
      </c>
      <c r="O112" s="19">
        <f t="shared" si="14"/>
        <v>34.38000000000001</v>
      </c>
      <c r="P112" s="19">
        <f>SUM(D112:O112)</f>
        <v>547.18000000000006</v>
      </c>
    </row>
    <row r="113" spans="1:16" x14ac:dyDescent="0.2">
      <c r="D113" s="114"/>
      <c r="E113" s="114"/>
      <c r="F113" s="114"/>
      <c r="G113" s="114"/>
      <c r="H113" s="114"/>
      <c r="I113" s="114"/>
      <c r="J113" s="114"/>
      <c r="K113" s="114"/>
      <c r="L113" s="114"/>
      <c r="M113" s="114"/>
      <c r="N113" s="114"/>
      <c r="O113" s="114"/>
      <c r="P113" s="114"/>
    </row>
    <row r="114" spans="1:16" x14ac:dyDescent="0.2">
      <c r="B114" s="2" t="s">
        <v>318</v>
      </c>
      <c r="D114" s="114">
        <v>0.94</v>
      </c>
      <c r="E114" s="114">
        <v>0.52</v>
      </c>
      <c r="F114" s="114">
        <v>0.54</v>
      </c>
      <c r="G114" s="114">
        <v>0.52</v>
      </c>
      <c r="H114" s="114">
        <v>0.53</v>
      </c>
      <c r="I114" s="114">
        <v>0.69</v>
      </c>
      <c r="J114" s="114">
        <v>0.88</v>
      </c>
      <c r="K114" s="114">
        <v>1.06</v>
      </c>
      <c r="L114" s="114">
        <v>2.16</v>
      </c>
      <c r="M114" s="114">
        <v>1.4</v>
      </c>
      <c r="N114" s="114">
        <v>1.25</v>
      </c>
      <c r="O114" s="114">
        <v>1.1299999999999999</v>
      </c>
      <c r="P114" s="114">
        <f>SUM(D114:O114)</f>
        <v>11.620000000000001</v>
      </c>
    </row>
    <row r="115" spans="1:16" x14ac:dyDescent="0.2">
      <c r="B115" s="2" t="s">
        <v>312</v>
      </c>
      <c r="D115" s="114">
        <v>7.48</v>
      </c>
      <c r="E115" s="114">
        <v>6.89</v>
      </c>
      <c r="F115" s="114">
        <v>7.8</v>
      </c>
      <c r="G115" s="114">
        <v>6.58</v>
      </c>
      <c r="H115" s="114">
        <v>8.3699999999999992</v>
      </c>
      <c r="I115" s="114">
        <v>8.0299999999999994</v>
      </c>
      <c r="J115" s="114">
        <v>8.08</v>
      </c>
      <c r="K115" s="114">
        <v>8.15</v>
      </c>
      <c r="L115" s="114">
        <v>9.1300000000000008</v>
      </c>
      <c r="M115" s="114">
        <v>7.91</v>
      </c>
      <c r="N115" s="114">
        <v>6.61</v>
      </c>
      <c r="O115" s="114">
        <v>9.8800000000000008</v>
      </c>
      <c r="P115" s="114">
        <f>SUM(D115:O115)</f>
        <v>94.909999999999982</v>
      </c>
    </row>
    <row r="116" spans="1:16" x14ac:dyDescent="0.2">
      <c r="B116" s="2" t="s">
        <v>321</v>
      </c>
      <c r="D116" s="114">
        <v>46.02</v>
      </c>
      <c r="E116" s="114">
        <v>29.4</v>
      </c>
      <c r="F116" s="114">
        <v>32.47</v>
      </c>
      <c r="G116" s="114">
        <v>28.21</v>
      </c>
      <c r="H116" s="114">
        <v>37.61</v>
      </c>
      <c r="I116" s="114">
        <v>36.630000000000003</v>
      </c>
      <c r="J116" s="114">
        <v>55.14</v>
      </c>
      <c r="K116" s="114">
        <v>29.99</v>
      </c>
      <c r="L116" s="114">
        <v>46.39</v>
      </c>
      <c r="M116" s="114">
        <v>30.95</v>
      </c>
      <c r="N116" s="114">
        <v>32.69</v>
      </c>
      <c r="O116" s="114">
        <v>22.67</v>
      </c>
      <c r="P116" s="114">
        <f>SUM(D116:O116)</f>
        <v>428.16999999999996</v>
      </c>
    </row>
    <row r="117" spans="1:16" x14ac:dyDescent="0.2">
      <c r="B117" s="2" t="s">
        <v>322</v>
      </c>
      <c r="D117" s="114">
        <v>0.89</v>
      </c>
      <c r="E117" s="114">
        <v>2.16</v>
      </c>
      <c r="F117" s="114">
        <v>0.77</v>
      </c>
      <c r="G117" s="114">
        <v>0.89</v>
      </c>
      <c r="H117" s="114">
        <v>1.18</v>
      </c>
      <c r="I117" s="114">
        <v>1.51</v>
      </c>
      <c r="J117" s="114">
        <v>0.93</v>
      </c>
      <c r="K117" s="114">
        <v>1.02</v>
      </c>
      <c r="L117" s="114">
        <v>0.73</v>
      </c>
      <c r="M117" s="114">
        <v>0.93</v>
      </c>
      <c r="N117" s="114">
        <v>0.77</v>
      </c>
      <c r="O117" s="114">
        <v>0.7</v>
      </c>
      <c r="P117" s="114">
        <f>SUM(D117:O117)</f>
        <v>12.479999999999999</v>
      </c>
    </row>
    <row r="118" spans="1:16" x14ac:dyDescent="0.2">
      <c r="D118" s="114"/>
      <c r="E118" s="114"/>
      <c r="F118" s="114"/>
      <c r="G118" s="114"/>
      <c r="H118" s="114"/>
      <c r="I118" s="114"/>
      <c r="J118" s="114"/>
      <c r="K118" s="114"/>
      <c r="L118" s="114"/>
      <c r="M118" s="114"/>
      <c r="N118" s="114"/>
      <c r="O118" s="114"/>
      <c r="P118" s="114"/>
    </row>
    <row r="119" spans="1:16" s="4" customFormat="1" ht="15" x14ac:dyDescent="0.25">
      <c r="A119" s="3" t="s">
        <v>121</v>
      </c>
      <c r="D119" s="19">
        <f t="shared" ref="D119:O119" si="15">SUM(D121:D122)</f>
        <v>4.03</v>
      </c>
      <c r="E119" s="19">
        <f t="shared" si="15"/>
        <v>1.32</v>
      </c>
      <c r="F119" s="19">
        <f t="shared" si="15"/>
        <v>1.32</v>
      </c>
      <c r="G119" s="19">
        <f t="shared" si="15"/>
        <v>1.05</v>
      </c>
      <c r="H119" s="19">
        <f t="shared" si="15"/>
        <v>3.87</v>
      </c>
      <c r="I119" s="19">
        <f t="shared" si="15"/>
        <v>1.1399999999999999</v>
      </c>
      <c r="J119" s="19">
        <f t="shared" si="15"/>
        <v>1.01</v>
      </c>
      <c r="K119" s="19">
        <f t="shared" si="15"/>
        <v>1.17</v>
      </c>
      <c r="L119" s="19">
        <f t="shared" si="15"/>
        <v>1.66</v>
      </c>
      <c r="M119" s="19">
        <f t="shared" si="15"/>
        <v>1.36</v>
      </c>
      <c r="N119" s="19">
        <f t="shared" si="15"/>
        <v>0.84</v>
      </c>
      <c r="O119" s="19">
        <f t="shared" si="15"/>
        <v>1.1200000000000001</v>
      </c>
      <c r="P119" s="19">
        <f>SUM(D119:O119)</f>
        <v>19.89</v>
      </c>
    </row>
    <row r="120" spans="1:16" x14ac:dyDescent="0.2">
      <c r="D120" s="114"/>
      <c r="E120" s="114"/>
      <c r="F120" s="114"/>
      <c r="G120" s="114"/>
      <c r="H120" s="114"/>
      <c r="I120" s="114"/>
      <c r="J120" s="114"/>
      <c r="K120" s="114"/>
      <c r="L120" s="114"/>
      <c r="M120" s="114"/>
      <c r="N120" s="114"/>
      <c r="O120" s="114"/>
      <c r="P120" s="114"/>
    </row>
    <row r="121" spans="1:16" x14ac:dyDescent="0.2">
      <c r="B121" s="2" t="s">
        <v>582</v>
      </c>
      <c r="D121" s="114">
        <v>0</v>
      </c>
      <c r="E121" s="114">
        <v>0</v>
      </c>
      <c r="F121" s="114">
        <v>0</v>
      </c>
      <c r="G121" s="114">
        <v>0</v>
      </c>
      <c r="H121" s="114">
        <v>0</v>
      </c>
      <c r="I121" s="114">
        <v>0</v>
      </c>
      <c r="J121" s="114">
        <v>0</v>
      </c>
      <c r="K121" s="114">
        <v>0</v>
      </c>
      <c r="L121" s="114">
        <v>0</v>
      </c>
      <c r="M121" s="114">
        <v>0</v>
      </c>
      <c r="N121" s="114">
        <v>0</v>
      </c>
      <c r="O121" s="114">
        <v>0.01</v>
      </c>
      <c r="P121" s="114">
        <f>SUM(D121:O121)</f>
        <v>0.01</v>
      </c>
    </row>
    <row r="122" spans="1:16" x14ac:dyDescent="0.2">
      <c r="B122" s="2" t="s">
        <v>312</v>
      </c>
      <c r="D122" s="114">
        <v>4.03</v>
      </c>
      <c r="E122" s="114">
        <v>1.32</v>
      </c>
      <c r="F122" s="114">
        <v>1.32</v>
      </c>
      <c r="G122" s="114">
        <v>1.05</v>
      </c>
      <c r="H122" s="114">
        <v>3.87</v>
      </c>
      <c r="I122" s="114">
        <v>1.1399999999999999</v>
      </c>
      <c r="J122" s="114">
        <v>1.01</v>
      </c>
      <c r="K122" s="114">
        <v>1.17</v>
      </c>
      <c r="L122" s="114">
        <v>1.66</v>
      </c>
      <c r="M122" s="114">
        <v>1.36</v>
      </c>
      <c r="N122" s="114">
        <v>0.84</v>
      </c>
      <c r="O122" s="114">
        <v>1.1100000000000001</v>
      </c>
      <c r="P122" s="114">
        <f>SUM(D122:O122)</f>
        <v>19.88</v>
      </c>
    </row>
    <row r="123" spans="1:16" x14ac:dyDescent="0.2">
      <c r="D123" s="114"/>
      <c r="E123" s="114"/>
      <c r="F123" s="114"/>
      <c r="G123" s="114"/>
      <c r="H123" s="114"/>
      <c r="I123" s="114"/>
      <c r="J123" s="114"/>
      <c r="K123" s="114"/>
      <c r="L123" s="114"/>
      <c r="M123" s="114"/>
      <c r="N123" s="114"/>
      <c r="O123" s="114"/>
      <c r="P123" s="114"/>
    </row>
    <row r="124" spans="1:16" s="4" customFormat="1" ht="15" x14ac:dyDescent="0.25">
      <c r="A124" s="3" t="s">
        <v>324</v>
      </c>
      <c r="D124" s="19">
        <f t="shared" ref="D124:O124" si="16">SUM(D126:D127)</f>
        <v>0.08</v>
      </c>
      <c r="E124" s="19">
        <f t="shared" si="16"/>
        <v>0.64</v>
      </c>
      <c r="F124" s="19">
        <f t="shared" si="16"/>
        <v>0.04</v>
      </c>
      <c r="G124" s="19">
        <f t="shared" si="16"/>
        <v>0.2</v>
      </c>
      <c r="H124" s="19">
        <f t="shared" si="16"/>
        <v>0.12</v>
      </c>
      <c r="I124" s="19">
        <f t="shared" si="16"/>
        <v>0.05</v>
      </c>
      <c r="J124" s="19">
        <f t="shared" si="16"/>
        <v>0.06</v>
      </c>
      <c r="K124" s="19">
        <f t="shared" si="16"/>
        <v>0.05</v>
      </c>
      <c r="L124" s="19">
        <f t="shared" si="16"/>
        <v>0.06</v>
      </c>
      <c r="M124" s="19">
        <f t="shared" si="16"/>
        <v>0.05</v>
      </c>
      <c r="N124" s="19">
        <f t="shared" si="16"/>
        <v>0.1</v>
      </c>
      <c r="O124" s="19">
        <f t="shared" si="16"/>
        <v>0.02</v>
      </c>
      <c r="P124" s="19">
        <f>SUM(D124:O124)</f>
        <v>1.4700000000000004</v>
      </c>
    </row>
    <row r="125" spans="1:16" ht="15" x14ac:dyDescent="0.25">
      <c r="A125" s="1"/>
      <c r="D125" s="183"/>
      <c r="E125" s="183"/>
      <c r="F125" s="183"/>
      <c r="G125" s="183"/>
      <c r="H125" s="183"/>
      <c r="I125" s="183"/>
      <c r="J125" s="183"/>
      <c r="K125" s="183"/>
      <c r="L125" s="183"/>
      <c r="M125" s="183"/>
      <c r="N125" s="183"/>
      <c r="O125" s="183"/>
      <c r="P125" s="183"/>
    </row>
    <row r="126" spans="1:16" x14ac:dyDescent="0.2">
      <c r="B126" s="2" t="s">
        <v>583</v>
      </c>
      <c r="D126" s="114">
        <v>0.08</v>
      </c>
      <c r="E126" s="114">
        <v>0.05</v>
      </c>
      <c r="F126" s="114">
        <v>0.04</v>
      </c>
      <c r="G126" s="114">
        <v>0.2</v>
      </c>
      <c r="H126" s="114">
        <v>0.12</v>
      </c>
      <c r="I126" s="114">
        <v>0.05</v>
      </c>
      <c r="J126" s="114">
        <v>0.06</v>
      </c>
      <c r="K126" s="114">
        <v>0.05</v>
      </c>
      <c r="L126" s="114">
        <v>0.06</v>
      </c>
      <c r="M126" s="114">
        <v>0.05</v>
      </c>
      <c r="N126" s="114">
        <v>0.03</v>
      </c>
      <c r="O126" s="114">
        <v>0.02</v>
      </c>
      <c r="P126" s="114">
        <f>SUM(D126:O126)</f>
        <v>0.81000000000000028</v>
      </c>
    </row>
    <row r="127" spans="1:16" x14ac:dyDescent="0.2">
      <c r="B127" s="2" t="s">
        <v>419</v>
      </c>
      <c r="D127" s="114">
        <v>0</v>
      </c>
      <c r="E127" s="114">
        <v>0.59</v>
      </c>
      <c r="F127" s="114">
        <v>0</v>
      </c>
      <c r="G127" s="114">
        <v>0</v>
      </c>
      <c r="H127" s="114">
        <v>0</v>
      </c>
      <c r="I127" s="114">
        <v>0</v>
      </c>
      <c r="J127" s="114">
        <v>0</v>
      </c>
      <c r="K127" s="114">
        <v>0</v>
      </c>
      <c r="L127" s="114">
        <v>0</v>
      </c>
      <c r="M127" s="114">
        <v>0</v>
      </c>
      <c r="N127" s="114">
        <v>7.0000000000000007E-2</v>
      </c>
      <c r="O127" s="114">
        <v>0</v>
      </c>
      <c r="P127" s="114">
        <f>SUM(D127:O127)</f>
        <v>0.65999999999999992</v>
      </c>
    </row>
    <row r="128" spans="1:16" x14ac:dyDescent="0.2">
      <c r="D128" s="114"/>
      <c r="E128" s="114"/>
      <c r="F128" s="114"/>
      <c r="G128" s="114"/>
      <c r="H128" s="114"/>
      <c r="I128" s="114"/>
      <c r="J128" s="114"/>
      <c r="K128" s="114"/>
      <c r="L128" s="114"/>
      <c r="M128" s="114"/>
      <c r="N128" s="114"/>
      <c r="O128" s="114"/>
      <c r="P128" s="114"/>
    </row>
    <row r="129" spans="1:16" s="4" customFormat="1" ht="15" x14ac:dyDescent="0.25">
      <c r="A129" s="3" t="s">
        <v>122</v>
      </c>
      <c r="D129" s="19">
        <f t="shared" ref="D129:O129" si="17">SUM(D131:D134)</f>
        <v>29.67</v>
      </c>
      <c r="E129" s="19">
        <f t="shared" si="17"/>
        <v>30.490000000000002</v>
      </c>
      <c r="F129" s="19">
        <f>SUM(F131:F134)</f>
        <v>13.099999999999998</v>
      </c>
      <c r="G129" s="19">
        <f t="shared" si="17"/>
        <v>44.59</v>
      </c>
      <c r="H129" s="19">
        <f t="shared" si="17"/>
        <v>64.83</v>
      </c>
      <c r="I129" s="19">
        <f t="shared" si="17"/>
        <v>40.08</v>
      </c>
      <c r="J129" s="19">
        <f t="shared" si="17"/>
        <v>48.339999999999996</v>
      </c>
      <c r="K129" s="19">
        <f t="shared" si="17"/>
        <v>18.14</v>
      </c>
      <c r="L129" s="19">
        <f t="shared" si="17"/>
        <v>39.660000000000004</v>
      </c>
      <c r="M129" s="19">
        <f t="shared" si="17"/>
        <v>32.699999999999996</v>
      </c>
      <c r="N129" s="19">
        <f t="shared" si="17"/>
        <v>33.110000000000007</v>
      </c>
      <c r="O129" s="19">
        <f t="shared" si="17"/>
        <v>13.6</v>
      </c>
      <c r="P129" s="19">
        <f>SUM(D129:O129)</f>
        <v>408.31</v>
      </c>
    </row>
    <row r="130" spans="1:16" ht="15" x14ac:dyDescent="0.25">
      <c r="A130" s="1"/>
      <c r="D130" s="175"/>
      <c r="E130" s="175"/>
      <c r="F130" s="175"/>
      <c r="G130" s="175"/>
      <c r="H130" s="175"/>
      <c r="I130" s="175"/>
      <c r="J130" s="175"/>
      <c r="K130" s="175"/>
      <c r="L130" s="175"/>
      <c r="M130" s="175"/>
      <c r="N130" s="175"/>
      <c r="O130" s="175"/>
      <c r="P130" s="175"/>
    </row>
    <row r="131" spans="1:16" x14ac:dyDescent="0.2">
      <c r="B131" s="2" t="s">
        <v>331</v>
      </c>
      <c r="D131" s="114">
        <v>0.56999999999999995</v>
      </c>
      <c r="E131" s="114">
        <v>0.05</v>
      </c>
      <c r="F131" s="114">
        <v>0.03</v>
      </c>
      <c r="G131" s="114">
        <v>0.34</v>
      </c>
      <c r="H131" s="114">
        <v>0.12</v>
      </c>
      <c r="I131" s="114">
        <v>0.19</v>
      </c>
      <c r="J131" s="114">
        <v>0.41</v>
      </c>
      <c r="K131" s="114">
        <v>0.05</v>
      </c>
      <c r="L131" s="114">
        <v>0.28000000000000003</v>
      </c>
      <c r="M131" s="114">
        <v>1</v>
      </c>
      <c r="N131" s="114">
        <v>0.02</v>
      </c>
      <c r="O131" s="114">
        <v>0.03</v>
      </c>
      <c r="P131" s="114">
        <f>SUM(D131:O131)</f>
        <v>3.09</v>
      </c>
    </row>
    <row r="132" spans="1:16" x14ac:dyDescent="0.2">
      <c r="B132" s="2" t="s">
        <v>332</v>
      </c>
      <c r="D132" s="114">
        <v>29.09</v>
      </c>
      <c r="E132" s="114">
        <v>30.44</v>
      </c>
      <c r="F132" s="114">
        <v>13.03</v>
      </c>
      <c r="G132" s="114">
        <v>44.25</v>
      </c>
      <c r="H132" s="114">
        <v>64.709999999999994</v>
      </c>
      <c r="I132" s="114">
        <v>39.880000000000003</v>
      </c>
      <c r="J132" s="114">
        <v>47.92</v>
      </c>
      <c r="K132" s="114">
        <v>18.09</v>
      </c>
      <c r="L132" s="114">
        <v>39.35</v>
      </c>
      <c r="M132" s="114">
        <v>31.69</v>
      </c>
      <c r="N132" s="114">
        <v>33.090000000000003</v>
      </c>
      <c r="O132" s="114">
        <v>13.57</v>
      </c>
      <c r="P132" s="114">
        <f>SUM(D132:O132)</f>
        <v>405.10999999999996</v>
      </c>
    </row>
    <row r="133" spans="1:16" x14ac:dyDescent="0.2">
      <c r="B133" s="2" t="s">
        <v>450</v>
      </c>
      <c r="D133" s="114">
        <v>0</v>
      </c>
      <c r="E133" s="114">
        <v>0</v>
      </c>
      <c r="F133" s="114">
        <v>0.02</v>
      </c>
      <c r="G133" s="114">
        <v>0</v>
      </c>
      <c r="H133" s="114">
        <v>0</v>
      </c>
      <c r="I133" s="114">
        <v>0</v>
      </c>
      <c r="J133" s="114">
        <v>0</v>
      </c>
      <c r="K133" s="114">
        <v>0</v>
      </c>
      <c r="L133" s="114">
        <v>0</v>
      </c>
      <c r="M133" s="114">
        <v>0</v>
      </c>
      <c r="N133" s="114">
        <v>0</v>
      </c>
      <c r="O133" s="114">
        <v>0</v>
      </c>
      <c r="P133" s="114">
        <f>SUM(D133:O133)</f>
        <v>0.02</v>
      </c>
    </row>
    <row r="134" spans="1:16" x14ac:dyDescent="0.2">
      <c r="B134" s="2" t="s">
        <v>335</v>
      </c>
      <c r="D134" s="114">
        <v>0.01</v>
      </c>
      <c r="E134" s="114">
        <v>0</v>
      </c>
      <c r="F134" s="114">
        <v>0.02</v>
      </c>
      <c r="G134" s="114">
        <v>0</v>
      </c>
      <c r="H134" s="114">
        <v>0</v>
      </c>
      <c r="I134" s="114">
        <v>0.01</v>
      </c>
      <c r="J134" s="114">
        <v>0.01</v>
      </c>
      <c r="K134" s="114">
        <v>0</v>
      </c>
      <c r="L134" s="114">
        <v>0.03</v>
      </c>
      <c r="M134" s="114">
        <v>0.01</v>
      </c>
      <c r="N134" s="114">
        <v>0</v>
      </c>
      <c r="O134" s="114">
        <v>0</v>
      </c>
      <c r="P134" s="114">
        <f>SUM(D134:O134)</f>
        <v>0.09</v>
      </c>
    </row>
    <row r="135" spans="1:16" x14ac:dyDescent="0.2">
      <c r="D135" s="114"/>
      <c r="E135" s="114"/>
      <c r="F135" s="114"/>
      <c r="G135" s="114"/>
      <c r="H135" s="114"/>
      <c r="I135" s="114"/>
      <c r="J135" s="114"/>
      <c r="K135" s="114"/>
      <c r="L135" s="114"/>
      <c r="M135" s="114"/>
      <c r="N135" s="114"/>
      <c r="O135" s="114"/>
      <c r="P135" s="114"/>
    </row>
    <row r="136" spans="1:16" s="4" customFormat="1" ht="15" x14ac:dyDescent="0.25">
      <c r="A136" s="3" t="s">
        <v>128</v>
      </c>
      <c r="D136" s="19">
        <f t="shared" ref="D136:O136" si="18">SUM(D138:D139)</f>
        <v>20.029999999999998</v>
      </c>
      <c r="E136" s="19">
        <f t="shared" si="18"/>
        <v>37.03</v>
      </c>
      <c r="F136" s="19">
        <f t="shared" si="18"/>
        <v>16.759999999999998</v>
      </c>
      <c r="G136" s="19">
        <f t="shared" si="18"/>
        <v>9.5599999999999987</v>
      </c>
      <c r="H136" s="19">
        <f t="shared" si="18"/>
        <v>13.16</v>
      </c>
      <c r="I136" s="19">
        <f t="shared" si="18"/>
        <v>22.21</v>
      </c>
      <c r="J136" s="19">
        <f t="shared" si="18"/>
        <v>14.360000000000001</v>
      </c>
      <c r="K136" s="19">
        <f t="shared" si="18"/>
        <v>9.08</v>
      </c>
      <c r="L136" s="19">
        <f t="shared" si="18"/>
        <v>17.82</v>
      </c>
      <c r="M136" s="19">
        <f t="shared" si="18"/>
        <v>11.36</v>
      </c>
      <c r="N136" s="19">
        <f t="shared" si="18"/>
        <v>6.3599999999999994</v>
      </c>
      <c r="O136" s="19">
        <f t="shared" si="18"/>
        <v>16.98</v>
      </c>
      <c r="P136" s="19">
        <f>SUM(D136:O136)</f>
        <v>194.71</v>
      </c>
    </row>
    <row r="137" spans="1:16" x14ac:dyDescent="0.2">
      <c r="D137" s="114"/>
      <c r="E137" s="114"/>
      <c r="F137" s="114"/>
      <c r="G137" s="114"/>
      <c r="H137" s="114"/>
      <c r="I137" s="114"/>
      <c r="J137" s="114"/>
      <c r="K137" s="114"/>
      <c r="L137" s="114"/>
      <c r="M137" s="114"/>
      <c r="N137" s="114"/>
      <c r="O137" s="114"/>
      <c r="P137" s="114"/>
    </row>
    <row r="138" spans="1:16" x14ac:dyDescent="0.2">
      <c r="B138" s="2" t="s">
        <v>795</v>
      </c>
      <c r="D138" s="114">
        <v>16.13</v>
      </c>
      <c r="E138" s="114">
        <v>33.200000000000003</v>
      </c>
      <c r="F138" s="114">
        <v>13.29</v>
      </c>
      <c r="G138" s="114">
        <v>7.35</v>
      </c>
      <c r="H138" s="114">
        <v>9.08</v>
      </c>
      <c r="I138" s="114">
        <v>19.71</v>
      </c>
      <c r="J138" s="114">
        <v>10.38</v>
      </c>
      <c r="K138" s="114">
        <v>5.67</v>
      </c>
      <c r="L138" s="114">
        <v>13.43</v>
      </c>
      <c r="M138" s="114">
        <v>5.41</v>
      </c>
      <c r="N138" s="114">
        <v>4.01</v>
      </c>
      <c r="O138" s="114">
        <v>15.26</v>
      </c>
      <c r="P138" s="114">
        <f>SUM(D138:O138)</f>
        <v>152.91999999999996</v>
      </c>
    </row>
    <row r="139" spans="1:16" x14ac:dyDescent="0.2">
      <c r="B139" s="2" t="s">
        <v>131</v>
      </c>
      <c r="D139" s="114">
        <v>3.9</v>
      </c>
      <c r="E139" s="114">
        <v>3.83</v>
      </c>
      <c r="F139" s="114">
        <v>3.47</v>
      </c>
      <c r="G139" s="114">
        <v>2.21</v>
      </c>
      <c r="H139" s="114">
        <v>4.08</v>
      </c>
      <c r="I139" s="114">
        <v>2.5</v>
      </c>
      <c r="J139" s="114">
        <v>3.98</v>
      </c>
      <c r="K139" s="114">
        <v>3.41</v>
      </c>
      <c r="L139" s="114">
        <v>4.3899999999999997</v>
      </c>
      <c r="M139" s="114">
        <v>5.95</v>
      </c>
      <c r="N139" s="114">
        <v>2.35</v>
      </c>
      <c r="O139" s="114">
        <v>1.72</v>
      </c>
      <c r="P139" s="114">
        <f>SUM(D139:O139)</f>
        <v>41.790000000000006</v>
      </c>
    </row>
    <row r="140" spans="1:16" x14ac:dyDescent="0.2">
      <c r="D140" s="114"/>
      <c r="E140" s="114"/>
      <c r="F140" s="114"/>
      <c r="G140" s="114"/>
      <c r="H140" s="114"/>
      <c r="I140" s="114"/>
      <c r="J140" s="114"/>
      <c r="K140" s="114"/>
      <c r="L140" s="114"/>
      <c r="M140" s="114"/>
      <c r="N140" s="114"/>
      <c r="O140" s="114"/>
      <c r="P140" s="114"/>
    </row>
    <row r="141" spans="1:16" s="4" customFormat="1" ht="15" x14ac:dyDescent="0.25">
      <c r="A141" s="3" t="s">
        <v>140</v>
      </c>
      <c r="D141" s="19">
        <f t="shared" ref="D141:O141" si="19">SUM(D143:D159)</f>
        <v>7.5</v>
      </c>
      <c r="E141" s="19">
        <f t="shared" si="19"/>
        <v>7.27</v>
      </c>
      <c r="F141" s="19">
        <f t="shared" si="19"/>
        <v>6.87</v>
      </c>
      <c r="G141" s="19">
        <f t="shared" si="19"/>
        <v>4.63</v>
      </c>
      <c r="H141" s="19">
        <f t="shared" si="19"/>
        <v>9.379999999999999</v>
      </c>
      <c r="I141" s="19">
        <f t="shared" si="19"/>
        <v>8.18</v>
      </c>
      <c r="J141" s="19">
        <f t="shared" si="19"/>
        <v>6.21</v>
      </c>
      <c r="K141" s="19">
        <f t="shared" si="19"/>
        <v>4.7899999999999991</v>
      </c>
      <c r="L141" s="19">
        <f t="shared" si="19"/>
        <v>8.57</v>
      </c>
      <c r="M141" s="19">
        <f t="shared" si="19"/>
        <v>6.879999999999999</v>
      </c>
      <c r="N141" s="19">
        <f t="shared" si="19"/>
        <v>5.68</v>
      </c>
      <c r="O141" s="19">
        <f t="shared" si="19"/>
        <v>4.99</v>
      </c>
      <c r="P141" s="19">
        <f>SUM(D141:O141)</f>
        <v>80.95</v>
      </c>
    </row>
    <row r="142" spans="1:16" ht="15" x14ac:dyDescent="0.25">
      <c r="A142" s="1"/>
      <c r="D142" s="175"/>
      <c r="E142" s="175"/>
      <c r="F142" s="175"/>
      <c r="G142" s="175"/>
      <c r="H142" s="175"/>
      <c r="I142" s="175"/>
      <c r="J142" s="175"/>
      <c r="K142" s="175"/>
      <c r="L142" s="175"/>
      <c r="M142" s="175"/>
      <c r="N142" s="175"/>
      <c r="O142" s="175"/>
      <c r="P142" s="175"/>
    </row>
    <row r="143" spans="1:16" x14ac:dyDescent="0.2">
      <c r="B143" s="2" t="s">
        <v>141</v>
      </c>
      <c r="D143" s="114">
        <v>0.65</v>
      </c>
      <c r="E143" s="114">
        <v>0.56999999999999995</v>
      </c>
      <c r="F143" s="114">
        <v>0.51</v>
      </c>
      <c r="G143" s="114">
        <v>0.35</v>
      </c>
      <c r="H143" s="114">
        <v>0.89</v>
      </c>
      <c r="I143" s="114">
        <v>0.82</v>
      </c>
      <c r="J143" s="114">
        <v>0.53</v>
      </c>
      <c r="K143" s="114">
        <v>0.69</v>
      </c>
      <c r="L143" s="114">
        <v>1.41</v>
      </c>
      <c r="M143" s="114">
        <v>0.45</v>
      </c>
      <c r="N143" s="114">
        <v>1.36</v>
      </c>
      <c r="O143" s="114">
        <v>0.38</v>
      </c>
      <c r="P143" s="114">
        <f t="shared" ref="P143:P159" si="20">SUM(D143:O143)</f>
        <v>8.6100000000000012</v>
      </c>
    </row>
    <row r="144" spans="1:16" x14ac:dyDescent="0.2">
      <c r="B144" s="2" t="s">
        <v>143</v>
      </c>
      <c r="D144" s="114">
        <v>0.13</v>
      </c>
      <c r="E144" s="114">
        <v>0.14000000000000001</v>
      </c>
      <c r="F144" s="114">
        <v>0.1</v>
      </c>
      <c r="G144" s="114">
        <v>0.01</v>
      </c>
      <c r="H144" s="114">
        <v>0.05</v>
      </c>
      <c r="I144" s="114">
        <v>0.05</v>
      </c>
      <c r="J144" s="114">
        <v>0.04</v>
      </c>
      <c r="K144" s="114">
        <v>7.0000000000000007E-2</v>
      </c>
      <c r="L144" s="114">
        <v>0.08</v>
      </c>
      <c r="M144" s="114">
        <v>7.0000000000000007E-2</v>
      </c>
      <c r="N144" s="114">
        <v>0.28000000000000003</v>
      </c>
      <c r="O144" s="114">
        <v>0.04</v>
      </c>
      <c r="P144" s="114">
        <f t="shared" si="20"/>
        <v>1.06</v>
      </c>
    </row>
    <row r="145" spans="2:16" x14ac:dyDescent="0.2">
      <c r="B145" s="2" t="s">
        <v>774</v>
      </c>
      <c r="D145" s="114">
        <v>0.05</v>
      </c>
      <c r="E145" s="114">
        <v>0.03</v>
      </c>
      <c r="F145" s="114">
        <v>0.04</v>
      </c>
      <c r="G145" s="114">
        <v>0.06</v>
      </c>
      <c r="H145" s="114">
        <v>0.04</v>
      </c>
      <c r="I145" s="114">
        <v>0.03</v>
      </c>
      <c r="J145" s="114">
        <v>0.13</v>
      </c>
      <c r="K145" s="114">
        <v>7.0000000000000007E-2</v>
      </c>
      <c r="L145" s="114">
        <v>0.03</v>
      </c>
      <c r="M145" s="114">
        <v>0.11</v>
      </c>
      <c r="N145" s="114">
        <v>0.04</v>
      </c>
      <c r="O145" s="114">
        <v>0.02</v>
      </c>
      <c r="P145" s="114">
        <f t="shared" si="20"/>
        <v>0.65</v>
      </c>
    </row>
    <row r="146" spans="2:16" x14ac:dyDescent="0.2">
      <c r="B146" s="2" t="s">
        <v>145</v>
      </c>
      <c r="D146" s="114">
        <v>1.05</v>
      </c>
      <c r="E146" s="114">
        <v>1.1299999999999999</v>
      </c>
      <c r="F146" s="114">
        <v>0.99</v>
      </c>
      <c r="G146" s="114">
        <v>0.48</v>
      </c>
      <c r="H146" s="114">
        <v>1.0900000000000001</v>
      </c>
      <c r="I146" s="114">
        <v>1.0900000000000001</v>
      </c>
      <c r="J146" s="114">
        <v>0.95</v>
      </c>
      <c r="K146" s="114">
        <v>0.73</v>
      </c>
      <c r="L146" s="114">
        <v>1.41</v>
      </c>
      <c r="M146" s="114">
        <v>1.02</v>
      </c>
      <c r="N146" s="114">
        <v>0.78</v>
      </c>
      <c r="O146" s="114">
        <v>0.66</v>
      </c>
      <c r="P146" s="114">
        <f t="shared" si="20"/>
        <v>11.379999999999999</v>
      </c>
    </row>
    <row r="147" spans="2:16" x14ac:dyDescent="0.2">
      <c r="B147" s="2" t="s">
        <v>146</v>
      </c>
      <c r="D147" s="114">
        <v>1.9</v>
      </c>
      <c r="E147" s="114">
        <v>2.06</v>
      </c>
      <c r="F147" s="114">
        <v>2.27</v>
      </c>
      <c r="G147" s="114">
        <v>1.64</v>
      </c>
      <c r="H147" s="114">
        <v>2.77</v>
      </c>
      <c r="I147" s="114">
        <v>3.71</v>
      </c>
      <c r="J147" s="114">
        <v>2.4700000000000002</v>
      </c>
      <c r="K147" s="114">
        <v>1.64</v>
      </c>
      <c r="L147" s="114">
        <v>2.79</v>
      </c>
      <c r="M147" s="114">
        <v>1.99</v>
      </c>
      <c r="N147" s="114">
        <v>1.38</v>
      </c>
      <c r="O147" s="114">
        <v>2.19</v>
      </c>
      <c r="P147" s="114">
        <f t="shared" si="20"/>
        <v>26.81</v>
      </c>
    </row>
    <row r="148" spans="2:16" x14ac:dyDescent="0.2">
      <c r="B148" s="2" t="s">
        <v>147</v>
      </c>
      <c r="D148" s="114">
        <v>0.04</v>
      </c>
      <c r="E148" s="114">
        <v>0.06</v>
      </c>
      <c r="F148" s="114">
        <v>0.01</v>
      </c>
      <c r="G148" s="114">
        <v>0</v>
      </c>
      <c r="H148" s="114">
        <v>0</v>
      </c>
      <c r="I148" s="114">
        <v>0</v>
      </c>
      <c r="J148" s="114">
        <v>0</v>
      </c>
      <c r="K148" s="114">
        <v>0</v>
      </c>
      <c r="L148" s="114">
        <v>0.02</v>
      </c>
      <c r="M148" s="114">
        <v>0.05</v>
      </c>
      <c r="N148" s="114">
        <v>0.11</v>
      </c>
      <c r="O148" s="114">
        <v>0.05</v>
      </c>
      <c r="P148" s="114">
        <f t="shared" si="20"/>
        <v>0.33999999999999997</v>
      </c>
    </row>
    <row r="149" spans="2:16" ht="28.5" x14ac:dyDescent="0.2">
      <c r="B149" s="182" t="s">
        <v>796</v>
      </c>
      <c r="D149" s="114">
        <v>0.47</v>
      </c>
      <c r="E149" s="114">
        <v>0.32</v>
      </c>
      <c r="F149" s="114">
        <v>0.21</v>
      </c>
      <c r="G149" s="114">
        <v>0.09</v>
      </c>
      <c r="H149" s="114">
        <v>0.21</v>
      </c>
      <c r="I149" s="114">
        <v>0.23</v>
      </c>
      <c r="J149" s="114">
        <v>0.17</v>
      </c>
      <c r="K149" s="114">
        <v>0.15</v>
      </c>
      <c r="L149" s="114">
        <v>0.38</v>
      </c>
      <c r="M149" s="114">
        <v>0.32</v>
      </c>
      <c r="N149" s="114">
        <v>0.17</v>
      </c>
      <c r="O149" s="114">
        <v>0.27</v>
      </c>
      <c r="P149" s="114">
        <f t="shared" si="20"/>
        <v>2.9899999999999998</v>
      </c>
    </row>
    <row r="150" spans="2:16" ht="28.5" x14ac:dyDescent="0.2">
      <c r="B150" s="125" t="s">
        <v>798</v>
      </c>
      <c r="D150" s="114">
        <v>0</v>
      </c>
      <c r="E150" s="114">
        <v>0</v>
      </c>
      <c r="F150" s="114">
        <v>0</v>
      </c>
      <c r="G150" s="114">
        <v>0</v>
      </c>
      <c r="H150" s="114">
        <v>0</v>
      </c>
      <c r="I150" s="114">
        <v>0</v>
      </c>
      <c r="J150" s="114">
        <v>0</v>
      </c>
      <c r="K150" s="114">
        <v>0</v>
      </c>
      <c r="L150" s="114">
        <v>0.08</v>
      </c>
      <c r="M150" s="114">
        <v>0</v>
      </c>
      <c r="N150" s="114">
        <v>0</v>
      </c>
      <c r="O150" s="114">
        <v>0</v>
      </c>
      <c r="P150" s="114">
        <f t="shared" si="20"/>
        <v>0.08</v>
      </c>
    </row>
    <row r="151" spans="2:16" ht="28.5" x14ac:dyDescent="0.2">
      <c r="B151" s="125" t="s">
        <v>799</v>
      </c>
      <c r="D151" s="114">
        <v>0</v>
      </c>
      <c r="E151" s="114">
        <v>0</v>
      </c>
      <c r="F151" s="114">
        <v>0</v>
      </c>
      <c r="G151" s="114">
        <v>0</v>
      </c>
      <c r="H151" s="114">
        <v>0</v>
      </c>
      <c r="I151" s="114">
        <v>0</v>
      </c>
      <c r="J151" s="114">
        <v>0</v>
      </c>
      <c r="K151" s="114">
        <v>0</v>
      </c>
      <c r="L151" s="114">
        <v>0</v>
      </c>
      <c r="M151" s="114">
        <v>0.02</v>
      </c>
      <c r="N151" s="114">
        <v>0</v>
      </c>
      <c r="O151" s="114">
        <v>0</v>
      </c>
      <c r="P151" s="114">
        <f t="shared" si="20"/>
        <v>0.02</v>
      </c>
    </row>
    <row r="152" spans="2:16" x14ac:dyDescent="0.2">
      <c r="B152" s="2" t="s">
        <v>804</v>
      </c>
      <c r="D152" s="114">
        <v>0</v>
      </c>
      <c r="E152" s="114">
        <v>0.06</v>
      </c>
      <c r="F152" s="114">
        <v>0</v>
      </c>
      <c r="G152" s="114">
        <v>0</v>
      </c>
      <c r="H152" s="114">
        <v>1.21</v>
      </c>
      <c r="I152" s="114">
        <v>0</v>
      </c>
      <c r="J152" s="114">
        <v>0</v>
      </c>
      <c r="K152" s="114">
        <v>0</v>
      </c>
      <c r="L152" s="114">
        <v>0</v>
      </c>
      <c r="M152" s="114">
        <v>0.97</v>
      </c>
      <c r="N152" s="114">
        <v>0</v>
      </c>
      <c r="O152" s="114">
        <v>0</v>
      </c>
      <c r="P152" s="114">
        <f t="shared" si="20"/>
        <v>2.2400000000000002</v>
      </c>
    </row>
    <row r="153" spans="2:16" ht="28.5" x14ac:dyDescent="0.2">
      <c r="B153" s="125" t="s">
        <v>816</v>
      </c>
      <c r="D153" s="114">
        <v>0.01</v>
      </c>
      <c r="E153" s="114">
        <v>0</v>
      </c>
      <c r="F153" s="114">
        <v>0</v>
      </c>
      <c r="G153" s="114">
        <v>0</v>
      </c>
      <c r="H153" s="114">
        <v>0</v>
      </c>
      <c r="I153" s="114">
        <v>0</v>
      </c>
      <c r="J153" s="114">
        <v>0</v>
      </c>
      <c r="K153" s="114">
        <v>0</v>
      </c>
      <c r="L153" s="114">
        <v>0</v>
      </c>
      <c r="M153" s="114">
        <v>0</v>
      </c>
      <c r="N153" s="114">
        <v>0</v>
      </c>
      <c r="O153" s="114">
        <v>0</v>
      </c>
      <c r="P153" s="114">
        <f t="shared" si="20"/>
        <v>0.01</v>
      </c>
    </row>
    <row r="154" spans="2:16" x14ac:dyDescent="0.2">
      <c r="B154" s="2" t="s">
        <v>817</v>
      </c>
      <c r="D154" s="114">
        <v>0.04</v>
      </c>
      <c r="E154" s="114">
        <v>0.05</v>
      </c>
      <c r="F154" s="114">
        <v>0.03</v>
      </c>
      <c r="G154" s="114">
        <v>0.05</v>
      </c>
      <c r="H154" s="114">
        <v>0.02</v>
      </c>
      <c r="I154" s="114">
        <v>0.02</v>
      </c>
      <c r="J154" s="114">
        <v>0.02</v>
      </c>
      <c r="K154" s="114">
        <v>0.01</v>
      </c>
      <c r="L154" s="114">
        <v>0.06</v>
      </c>
      <c r="M154" s="114">
        <v>0.03</v>
      </c>
      <c r="N154" s="114">
        <v>0.03</v>
      </c>
      <c r="O154" s="114">
        <v>0.03</v>
      </c>
      <c r="P154" s="114">
        <f t="shared" si="20"/>
        <v>0.39</v>
      </c>
    </row>
    <row r="155" spans="2:16" x14ac:dyDescent="0.2">
      <c r="B155" s="2" t="s">
        <v>802</v>
      </c>
      <c r="D155" s="114">
        <v>2.14</v>
      </c>
      <c r="E155" s="114">
        <v>1.91</v>
      </c>
      <c r="F155" s="114">
        <v>2.0099999999999998</v>
      </c>
      <c r="G155" s="114">
        <v>1.4</v>
      </c>
      <c r="H155" s="114">
        <v>1.93</v>
      </c>
      <c r="I155" s="114">
        <v>1.44</v>
      </c>
      <c r="J155" s="114">
        <v>1.45</v>
      </c>
      <c r="K155" s="114">
        <v>0.94</v>
      </c>
      <c r="L155" s="114">
        <v>1.8</v>
      </c>
      <c r="M155" s="114">
        <v>1.1200000000000001</v>
      </c>
      <c r="N155" s="114">
        <v>0.83</v>
      </c>
      <c r="O155" s="114">
        <v>0.97</v>
      </c>
      <c r="P155" s="114">
        <f t="shared" si="20"/>
        <v>17.939999999999994</v>
      </c>
    </row>
    <row r="156" spans="2:16" x14ac:dyDescent="0.2">
      <c r="B156" s="2" t="s">
        <v>801</v>
      </c>
      <c r="D156" s="114">
        <v>0.11</v>
      </c>
      <c r="E156" s="114">
        <v>0.18</v>
      </c>
      <c r="F156" s="114">
        <v>0.17</v>
      </c>
      <c r="G156" s="114">
        <v>0.26</v>
      </c>
      <c r="H156" s="114">
        <v>0.38</v>
      </c>
      <c r="I156" s="114">
        <v>0.14000000000000001</v>
      </c>
      <c r="J156" s="114">
        <v>0.15</v>
      </c>
      <c r="K156" s="114">
        <v>0.14000000000000001</v>
      </c>
      <c r="L156" s="114">
        <v>0.21</v>
      </c>
      <c r="M156" s="114">
        <v>0.22</v>
      </c>
      <c r="N156" s="114">
        <v>0.1</v>
      </c>
      <c r="O156" s="114">
        <v>0.08</v>
      </c>
      <c r="P156" s="114">
        <f t="shared" si="20"/>
        <v>2.14</v>
      </c>
    </row>
    <row r="157" spans="2:16" x14ac:dyDescent="0.2">
      <c r="B157" s="2" t="s">
        <v>158</v>
      </c>
      <c r="D157" s="114">
        <v>0</v>
      </c>
      <c r="E157" s="114">
        <v>7.0000000000000007E-2</v>
      </c>
      <c r="F157" s="114">
        <v>0</v>
      </c>
      <c r="G157" s="114">
        <v>0</v>
      </c>
      <c r="H157" s="114">
        <v>0</v>
      </c>
      <c r="I157" s="114">
        <v>0</v>
      </c>
      <c r="J157" s="114">
        <v>0</v>
      </c>
      <c r="K157" s="114">
        <v>0</v>
      </c>
      <c r="L157" s="114">
        <v>0</v>
      </c>
      <c r="M157" s="114">
        <v>0</v>
      </c>
      <c r="N157" s="114">
        <v>0.01</v>
      </c>
      <c r="O157" s="114">
        <v>0</v>
      </c>
      <c r="P157" s="114">
        <f t="shared" si="20"/>
        <v>0.08</v>
      </c>
    </row>
    <row r="158" spans="2:16" x14ac:dyDescent="0.2">
      <c r="B158" s="2" t="s">
        <v>152</v>
      </c>
      <c r="D158" s="114">
        <v>0.31</v>
      </c>
      <c r="E158" s="114">
        <v>0.15</v>
      </c>
      <c r="F158" s="114">
        <v>0.09</v>
      </c>
      <c r="G158" s="114">
        <v>0.01</v>
      </c>
      <c r="H158" s="114">
        <v>0</v>
      </c>
      <c r="I158" s="114">
        <v>0.06</v>
      </c>
      <c r="J158" s="114">
        <v>0</v>
      </c>
      <c r="K158" s="114">
        <v>0</v>
      </c>
      <c r="L158" s="114">
        <v>0</v>
      </c>
      <c r="M158" s="114">
        <v>0</v>
      </c>
      <c r="N158" s="114">
        <v>0.1</v>
      </c>
      <c r="O158" s="114">
        <v>7.0000000000000007E-2</v>
      </c>
      <c r="P158" s="114">
        <f t="shared" si="20"/>
        <v>0.78999999999999981</v>
      </c>
    </row>
    <row r="159" spans="2:16" x14ac:dyDescent="0.2">
      <c r="B159" s="2" t="s">
        <v>524</v>
      </c>
      <c r="D159" s="114">
        <v>0.6</v>
      </c>
      <c r="E159" s="114">
        <v>0.54</v>
      </c>
      <c r="F159" s="114">
        <v>0.44</v>
      </c>
      <c r="G159" s="114">
        <v>0.28000000000000003</v>
      </c>
      <c r="H159" s="114">
        <v>0.79</v>
      </c>
      <c r="I159" s="114">
        <v>0.59</v>
      </c>
      <c r="J159" s="114">
        <v>0.3</v>
      </c>
      <c r="K159" s="114">
        <v>0.35</v>
      </c>
      <c r="L159" s="114">
        <v>0.3</v>
      </c>
      <c r="M159" s="114">
        <v>0.51</v>
      </c>
      <c r="N159" s="114">
        <v>0.49</v>
      </c>
      <c r="O159" s="114">
        <v>0.23</v>
      </c>
      <c r="P159" s="114">
        <f t="shared" si="20"/>
        <v>5.4200000000000008</v>
      </c>
    </row>
    <row r="160" spans="2:16" x14ac:dyDescent="0.2">
      <c r="D160" s="114"/>
      <c r="E160" s="114"/>
      <c r="F160" s="114"/>
      <c r="G160" s="114"/>
      <c r="H160" s="114"/>
      <c r="I160" s="114"/>
      <c r="J160" s="114"/>
      <c r="K160" s="114"/>
      <c r="L160" s="114"/>
      <c r="M160" s="114"/>
      <c r="N160" s="114"/>
      <c r="O160" s="114"/>
      <c r="P160" s="114"/>
    </row>
    <row r="161" spans="1:16" s="4" customFormat="1" ht="15" x14ac:dyDescent="0.25">
      <c r="A161" s="3" t="s">
        <v>159</v>
      </c>
      <c r="C161" s="3"/>
      <c r="D161" s="19">
        <f t="shared" ref="D161:O161" si="21">SUM(D163:D163)</f>
        <v>0.74</v>
      </c>
      <c r="E161" s="19">
        <f t="shared" si="21"/>
        <v>0.64</v>
      </c>
      <c r="F161" s="19">
        <f t="shared" si="21"/>
        <v>1.27</v>
      </c>
      <c r="G161" s="19">
        <f t="shared" si="21"/>
        <v>1.27</v>
      </c>
      <c r="H161" s="19">
        <f t="shared" si="21"/>
        <v>0.93</v>
      </c>
      <c r="I161" s="19">
        <f t="shared" si="21"/>
        <v>0.65</v>
      </c>
      <c r="J161" s="19">
        <f t="shared" si="21"/>
        <v>0.71</v>
      </c>
      <c r="K161" s="19">
        <f t="shared" si="21"/>
        <v>0.59</v>
      </c>
      <c r="L161" s="19">
        <f t="shared" si="21"/>
        <v>0.73</v>
      </c>
      <c r="M161" s="19">
        <f t="shared" si="21"/>
        <v>4.71</v>
      </c>
      <c r="N161" s="19">
        <f t="shared" si="21"/>
        <v>0.68</v>
      </c>
      <c r="O161" s="19">
        <f t="shared" si="21"/>
        <v>0.47</v>
      </c>
      <c r="P161" s="19">
        <f>SUM(D161:O161)</f>
        <v>13.389999999999999</v>
      </c>
    </row>
    <row r="162" spans="1:16" x14ac:dyDescent="0.2">
      <c r="D162" s="114"/>
      <c r="E162" s="114"/>
      <c r="F162" s="114"/>
      <c r="G162" s="114"/>
      <c r="H162" s="114"/>
      <c r="I162" s="114"/>
      <c r="J162" s="114"/>
      <c r="K162" s="114"/>
      <c r="L162" s="114"/>
      <c r="M162" s="114"/>
      <c r="N162" s="114"/>
      <c r="O162" s="114"/>
      <c r="P162" s="114"/>
    </row>
    <row r="163" spans="1:16" x14ac:dyDescent="0.2">
      <c r="B163" s="2" t="s">
        <v>363</v>
      </c>
      <c r="D163" s="114">
        <v>0.74</v>
      </c>
      <c r="E163" s="114">
        <v>0.64</v>
      </c>
      <c r="F163" s="114">
        <v>1.27</v>
      </c>
      <c r="G163" s="114">
        <v>1.27</v>
      </c>
      <c r="H163" s="114">
        <v>0.93</v>
      </c>
      <c r="I163" s="114">
        <v>0.65</v>
      </c>
      <c r="J163" s="114">
        <v>0.71</v>
      </c>
      <c r="K163" s="114">
        <v>0.59</v>
      </c>
      <c r="L163" s="114">
        <v>0.73</v>
      </c>
      <c r="M163" s="114">
        <v>4.71</v>
      </c>
      <c r="N163" s="114">
        <v>0.68</v>
      </c>
      <c r="O163" s="114">
        <v>0.47</v>
      </c>
      <c r="P163" s="114">
        <f>SUM(D163:O163)</f>
        <v>13.389999999999999</v>
      </c>
    </row>
    <row r="164" spans="1:16" x14ac:dyDescent="0.2">
      <c r="D164" s="114"/>
      <c r="E164" s="114"/>
      <c r="F164" s="114"/>
      <c r="G164" s="114"/>
      <c r="H164" s="114"/>
      <c r="I164" s="114"/>
      <c r="J164" s="114"/>
      <c r="K164" s="114"/>
      <c r="L164" s="114"/>
      <c r="M164" s="114"/>
      <c r="N164" s="114"/>
      <c r="O164" s="114"/>
      <c r="P164" s="114"/>
    </row>
    <row r="165" spans="1:16" s="4" customFormat="1" ht="15" x14ac:dyDescent="0.25">
      <c r="A165" s="3" t="s">
        <v>161</v>
      </c>
      <c r="D165" s="19">
        <f t="shared" ref="D165:O165" si="22">SUM(D167:D169)</f>
        <v>3.25</v>
      </c>
      <c r="E165" s="19">
        <f t="shared" si="22"/>
        <v>7.77</v>
      </c>
      <c r="F165" s="19">
        <f t="shared" si="22"/>
        <v>4.2399999999999993</v>
      </c>
      <c r="G165" s="19">
        <f t="shared" si="22"/>
        <v>2.64</v>
      </c>
      <c r="H165" s="19">
        <f t="shared" si="22"/>
        <v>2.91</v>
      </c>
      <c r="I165" s="19">
        <f t="shared" si="22"/>
        <v>2.71</v>
      </c>
      <c r="J165" s="19">
        <f t="shared" si="22"/>
        <v>4.3099999999999996</v>
      </c>
      <c r="K165" s="19">
        <f t="shared" si="22"/>
        <v>1.83</v>
      </c>
      <c r="L165" s="19">
        <f t="shared" si="22"/>
        <v>2.09</v>
      </c>
      <c r="M165" s="19">
        <f t="shared" si="22"/>
        <v>2.25</v>
      </c>
      <c r="N165" s="19">
        <f t="shared" si="22"/>
        <v>5.3900000000000006</v>
      </c>
      <c r="O165" s="19">
        <f t="shared" si="22"/>
        <v>2.58</v>
      </c>
      <c r="P165" s="19">
        <f>SUM(D165:O165)</f>
        <v>41.97</v>
      </c>
    </row>
    <row r="166" spans="1:16" x14ac:dyDescent="0.2">
      <c r="D166" s="114"/>
      <c r="E166" s="114"/>
      <c r="F166" s="114"/>
      <c r="G166" s="114"/>
      <c r="H166" s="114"/>
      <c r="I166" s="114"/>
      <c r="J166" s="114"/>
      <c r="K166" s="114"/>
      <c r="L166" s="114"/>
      <c r="M166" s="114"/>
      <c r="N166" s="114"/>
      <c r="O166" s="114"/>
      <c r="P166" s="114"/>
    </row>
    <row r="167" spans="1:16" x14ac:dyDescent="0.2">
      <c r="B167" s="2" t="s">
        <v>163</v>
      </c>
      <c r="D167" s="114">
        <v>0.02</v>
      </c>
      <c r="E167" s="114">
        <v>0</v>
      </c>
      <c r="F167" s="114">
        <v>0.01</v>
      </c>
      <c r="G167" s="114">
        <v>0</v>
      </c>
      <c r="H167" s="114">
        <v>0.02</v>
      </c>
      <c r="I167" s="114">
        <v>0</v>
      </c>
      <c r="J167" s="114">
        <v>0.01</v>
      </c>
      <c r="K167" s="114">
        <v>0</v>
      </c>
      <c r="L167" s="114">
        <v>0</v>
      </c>
      <c r="M167" s="114">
        <v>0</v>
      </c>
      <c r="N167" s="114">
        <v>0</v>
      </c>
      <c r="O167" s="114">
        <v>0</v>
      </c>
      <c r="P167" s="114">
        <f>SUM(D167:O167)</f>
        <v>6.0000000000000005E-2</v>
      </c>
    </row>
    <row r="168" spans="1:16" x14ac:dyDescent="0.2">
      <c r="B168" s="2" t="s">
        <v>165</v>
      </c>
      <c r="D168" s="114">
        <v>2.85</v>
      </c>
      <c r="E168" s="114">
        <v>7.55</v>
      </c>
      <c r="F168" s="114">
        <v>2.34</v>
      </c>
      <c r="G168" s="114">
        <v>2.4900000000000002</v>
      </c>
      <c r="H168" s="114">
        <v>2.65</v>
      </c>
      <c r="I168" s="114">
        <v>2.4</v>
      </c>
      <c r="J168" s="114">
        <v>3.87</v>
      </c>
      <c r="K168" s="114">
        <v>1.62</v>
      </c>
      <c r="L168" s="114">
        <v>1.88</v>
      </c>
      <c r="M168" s="114">
        <v>2.08</v>
      </c>
      <c r="N168" s="114">
        <v>3.6</v>
      </c>
      <c r="O168" s="114">
        <v>1.34</v>
      </c>
      <c r="P168" s="114">
        <f>SUM(D168:O168)</f>
        <v>34.67</v>
      </c>
    </row>
    <row r="169" spans="1:16" x14ac:dyDescent="0.2">
      <c r="B169" s="2" t="s">
        <v>805</v>
      </c>
      <c r="D169" s="114">
        <v>0.38</v>
      </c>
      <c r="E169" s="114">
        <v>0.22</v>
      </c>
      <c r="F169" s="114">
        <v>1.89</v>
      </c>
      <c r="G169" s="114">
        <v>0.15</v>
      </c>
      <c r="H169" s="114">
        <v>0.24</v>
      </c>
      <c r="I169" s="114">
        <v>0.31</v>
      </c>
      <c r="J169" s="114">
        <v>0.43</v>
      </c>
      <c r="K169" s="114">
        <v>0.21</v>
      </c>
      <c r="L169" s="114">
        <v>0.21</v>
      </c>
      <c r="M169" s="114">
        <v>0.17</v>
      </c>
      <c r="N169" s="114">
        <v>1.79</v>
      </c>
      <c r="O169" s="114">
        <v>1.24</v>
      </c>
      <c r="P169" s="114">
        <f>SUM(D169:O169)</f>
        <v>7.24</v>
      </c>
    </row>
    <row r="170" spans="1:16" x14ac:dyDescent="0.2">
      <c r="D170" s="114"/>
      <c r="E170" s="114"/>
      <c r="F170" s="114"/>
      <c r="G170" s="114"/>
      <c r="H170" s="114"/>
      <c r="I170" s="114"/>
      <c r="J170" s="114"/>
      <c r="K170" s="114"/>
      <c r="L170" s="114"/>
      <c r="M170" s="114"/>
      <c r="N170" s="114"/>
      <c r="O170" s="114"/>
      <c r="P170" s="114"/>
    </row>
    <row r="171" spans="1:16" s="4" customFormat="1" ht="15" x14ac:dyDescent="0.25">
      <c r="A171" s="3" t="s">
        <v>166</v>
      </c>
      <c r="D171" s="19">
        <f t="shared" ref="D171:O171" si="23">SUM(D173:D177)</f>
        <v>34.959999999999994</v>
      </c>
      <c r="E171" s="19">
        <f t="shared" si="23"/>
        <v>22.970000000000002</v>
      </c>
      <c r="F171" s="19">
        <f t="shared" si="23"/>
        <v>28.38</v>
      </c>
      <c r="G171" s="19">
        <f t="shared" si="23"/>
        <v>14.9</v>
      </c>
      <c r="H171" s="19">
        <f t="shared" si="23"/>
        <v>19.080000000000002</v>
      </c>
      <c r="I171" s="19">
        <f t="shared" si="23"/>
        <v>20.310000000000002</v>
      </c>
      <c r="J171" s="19">
        <f t="shared" si="23"/>
        <v>18.060000000000002</v>
      </c>
      <c r="K171" s="19">
        <f t="shared" si="23"/>
        <v>16.22</v>
      </c>
      <c r="L171" s="19">
        <f t="shared" si="23"/>
        <v>21.51</v>
      </c>
      <c r="M171" s="19">
        <f t="shared" si="23"/>
        <v>16.16</v>
      </c>
      <c r="N171" s="19">
        <f t="shared" si="23"/>
        <v>15.06</v>
      </c>
      <c r="O171" s="19">
        <f t="shared" si="23"/>
        <v>10.93</v>
      </c>
      <c r="P171" s="19">
        <f>SUM(D171:O171)</f>
        <v>238.54</v>
      </c>
    </row>
    <row r="172" spans="1:16" x14ac:dyDescent="0.2">
      <c r="D172" s="114"/>
      <c r="E172" s="114"/>
      <c r="F172" s="114"/>
      <c r="G172" s="114"/>
      <c r="H172" s="114"/>
      <c r="I172" s="114"/>
      <c r="J172" s="114"/>
      <c r="K172" s="114"/>
      <c r="L172" s="114"/>
      <c r="M172" s="114"/>
      <c r="N172" s="114"/>
      <c r="O172" s="114"/>
      <c r="P172" s="114"/>
    </row>
    <row r="173" spans="1:16" x14ac:dyDescent="0.2">
      <c r="B173" s="2" t="s">
        <v>368</v>
      </c>
      <c r="D173" s="114">
        <v>9.99</v>
      </c>
      <c r="E173" s="114">
        <v>3.73</v>
      </c>
      <c r="F173" s="114">
        <v>8.7799999999999994</v>
      </c>
      <c r="G173" s="114">
        <v>3.29</v>
      </c>
      <c r="H173" s="114">
        <v>3.66</v>
      </c>
      <c r="I173" s="114">
        <v>5.96</v>
      </c>
      <c r="J173" s="114">
        <v>4.0999999999999996</v>
      </c>
      <c r="K173" s="114">
        <v>3.83</v>
      </c>
      <c r="L173" s="114">
        <v>4.5</v>
      </c>
      <c r="M173" s="114">
        <v>2.67</v>
      </c>
      <c r="N173" s="114">
        <v>2.6</v>
      </c>
      <c r="O173" s="114">
        <v>1.93</v>
      </c>
      <c r="P173" s="114">
        <f>SUM(D173:O173)</f>
        <v>55.04</v>
      </c>
    </row>
    <row r="174" spans="1:16" x14ac:dyDescent="0.2">
      <c r="B174" s="2" t="s">
        <v>369</v>
      </c>
      <c r="D174" s="114">
        <v>0.19</v>
      </c>
      <c r="E174" s="114">
        <v>0.11</v>
      </c>
      <c r="F174" s="114">
        <v>0.1</v>
      </c>
      <c r="G174" s="114">
        <v>0.08</v>
      </c>
      <c r="H174" s="114">
        <v>0.06</v>
      </c>
      <c r="I174" s="114">
        <v>0.08</v>
      </c>
      <c r="J174" s="114">
        <v>7.0000000000000007E-2</v>
      </c>
      <c r="K174" s="114">
        <v>0.04</v>
      </c>
      <c r="L174" s="114">
        <v>0.06</v>
      </c>
      <c r="M174" s="114">
        <v>0.06</v>
      </c>
      <c r="N174" s="114">
        <v>0.03</v>
      </c>
      <c r="O174" s="114">
        <v>0.03</v>
      </c>
      <c r="P174" s="114">
        <f>SUM(D174:O174)</f>
        <v>0.91000000000000014</v>
      </c>
    </row>
    <row r="175" spans="1:16" x14ac:dyDescent="0.2">
      <c r="B175" s="2" t="s">
        <v>367</v>
      </c>
      <c r="D175" s="114">
        <v>22.45</v>
      </c>
      <c r="E175" s="114">
        <v>18.690000000000001</v>
      </c>
      <c r="F175" s="114">
        <v>15.6</v>
      </c>
      <c r="G175" s="114">
        <v>11.23</v>
      </c>
      <c r="H175" s="114">
        <v>13.31</v>
      </c>
      <c r="I175" s="114">
        <v>13.38</v>
      </c>
      <c r="J175" s="114">
        <v>12.83</v>
      </c>
      <c r="K175" s="114">
        <v>11.22</v>
      </c>
      <c r="L175" s="114">
        <v>15.63</v>
      </c>
      <c r="M175" s="114">
        <v>11.76</v>
      </c>
      <c r="N175" s="114">
        <v>11.88</v>
      </c>
      <c r="O175" s="114">
        <v>8.15</v>
      </c>
      <c r="P175" s="114">
        <f>SUM(D175:O175)</f>
        <v>166.13</v>
      </c>
    </row>
    <row r="176" spans="1:16" x14ac:dyDescent="0.2">
      <c r="B176" s="2" t="s">
        <v>372</v>
      </c>
      <c r="D176" s="114">
        <v>2.23</v>
      </c>
      <c r="E176" s="114">
        <v>0.43</v>
      </c>
      <c r="F176" s="114">
        <v>3.89</v>
      </c>
      <c r="G176" s="114">
        <v>0.28999999999999998</v>
      </c>
      <c r="H176" s="114">
        <v>2.04</v>
      </c>
      <c r="I176" s="114">
        <v>0.47</v>
      </c>
      <c r="J176" s="114">
        <v>0.94</v>
      </c>
      <c r="K176" s="114">
        <v>1.07</v>
      </c>
      <c r="L176" s="114">
        <v>1.31</v>
      </c>
      <c r="M176" s="114">
        <v>1.66</v>
      </c>
      <c r="N176" s="114">
        <v>0.52</v>
      </c>
      <c r="O176" s="114">
        <v>0.82</v>
      </c>
      <c r="P176" s="114">
        <f>SUM(D176:O176)</f>
        <v>15.670000000000002</v>
      </c>
    </row>
    <row r="177" spans="1:16" x14ac:dyDescent="0.2">
      <c r="B177" s="2" t="s">
        <v>806</v>
      </c>
      <c r="D177" s="114">
        <v>0.1</v>
      </c>
      <c r="E177" s="114">
        <v>0.01</v>
      </c>
      <c r="F177" s="114">
        <v>0.01</v>
      </c>
      <c r="G177" s="114">
        <v>0.01</v>
      </c>
      <c r="H177" s="114">
        <v>0.01</v>
      </c>
      <c r="I177" s="114">
        <v>0.42</v>
      </c>
      <c r="J177" s="114">
        <v>0.12</v>
      </c>
      <c r="K177" s="114">
        <v>0.06</v>
      </c>
      <c r="L177" s="114">
        <v>0.01</v>
      </c>
      <c r="M177" s="114">
        <v>0.01</v>
      </c>
      <c r="N177" s="114">
        <v>0.03</v>
      </c>
      <c r="O177" s="114">
        <v>0</v>
      </c>
      <c r="P177" s="114">
        <f>SUM(D177:O177)</f>
        <v>0.79</v>
      </c>
    </row>
    <row r="178" spans="1:16" x14ac:dyDescent="0.2">
      <c r="D178" s="114"/>
      <c r="E178" s="114"/>
      <c r="F178" s="114"/>
      <c r="G178" s="114"/>
      <c r="H178" s="114"/>
      <c r="I178" s="114"/>
      <c r="J178" s="114"/>
      <c r="K178" s="114"/>
      <c r="L178" s="114"/>
      <c r="M178" s="114"/>
      <c r="N178" s="114"/>
      <c r="O178" s="114"/>
      <c r="P178" s="114"/>
    </row>
    <row r="179" spans="1:16" s="4" customFormat="1" ht="15" x14ac:dyDescent="0.25">
      <c r="A179" s="3" t="s">
        <v>174</v>
      </c>
      <c r="C179" s="3"/>
      <c r="D179" s="19">
        <f t="shared" ref="D179:O179" si="24">SUM(D181:D188)</f>
        <v>471.40999999999997</v>
      </c>
      <c r="E179" s="19">
        <f t="shared" si="24"/>
        <v>334.25999999999993</v>
      </c>
      <c r="F179" s="19">
        <f t="shared" si="24"/>
        <v>400.71000000000004</v>
      </c>
      <c r="G179" s="19">
        <f t="shared" si="24"/>
        <v>426.49</v>
      </c>
      <c r="H179" s="19">
        <f t="shared" si="24"/>
        <v>433.84999999999997</v>
      </c>
      <c r="I179" s="19">
        <f t="shared" si="24"/>
        <v>433.77</v>
      </c>
      <c r="J179" s="19">
        <f t="shared" si="24"/>
        <v>381.31000000000006</v>
      </c>
      <c r="K179" s="19">
        <f t="shared" si="24"/>
        <v>2683.7400000000002</v>
      </c>
      <c r="L179" s="19">
        <f t="shared" si="24"/>
        <v>514.43000000000006</v>
      </c>
      <c r="M179" s="19">
        <f t="shared" si="24"/>
        <v>443.32000000000005</v>
      </c>
      <c r="N179" s="19">
        <f t="shared" si="24"/>
        <v>295.19</v>
      </c>
      <c r="O179" s="19">
        <f t="shared" si="24"/>
        <v>186.98000000000002</v>
      </c>
      <c r="P179" s="19">
        <f>SUM(D179:O179)</f>
        <v>7005.4599999999991</v>
      </c>
    </row>
    <row r="180" spans="1:16" x14ac:dyDescent="0.2">
      <c r="D180" s="114"/>
      <c r="E180" s="114"/>
      <c r="F180" s="114"/>
      <c r="G180" s="114"/>
      <c r="H180" s="114"/>
      <c r="I180" s="114"/>
      <c r="J180" s="114"/>
      <c r="K180" s="114"/>
      <c r="L180" s="114"/>
      <c r="M180" s="114"/>
      <c r="N180" s="114"/>
      <c r="O180" s="114"/>
      <c r="P180" s="114"/>
    </row>
    <row r="181" spans="1:16" x14ac:dyDescent="0.2">
      <c r="B181" s="2" t="s">
        <v>377</v>
      </c>
      <c r="D181" s="114">
        <v>218.2</v>
      </c>
      <c r="E181" s="114">
        <v>114.14</v>
      </c>
      <c r="F181" s="114">
        <v>158.08000000000001</v>
      </c>
      <c r="G181" s="114">
        <v>235.85</v>
      </c>
      <c r="H181" s="114">
        <v>197.3</v>
      </c>
      <c r="I181" s="114">
        <v>194.47</v>
      </c>
      <c r="J181" s="114">
        <v>160.58000000000001</v>
      </c>
      <c r="K181" s="114">
        <v>79.349999999999994</v>
      </c>
      <c r="L181" s="114">
        <v>248.42</v>
      </c>
      <c r="M181" s="114">
        <v>215.74</v>
      </c>
      <c r="N181" s="114">
        <v>116.7</v>
      </c>
      <c r="O181" s="114">
        <v>47.79</v>
      </c>
      <c r="P181" s="114">
        <f t="shared" ref="P181:P188" si="25">SUM(D181:O181)</f>
        <v>1986.62</v>
      </c>
    </row>
    <row r="182" spans="1:16" x14ac:dyDescent="0.2">
      <c r="B182" s="2" t="s">
        <v>602</v>
      </c>
      <c r="D182" s="114">
        <v>2.36</v>
      </c>
      <c r="E182" s="114">
        <v>2.6</v>
      </c>
      <c r="F182" s="114">
        <v>1.28</v>
      </c>
      <c r="G182" s="114">
        <v>1.25</v>
      </c>
      <c r="H182" s="114">
        <v>3.57</v>
      </c>
      <c r="I182" s="114">
        <v>2.0499999999999998</v>
      </c>
      <c r="J182" s="114">
        <v>0.96</v>
      </c>
      <c r="K182" s="114">
        <v>3.03</v>
      </c>
      <c r="L182" s="114">
        <v>1.98</v>
      </c>
      <c r="M182" s="114">
        <v>1.52</v>
      </c>
      <c r="N182" s="114">
        <v>1.28</v>
      </c>
      <c r="O182" s="114">
        <v>1.1499999999999999</v>
      </c>
      <c r="P182" s="114">
        <f t="shared" si="25"/>
        <v>23.03</v>
      </c>
    </row>
    <row r="183" spans="1:16" x14ac:dyDescent="0.2">
      <c r="B183" s="2" t="s">
        <v>374</v>
      </c>
      <c r="D183" s="114">
        <v>11.32</v>
      </c>
      <c r="E183" s="114">
        <v>7.13</v>
      </c>
      <c r="F183" s="114">
        <v>4.79</v>
      </c>
      <c r="G183" s="114">
        <v>4.24</v>
      </c>
      <c r="H183" s="114">
        <v>8.0299999999999994</v>
      </c>
      <c r="I183" s="114">
        <v>4.2699999999999996</v>
      </c>
      <c r="J183" s="114">
        <v>7.09</v>
      </c>
      <c r="K183" s="114">
        <v>3.37</v>
      </c>
      <c r="L183" s="114">
        <v>9.2899999999999991</v>
      </c>
      <c r="M183" s="114">
        <v>3.82</v>
      </c>
      <c r="N183" s="114">
        <v>4.71</v>
      </c>
      <c r="O183" s="114">
        <v>5.67</v>
      </c>
      <c r="P183" s="114">
        <f t="shared" si="25"/>
        <v>73.73</v>
      </c>
    </row>
    <row r="184" spans="1:16" x14ac:dyDescent="0.2">
      <c r="B184" s="2" t="s">
        <v>815</v>
      </c>
      <c r="D184" s="114">
        <v>30.93</v>
      </c>
      <c r="E184" s="114">
        <v>28.74</v>
      </c>
      <c r="F184" s="114">
        <v>34.56</v>
      </c>
      <c r="G184" s="114">
        <v>28.8</v>
      </c>
      <c r="H184" s="114">
        <v>28.23</v>
      </c>
      <c r="I184" s="114">
        <v>29.42</v>
      </c>
      <c r="J184" s="114">
        <v>25.77</v>
      </c>
      <c r="K184" s="114">
        <v>2425.83</v>
      </c>
      <c r="L184" s="114">
        <v>21.98</v>
      </c>
      <c r="M184" s="114">
        <v>25.28</v>
      </c>
      <c r="N184" s="114">
        <v>21.72</v>
      </c>
      <c r="O184" s="114">
        <v>15.37</v>
      </c>
      <c r="P184" s="114">
        <f t="shared" si="25"/>
        <v>2716.6299999999997</v>
      </c>
    </row>
    <row r="185" spans="1:16" x14ac:dyDescent="0.2">
      <c r="B185" s="2" t="s">
        <v>808</v>
      </c>
      <c r="D185" s="114">
        <v>50.47</v>
      </c>
      <c r="E185" s="114">
        <v>43.75</v>
      </c>
      <c r="F185" s="114">
        <v>45.88</v>
      </c>
      <c r="G185" s="114">
        <v>34.93</v>
      </c>
      <c r="H185" s="114">
        <v>49.21</v>
      </c>
      <c r="I185" s="114">
        <v>56.25</v>
      </c>
      <c r="J185" s="114">
        <v>54.52</v>
      </c>
      <c r="K185" s="114">
        <v>41.82</v>
      </c>
      <c r="L185" s="114">
        <v>61.16</v>
      </c>
      <c r="M185" s="114">
        <v>57.29</v>
      </c>
      <c r="N185" s="114">
        <v>32.31</v>
      </c>
      <c r="O185" s="114">
        <v>23.38</v>
      </c>
      <c r="P185" s="114">
        <f t="shared" si="25"/>
        <v>550.97</v>
      </c>
    </row>
    <row r="186" spans="1:16" x14ac:dyDescent="0.2">
      <c r="B186" s="2" t="s">
        <v>376</v>
      </c>
      <c r="D186" s="114">
        <v>137.68</v>
      </c>
      <c r="E186" s="114">
        <v>119.69</v>
      </c>
      <c r="F186" s="114">
        <v>134.09</v>
      </c>
      <c r="G186" s="114">
        <v>105.29</v>
      </c>
      <c r="H186" s="114">
        <v>126.59</v>
      </c>
      <c r="I186" s="114">
        <v>130.28</v>
      </c>
      <c r="J186" s="114">
        <v>114.85</v>
      </c>
      <c r="K186" s="114">
        <v>112.17</v>
      </c>
      <c r="L186" s="114">
        <v>150.58000000000001</v>
      </c>
      <c r="M186" s="114">
        <v>114.43</v>
      </c>
      <c r="N186" s="114">
        <v>101.28</v>
      </c>
      <c r="O186" s="114">
        <v>78.75</v>
      </c>
      <c r="P186" s="114">
        <f t="shared" si="25"/>
        <v>1425.68</v>
      </c>
    </row>
    <row r="187" spans="1:16" x14ac:dyDescent="0.2">
      <c r="B187" s="2" t="s">
        <v>378</v>
      </c>
      <c r="D187" s="114">
        <v>20.45</v>
      </c>
      <c r="E187" s="114">
        <v>18.21</v>
      </c>
      <c r="F187" s="114">
        <v>22.03</v>
      </c>
      <c r="G187" s="114">
        <v>16.13</v>
      </c>
      <c r="H187" s="114">
        <v>20.92</v>
      </c>
      <c r="I187" s="114">
        <v>17.03</v>
      </c>
      <c r="J187" s="114">
        <v>17.54</v>
      </c>
      <c r="K187" s="114">
        <v>18.16</v>
      </c>
      <c r="L187" s="114">
        <v>21.02</v>
      </c>
      <c r="M187" s="114">
        <v>25.23</v>
      </c>
      <c r="N187" s="114">
        <v>17.190000000000001</v>
      </c>
      <c r="O187" s="114">
        <v>14.84</v>
      </c>
      <c r="P187" s="114">
        <f t="shared" si="25"/>
        <v>228.75</v>
      </c>
    </row>
    <row r="188" spans="1:16" x14ac:dyDescent="0.2">
      <c r="B188" s="2" t="s">
        <v>379</v>
      </c>
      <c r="D188" s="114">
        <v>0</v>
      </c>
      <c r="E188" s="114">
        <v>0</v>
      </c>
      <c r="F188" s="114">
        <v>0</v>
      </c>
      <c r="G188" s="114">
        <v>0</v>
      </c>
      <c r="H188" s="114">
        <v>0</v>
      </c>
      <c r="I188" s="114">
        <v>0</v>
      </c>
      <c r="J188" s="114">
        <v>0</v>
      </c>
      <c r="K188" s="114">
        <v>0.01</v>
      </c>
      <c r="L188" s="114">
        <v>0</v>
      </c>
      <c r="M188" s="114">
        <v>0.01</v>
      </c>
      <c r="N188" s="114">
        <v>0</v>
      </c>
      <c r="O188" s="114">
        <v>0.03</v>
      </c>
      <c r="P188" s="114">
        <f t="shared" si="25"/>
        <v>0.05</v>
      </c>
    </row>
    <row r="189" spans="1:16" x14ac:dyDescent="0.2">
      <c r="D189" s="114"/>
      <c r="E189" s="114"/>
      <c r="F189" s="114"/>
      <c r="G189" s="114"/>
      <c r="H189" s="114"/>
      <c r="I189" s="114"/>
      <c r="J189" s="114"/>
      <c r="K189" s="114"/>
      <c r="L189" s="114"/>
      <c r="M189" s="114"/>
      <c r="N189" s="114"/>
      <c r="O189" s="114"/>
      <c r="P189" s="114"/>
    </row>
    <row r="190" spans="1:16" s="4" customFormat="1" ht="15" x14ac:dyDescent="0.25">
      <c r="A190" s="3" t="s">
        <v>182</v>
      </c>
      <c r="D190" s="19">
        <f>SUM(D192:D207)</f>
        <v>119.09000000000002</v>
      </c>
      <c r="E190" s="19">
        <f t="shared" ref="E190:P190" si="26">SUM(E192:E207)</f>
        <v>9.6399999999999988</v>
      </c>
      <c r="F190" s="19">
        <f t="shared" si="26"/>
        <v>5.5399999999999991</v>
      </c>
      <c r="G190" s="19">
        <f t="shared" si="26"/>
        <v>3.19</v>
      </c>
      <c r="H190" s="19">
        <f t="shared" si="26"/>
        <v>54.14</v>
      </c>
      <c r="I190" s="19">
        <f t="shared" si="26"/>
        <v>12.319999999999999</v>
      </c>
      <c r="J190" s="19">
        <f t="shared" si="26"/>
        <v>121.48</v>
      </c>
      <c r="K190" s="19">
        <f t="shared" si="26"/>
        <v>50.78</v>
      </c>
      <c r="L190" s="19">
        <f t="shared" si="26"/>
        <v>63.779999999999987</v>
      </c>
      <c r="M190" s="19">
        <f t="shared" si="26"/>
        <v>36.419999999999995</v>
      </c>
      <c r="N190" s="19">
        <f t="shared" si="26"/>
        <v>244.51000000000002</v>
      </c>
      <c r="O190" s="19">
        <f t="shared" si="26"/>
        <v>8.0499999999999989</v>
      </c>
      <c r="P190" s="19">
        <f t="shared" si="26"/>
        <v>728.93999999999994</v>
      </c>
    </row>
    <row r="191" spans="1:16" ht="15" x14ac:dyDescent="0.25">
      <c r="A191" s="1"/>
      <c r="D191" s="175"/>
      <c r="E191" s="175"/>
      <c r="F191" s="175"/>
      <c r="G191" s="175"/>
      <c r="H191" s="175"/>
      <c r="I191" s="175"/>
      <c r="J191" s="175"/>
      <c r="K191" s="175"/>
      <c r="L191" s="175"/>
      <c r="M191" s="175"/>
      <c r="N191" s="175"/>
      <c r="O191" s="175"/>
      <c r="P191" s="175"/>
    </row>
    <row r="192" spans="1:16" x14ac:dyDescent="0.2">
      <c r="B192" s="2" t="s">
        <v>614</v>
      </c>
      <c r="D192" s="114">
        <v>0</v>
      </c>
      <c r="E192" s="114">
        <v>0.04</v>
      </c>
      <c r="F192" s="114">
        <v>0</v>
      </c>
      <c r="G192" s="114">
        <v>0</v>
      </c>
      <c r="H192" s="114">
        <v>0</v>
      </c>
      <c r="I192" s="114">
        <v>0</v>
      </c>
      <c r="J192" s="114">
        <v>0</v>
      </c>
      <c r="K192" s="114">
        <v>0</v>
      </c>
      <c r="L192" s="114">
        <v>0</v>
      </c>
      <c r="M192" s="114">
        <v>0</v>
      </c>
      <c r="N192" s="114">
        <v>0</v>
      </c>
      <c r="O192" s="114">
        <v>0</v>
      </c>
      <c r="P192" s="114">
        <f t="shared" ref="P192:P207" si="27">SUM(D192:O192)</f>
        <v>0.04</v>
      </c>
    </row>
    <row r="193" spans="2:16" x14ac:dyDescent="0.2">
      <c r="B193" s="2" t="s">
        <v>383</v>
      </c>
      <c r="D193" s="114">
        <v>116.26</v>
      </c>
      <c r="E193" s="114">
        <v>3.26</v>
      </c>
      <c r="F193" s="114">
        <v>2.58</v>
      </c>
      <c r="G193" s="114">
        <v>0.96</v>
      </c>
      <c r="H193" s="114">
        <v>51.85</v>
      </c>
      <c r="I193" s="114">
        <v>7.51</v>
      </c>
      <c r="J193" s="114">
        <v>114.26</v>
      </c>
      <c r="K193" s="114">
        <v>42.22</v>
      </c>
      <c r="L193" s="114">
        <v>57.48</v>
      </c>
      <c r="M193" s="114">
        <v>14.54</v>
      </c>
      <c r="N193" s="114">
        <v>31.78</v>
      </c>
      <c r="O193" s="114">
        <v>5.17</v>
      </c>
      <c r="P193" s="114">
        <f t="shared" si="27"/>
        <v>447.87000000000006</v>
      </c>
    </row>
    <row r="194" spans="2:16" x14ac:dyDescent="0.2">
      <c r="B194" s="2" t="s">
        <v>385</v>
      </c>
      <c r="D194" s="114">
        <v>0</v>
      </c>
      <c r="E194" s="114">
        <v>0</v>
      </c>
      <c r="F194" s="114">
        <v>0.02</v>
      </c>
      <c r="G194" s="114">
        <v>0</v>
      </c>
      <c r="H194" s="114">
        <v>0.01</v>
      </c>
      <c r="I194" s="114">
        <v>0</v>
      </c>
      <c r="J194" s="114">
        <v>0</v>
      </c>
      <c r="K194" s="114">
        <v>0</v>
      </c>
      <c r="L194" s="114">
        <v>0.01</v>
      </c>
      <c r="M194" s="114">
        <v>0</v>
      </c>
      <c r="N194" s="114">
        <v>0</v>
      </c>
      <c r="O194" s="114">
        <v>0</v>
      </c>
      <c r="P194" s="114">
        <f t="shared" si="27"/>
        <v>0.04</v>
      </c>
    </row>
    <row r="195" spans="2:16" x14ac:dyDescent="0.2">
      <c r="B195" s="2" t="s">
        <v>811</v>
      </c>
      <c r="D195" s="114">
        <v>1.59</v>
      </c>
      <c r="E195" s="114">
        <v>5.3</v>
      </c>
      <c r="F195" s="114">
        <v>1.1599999999999999</v>
      </c>
      <c r="G195" s="114">
        <v>0.82</v>
      </c>
      <c r="H195" s="114">
        <v>1.26</v>
      </c>
      <c r="I195" s="114">
        <v>2.57</v>
      </c>
      <c r="J195" s="114">
        <v>4.71</v>
      </c>
      <c r="K195" s="114">
        <v>3.84</v>
      </c>
      <c r="L195" s="114">
        <v>3.18</v>
      </c>
      <c r="M195" s="114">
        <v>1.78</v>
      </c>
      <c r="N195" s="114">
        <v>2.0099999999999998</v>
      </c>
      <c r="O195" s="114">
        <v>1.74</v>
      </c>
      <c r="P195" s="114">
        <f t="shared" si="27"/>
        <v>29.959999999999997</v>
      </c>
    </row>
    <row r="196" spans="2:16" x14ac:dyDescent="0.2">
      <c r="B196" s="2" t="s">
        <v>409</v>
      </c>
      <c r="D196" s="114">
        <v>0.02</v>
      </c>
      <c r="E196" s="114">
        <v>0.01</v>
      </c>
      <c r="F196" s="114">
        <v>0</v>
      </c>
      <c r="G196" s="114">
        <v>0.01</v>
      </c>
      <c r="H196" s="114">
        <v>0</v>
      </c>
      <c r="I196" s="114">
        <v>0</v>
      </c>
      <c r="J196" s="114">
        <v>0</v>
      </c>
      <c r="K196" s="114">
        <v>0</v>
      </c>
      <c r="L196" s="114">
        <v>0</v>
      </c>
      <c r="M196" s="114">
        <v>0</v>
      </c>
      <c r="N196" s="114">
        <v>0</v>
      </c>
      <c r="O196" s="114">
        <v>0.01</v>
      </c>
      <c r="P196" s="114">
        <f t="shared" si="27"/>
        <v>0.05</v>
      </c>
    </row>
    <row r="197" spans="2:16" x14ac:dyDescent="0.2">
      <c r="B197" s="2" t="s">
        <v>403</v>
      </c>
      <c r="D197" s="114">
        <v>0</v>
      </c>
      <c r="E197" s="114">
        <v>0</v>
      </c>
      <c r="F197" s="114">
        <v>0</v>
      </c>
      <c r="G197" s="114">
        <v>0</v>
      </c>
      <c r="H197" s="114">
        <v>0</v>
      </c>
      <c r="I197" s="114">
        <v>0.02</v>
      </c>
      <c r="J197" s="114">
        <v>0</v>
      </c>
      <c r="K197" s="114">
        <v>0.01</v>
      </c>
      <c r="L197" s="114">
        <v>0</v>
      </c>
      <c r="M197" s="114">
        <v>0</v>
      </c>
      <c r="N197" s="114">
        <v>0</v>
      </c>
      <c r="O197" s="114">
        <v>0</v>
      </c>
      <c r="P197" s="114">
        <f t="shared" si="27"/>
        <v>0.03</v>
      </c>
    </row>
    <row r="198" spans="2:16" x14ac:dyDescent="0.2">
      <c r="B198" s="2" t="s">
        <v>622</v>
      </c>
      <c r="D198" s="114">
        <v>7.0000000000000007E-2</v>
      </c>
      <c r="E198" s="114">
        <v>0.03</v>
      </c>
      <c r="F198" s="114">
        <v>0.05</v>
      </c>
      <c r="G198" s="114">
        <v>0.05</v>
      </c>
      <c r="H198" s="114">
        <v>0.05</v>
      </c>
      <c r="I198" s="114">
        <v>0.04</v>
      </c>
      <c r="J198" s="114">
        <v>0.01</v>
      </c>
      <c r="K198" s="114">
        <v>0.02</v>
      </c>
      <c r="L198" s="114">
        <v>0</v>
      </c>
      <c r="M198" s="114">
        <v>0.02</v>
      </c>
      <c r="N198" s="114">
        <v>0</v>
      </c>
      <c r="O198" s="114">
        <v>0</v>
      </c>
      <c r="P198" s="114">
        <f t="shared" si="27"/>
        <v>0.34</v>
      </c>
    </row>
    <row r="199" spans="2:16" x14ac:dyDescent="0.2">
      <c r="B199" s="2" t="s">
        <v>394</v>
      </c>
      <c r="D199" s="114">
        <v>0.06</v>
      </c>
      <c r="E199" s="114">
        <v>0.01</v>
      </c>
      <c r="F199" s="114">
        <v>0.04</v>
      </c>
      <c r="G199" s="114">
        <v>0.25</v>
      </c>
      <c r="H199" s="114">
        <v>0.06</v>
      </c>
      <c r="I199" s="114">
        <v>0.66</v>
      </c>
      <c r="J199" s="114">
        <v>0.93</v>
      </c>
      <c r="K199" s="114">
        <v>0.23</v>
      </c>
      <c r="L199" s="114">
        <v>0.09</v>
      </c>
      <c r="M199" s="114">
        <v>0.12</v>
      </c>
      <c r="N199" s="114">
        <v>0.14000000000000001</v>
      </c>
      <c r="O199" s="114">
        <v>0.27</v>
      </c>
      <c r="P199" s="114">
        <f t="shared" si="27"/>
        <v>2.8600000000000003</v>
      </c>
    </row>
    <row r="200" spans="2:16" x14ac:dyDescent="0.2">
      <c r="B200" s="2" t="s">
        <v>623</v>
      </c>
      <c r="D200" s="114">
        <v>0</v>
      </c>
      <c r="E200" s="114">
        <v>0</v>
      </c>
      <c r="F200" s="114">
        <v>0</v>
      </c>
      <c r="G200" s="114">
        <v>0</v>
      </c>
      <c r="H200" s="114">
        <v>0</v>
      </c>
      <c r="I200" s="114">
        <v>0</v>
      </c>
      <c r="J200" s="114">
        <v>0</v>
      </c>
      <c r="K200" s="114">
        <v>0</v>
      </c>
      <c r="L200" s="114">
        <v>0</v>
      </c>
      <c r="M200" s="114">
        <v>0</v>
      </c>
      <c r="N200" s="114">
        <v>0.01</v>
      </c>
      <c r="O200" s="114">
        <v>0</v>
      </c>
      <c r="P200" s="114">
        <f t="shared" si="27"/>
        <v>0.01</v>
      </c>
    </row>
    <row r="201" spans="2:16" x14ac:dyDescent="0.2">
      <c r="B201" s="2" t="s">
        <v>616</v>
      </c>
      <c r="D201" s="114">
        <v>0.01</v>
      </c>
      <c r="E201" s="114">
        <v>0</v>
      </c>
      <c r="F201" s="114">
        <v>0</v>
      </c>
      <c r="G201" s="114">
        <v>0</v>
      </c>
      <c r="H201" s="114">
        <v>0</v>
      </c>
      <c r="I201" s="114">
        <v>0</v>
      </c>
      <c r="J201" s="114">
        <v>0</v>
      </c>
      <c r="K201" s="114">
        <v>0</v>
      </c>
      <c r="L201" s="114">
        <v>0</v>
      </c>
      <c r="M201" s="114">
        <v>0</v>
      </c>
      <c r="N201" s="114">
        <v>0</v>
      </c>
      <c r="O201" s="114">
        <v>0</v>
      </c>
      <c r="P201" s="114">
        <f t="shared" si="27"/>
        <v>0.01</v>
      </c>
    </row>
    <row r="202" spans="2:16" x14ac:dyDescent="0.2">
      <c r="B202" s="2" t="s">
        <v>810</v>
      </c>
      <c r="D202" s="114">
        <v>0</v>
      </c>
      <c r="E202" s="114">
        <v>0</v>
      </c>
      <c r="F202" s="114">
        <v>0</v>
      </c>
      <c r="G202" s="114">
        <v>0</v>
      </c>
      <c r="H202" s="114">
        <v>0</v>
      </c>
      <c r="I202" s="114">
        <v>0</v>
      </c>
      <c r="J202" s="114">
        <v>0</v>
      </c>
      <c r="K202" s="114">
        <v>0</v>
      </c>
      <c r="L202" s="114">
        <v>0</v>
      </c>
      <c r="M202" s="114">
        <v>0</v>
      </c>
      <c r="N202" s="114">
        <v>0</v>
      </c>
      <c r="O202" s="114">
        <v>0.01</v>
      </c>
      <c r="P202" s="114">
        <f t="shared" si="27"/>
        <v>0.01</v>
      </c>
    </row>
    <row r="203" spans="2:16" x14ac:dyDescent="0.2">
      <c r="B203" s="2" t="s">
        <v>613</v>
      </c>
      <c r="D203" s="114">
        <v>0.12</v>
      </c>
      <c r="E203" s="114">
        <v>0.05</v>
      </c>
      <c r="F203" s="114">
        <v>0.04</v>
      </c>
      <c r="G203" s="114">
        <v>0.04</v>
      </c>
      <c r="H203" s="114">
        <v>0.05</v>
      </c>
      <c r="I203" s="114">
        <v>0.04</v>
      </c>
      <c r="J203" s="114">
        <v>0.05</v>
      </c>
      <c r="K203" s="114">
        <v>0.04</v>
      </c>
      <c r="L203" s="114">
        <v>0.05</v>
      </c>
      <c r="M203" s="114">
        <v>7.0000000000000007E-2</v>
      </c>
      <c r="N203" s="114">
        <v>0.05</v>
      </c>
      <c r="O203" s="114">
        <v>0.04</v>
      </c>
      <c r="P203" s="114">
        <f t="shared" si="27"/>
        <v>0.64</v>
      </c>
    </row>
    <row r="204" spans="2:16" x14ac:dyDescent="0.2">
      <c r="B204" s="2" t="s">
        <v>393</v>
      </c>
      <c r="D204" s="114">
        <v>0.03</v>
      </c>
      <c r="E204" s="114">
        <v>0</v>
      </c>
      <c r="F204" s="114">
        <v>0.01</v>
      </c>
      <c r="G204" s="114">
        <v>0.01</v>
      </c>
      <c r="H204" s="114">
        <v>0.02</v>
      </c>
      <c r="I204" s="114">
        <v>0</v>
      </c>
      <c r="J204" s="114">
        <v>0.02</v>
      </c>
      <c r="K204" s="114">
        <v>0.03</v>
      </c>
      <c r="L204" s="114">
        <v>1.29</v>
      </c>
      <c r="M204" s="114">
        <v>0.02</v>
      </c>
      <c r="N204" s="114">
        <v>0.03</v>
      </c>
      <c r="O204" s="114">
        <v>0.04</v>
      </c>
      <c r="P204" s="114">
        <f t="shared" si="27"/>
        <v>1.5000000000000002</v>
      </c>
    </row>
    <row r="205" spans="2:16" x14ac:dyDescent="0.2">
      <c r="B205" s="2" t="s">
        <v>809</v>
      </c>
      <c r="D205" s="114">
        <v>0.28999999999999998</v>
      </c>
      <c r="E205" s="114">
        <v>0.08</v>
      </c>
      <c r="F205" s="114">
        <v>0.32</v>
      </c>
      <c r="G205" s="114">
        <v>0.16</v>
      </c>
      <c r="H205" s="114">
        <v>0.1</v>
      </c>
      <c r="I205" s="114">
        <v>0.06</v>
      </c>
      <c r="J205" s="114">
        <v>0.1</v>
      </c>
      <c r="K205" s="114">
        <v>0.13</v>
      </c>
      <c r="L205" s="114">
        <v>0.23</v>
      </c>
      <c r="M205" s="114">
        <v>0.14000000000000001</v>
      </c>
      <c r="N205" s="114">
        <v>209.47</v>
      </c>
      <c r="O205" s="114">
        <v>0.06</v>
      </c>
      <c r="P205" s="114">
        <f t="shared" si="27"/>
        <v>211.14000000000001</v>
      </c>
    </row>
    <row r="206" spans="2:16" x14ac:dyDescent="0.2">
      <c r="B206" s="2" t="s">
        <v>410</v>
      </c>
      <c r="D206" s="114">
        <v>0.12</v>
      </c>
      <c r="E206" s="114">
        <v>0.35</v>
      </c>
      <c r="F206" s="114">
        <v>0.47</v>
      </c>
      <c r="G206" s="114">
        <v>0.52</v>
      </c>
      <c r="H206" s="114">
        <v>0.45</v>
      </c>
      <c r="I206" s="114">
        <v>1.39</v>
      </c>
      <c r="J206" s="114">
        <v>0.73</v>
      </c>
      <c r="K206" s="114">
        <v>4.1100000000000003</v>
      </c>
      <c r="L206" s="114">
        <v>0.62</v>
      </c>
      <c r="M206" s="114">
        <v>18.97</v>
      </c>
      <c r="N206" s="114">
        <v>0.41</v>
      </c>
      <c r="O206" s="114">
        <v>0.39</v>
      </c>
      <c r="P206" s="114">
        <f t="shared" si="27"/>
        <v>28.529999999999998</v>
      </c>
    </row>
    <row r="207" spans="2:16" x14ac:dyDescent="0.2">
      <c r="B207" s="2" t="s">
        <v>380</v>
      </c>
      <c r="D207" s="114">
        <v>0.52</v>
      </c>
      <c r="E207" s="114">
        <v>0.51</v>
      </c>
      <c r="F207" s="114">
        <v>0.85</v>
      </c>
      <c r="G207" s="114">
        <v>0.37</v>
      </c>
      <c r="H207" s="114">
        <v>0.28999999999999998</v>
      </c>
      <c r="I207" s="114">
        <v>0.03</v>
      </c>
      <c r="J207" s="114">
        <v>0.67</v>
      </c>
      <c r="K207" s="114">
        <v>0.15</v>
      </c>
      <c r="L207" s="114">
        <v>0.83</v>
      </c>
      <c r="M207" s="114">
        <v>0.76</v>
      </c>
      <c r="N207" s="114">
        <v>0.61</v>
      </c>
      <c r="O207" s="114">
        <v>0.32</v>
      </c>
      <c r="P207" s="114">
        <f t="shared" si="27"/>
        <v>5.91</v>
      </c>
    </row>
    <row r="208" spans="2:16" x14ac:dyDescent="0.2">
      <c r="D208" s="123"/>
      <c r="E208" s="123"/>
      <c r="F208" s="123"/>
      <c r="G208" s="123"/>
      <c r="H208" s="114"/>
      <c r="I208" s="114"/>
      <c r="J208" s="114"/>
      <c r="K208" s="114"/>
      <c r="L208" s="114"/>
      <c r="M208" s="114"/>
      <c r="N208" s="114"/>
      <c r="O208" s="114"/>
      <c r="P208" s="114"/>
    </row>
    <row r="209" spans="2:16" s="14" customFormat="1" ht="15" x14ac:dyDescent="0.25">
      <c r="B209" s="15" t="s">
        <v>552</v>
      </c>
      <c r="C209" s="15"/>
      <c r="D209" s="16">
        <f t="shared" ref="D209:P209" si="28">D10+D32+D40+D56+D60+D65+D69+D80+D87+D92+D98+D104+D112+D119+D124+D129+D136+D141+D161+D165+D171+D179+D190</f>
        <v>1980.8799999999999</v>
      </c>
      <c r="E209" s="16">
        <f t="shared" si="28"/>
        <v>1568.8500000000001</v>
      </c>
      <c r="F209" s="16">
        <f t="shared" si="28"/>
        <v>1294.2600000000002</v>
      </c>
      <c r="G209" s="16">
        <f t="shared" si="28"/>
        <v>1289.7600000000002</v>
      </c>
      <c r="H209" s="16">
        <f t="shared" si="28"/>
        <v>1846.49</v>
      </c>
      <c r="I209" s="16">
        <f t="shared" si="28"/>
        <v>1490.6399999999996</v>
      </c>
      <c r="J209" s="16">
        <f t="shared" si="28"/>
        <v>1672.9899999999998</v>
      </c>
      <c r="K209" s="16">
        <f t="shared" si="28"/>
        <v>3685.2200000000003</v>
      </c>
      <c r="L209" s="16">
        <f t="shared" si="28"/>
        <v>1797.99</v>
      </c>
      <c r="M209" s="16">
        <f t="shared" si="28"/>
        <v>2522.1199999999994</v>
      </c>
      <c r="N209" s="16">
        <f t="shared" si="28"/>
        <v>1597.3800000000003</v>
      </c>
      <c r="O209" s="16">
        <f t="shared" si="28"/>
        <v>891</v>
      </c>
      <c r="P209" s="16">
        <f t="shared" si="28"/>
        <v>21637.579999999998</v>
      </c>
    </row>
    <row r="214" spans="2:16" x14ac:dyDescent="0.2">
      <c r="B214" s="2" t="s">
        <v>709</v>
      </c>
    </row>
    <row r="215" spans="2:16" x14ac:dyDescent="0.2">
      <c r="B215" s="2" t="s">
        <v>6</v>
      </c>
    </row>
  </sheetData>
  <sortState xmlns:xlrd2="http://schemas.microsoft.com/office/spreadsheetml/2017/richdata2" ref="B192:P207">
    <sortCondition ref="B192"/>
  </sortState>
  <mergeCells count="2">
    <mergeCell ref="A3:P3"/>
    <mergeCell ref="A7:C7"/>
  </mergeCells>
  <printOptions horizontalCentered="1"/>
  <pageMargins left="0" right="0" top="0.78740157480314965" bottom="0.47244094488188981" header="0.51181102362204722" footer="0.51181102362204722"/>
  <pageSetup paperSize="9" scale="46" orientation="portrait" r:id="rId1"/>
  <headerFooter alignWithMargins="0">
    <oddHeader>Page &amp;P</oddHeader>
  </headerFooter>
  <rowBreaks count="1" manualBreakCount="1">
    <brk id="110" max="15" man="1"/>
  </rowBreaks>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15"/>
  <sheetViews>
    <sheetView zoomScaleNormal="100" workbookViewId="0">
      <pane xSplit="2" ySplit="5" topLeftCell="C167" activePane="bottomRight" state="frozen"/>
      <selection pane="topRight" activeCell="E1" sqref="E1"/>
      <selection pane="bottomLeft" activeCell="A7" sqref="A7"/>
      <selection pane="bottomRight" activeCell="A216" sqref="A216:XFD216"/>
    </sheetView>
  </sheetViews>
  <sheetFormatPr defaultColWidth="8.85546875" defaultRowHeight="14.25" x14ac:dyDescent="0.2"/>
  <cols>
    <col min="1" max="1" width="2.42578125" style="2" customWidth="1"/>
    <col min="2" max="2" width="63.140625" style="2" customWidth="1"/>
    <col min="3" max="13" width="10.42578125" style="2" bestFit="1" customWidth="1"/>
    <col min="14" max="14" width="8.7109375" style="2" bestFit="1" customWidth="1"/>
    <col min="15" max="15" width="11.42578125" style="2" bestFit="1" customWidth="1"/>
    <col min="16" max="254" width="9.140625" style="2"/>
    <col min="255" max="255" width="2.42578125" style="2" customWidth="1"/>
    <col min="256" max="256" width="4" style="2" customWidth="1"/>
    <col min="257" max="257" width="46.7109375" style="2" customWidth="1"/>
    <col min="258" max="258" width="0" style="2" hidden="1" customWidth="1"/>
    <col min="259" max="267" width="7.28515625" style="2" customWidth="1"/>
    <col min="268" max="269" width="7.42578125" style="2" customWidth="1"/>
    <col min="270" max="270" width="6.42578125" style="2" customWidth="1"/>
    <col min="271" max="271" width="8.42578125" style="2" customWidth="1"/>
    <col min="272" max="510" width="9.140625" style="2"/>
    <col min="511" max="511" width="2.42578125" style="2" customWidth="1"/>
    <col min="512" max="512" width="4" style="2" customWidth="1"/>
    <col min="513" max="513" width="46.7109375" style="2" customWidth="1"/>
    <col min="514" max="514" width="0" style="2" hidden="1" customWidth="1"/>
    <col min="515" max="523" width="7.28515625" style="2" customWidth="1"/>
    <col min="524" max="525" width="7.42578125" style="2" customWidth="1"/>
    <col min="526" max="526" width="6.42578125" style="2" customWidth="1"/>
    <col min="527" max="527" width="8.42578125" style="2" customWidth="1"/>
    <col min="528" max="766" width="9.140625" style="2"/>
    <col min="767" max="767" width="2.42578125" style="2" customWidth="1"/>
    <col min="768" max="768" width="4" style="2" customWidth="1"/>
    <col min="769" max="769" width="46.7109375" style="2" customWidth="1"/>
    <col min="770" max="770" width="0" style="2" hidden="1" customWidth="1"/>
    <col min="771" max="779" width="7.28515625" style="2" customWidth="1"/>
    <col min="780" max="781" width="7.42578125" style="2" customWidth="1"/>
    <col min="782" max="782" width="6.42578125" style="2" customWidth="1"/>
    <col min="783" max="783" width="8.42578125" style="2" customWidth="1"/>
    <col min="784" max="1022" width="9.140625" style="2"/>
    <col min="1023" max="1023" width="2.42578125" style="2" customWidth="1"/>
    <col min="1024" max="1024" width="4" style="2" customWidth="1"/>
    <col min="1025" max="1025" width="46.7109375" style="2" customWidth="1"/>
    <col min="1026" max="1026" width="0" style="2" hidden="1" customWidth="1"/>
    <col min="1027" max="1035" width="7.28515625" style="2" customWidth="1"/>
    <col min="1036" max="1037" width="7.42578125" style="2" customWidth="1"/>
    <col min="1038" max="1038" width="6.42578125" style="2" customWidth="1"/>
    <col min="1039" max="1039" width="8.42578125" style="2" customWidth="1"/>
    <col min="1040" max="1278" width="9.140625" style="2"/>
    <col min="1279" max="1279" width="2.42578125" style="2" customWidth="1"/>
    <col min="1280" max="1280" width="4" style="2" customWidth="1"/>
    <col min="1281" max="1281" width="46.7109375" style="2" customWidth="1"/>
    <col min="1282" max="1282" width="0" style="2" hidden="1" customWidth="1"/>
    <col min="1283" max="1291" width="7.28515625" style="2" customWidth="1"/>
    <col min="1292" max="1293" width="7.42578125" style="2" customWidth="1"/>
    <col min="1294" max="1294" width="6.42578125" style="2" customWidth="1"/>
    <col min="1295" max="1295" width="8.42578125" style="2" customWidth="1"/>
    <col min="1296" max="1534" width="9.140625" style="2"/>
    <col min="1535" max="1535" width="2.42578125" style="2" customWidth="1"/>
    <col min="1536" max="1536" width="4" style="2" customWidth="1"/>
    <col min="1537" max="1537" width="46.7109375" style="2" customWidth="1"/>
    <col min="1538" max="1538" width="0" style="2" hidden="1" customWidth="1"/>
    <col min="1539" max="1547" width="7.28515625" style="2" customWidth="1"/>
    <col min="1548" max="1549" width="7.42578125" style="2" customWidth="1"/>
    <col min="1550" max="1550" width="6.42578125" style="2" customWidth="1"/>
    <col min="1551" max="1551" width="8.42578125" style="2" customWidth="1"/>
    <col min="1552" max="1790" width="9.140625" style="2"/>
    <col min="1791" max="1791" width="2.42578125" style="2" customWidth="1"/>
    <col min="1792" max="1792" width="4" style="2" customWidth="1"/>
    <col min="1793" max="1793" width="46.7109375" style="2" customWidth="1"/>
    <col min="1794" max="1794" width="0" style="2" hidden="1" customWidth="1"/>
    <col min="1795" max="1803" width="7.28515625" style="2" customWidth="1"/>
    <col min="1804" max="1805" width="7.42578125" style="2" customWidth="1"/>
    <col min="1806" max="1806" width="6.42578125" style="2" customWidth="1"/>
    <col min="1807" max="1807" width="8.42578125" style="2" customWidth="1"/>
    <col min="1808" max="2046" width="9.140625" style="2"/>
    <col min="2047" max="2047" width="2.42578125" style="2" customWidth="1"/>
    <col min="2048" max="2048" width="4" style="2" customWidth="1"/>
    <col min="2049" max="2049" width="46.7109375" style="2" customWidth="1"/>
    <col min="2050" max="2050" width="0" style="2" hidden="1" customWidth="1"/>
    <col min="2051" max="2059" width="7.28515625" style="2" customWidth="1"/>
    <col min="2060" max="2061" width="7.42578125" style="2" customWidth="1"/>
    <col min="2062" max="2062" width="6.42578125" style="2" customWidth="1"/>
    <col min="2063" max="2063" width="8.42578125" style="2" customWidth="1"/>
    <col min="2064" max="2302" width="9.140625" style="2"/>
    <col min="2303" max="2303" width="2.42578125" style="2" customWidth="1"/>
    <col min="2304" max="2304" width="4" style="2" customWidth="1"/>
    <col min="2305" max="2305" width="46.7109375" style="2" customWidth="1"/>
    <col min="2306" max="2306" width="0" style="2" hidden="1" customWidth="1"/>
    <col min="2307" max="2315" width="7.28515625" style="2" customWidth="1"/>
    <col min="2316" max="2317" width="7.42578125" style="2" customWidth="1"/>
    <col min="2318" max="2318" width="6.42578125" style="2" customWidth="1"/>
    <col min="2319" max="2319" width="8.42578125" style="2" customWidth="1"/>
    <col min="2320" max="2558" width="9.140625" style="2"/>
    <col min="2559" max="2559" width="2.42578125" style="2" customWidth="1"/>
    <col min="2560" max="2560" width="4" style="2" customWidth="1"/>
    <col min="2561" max="2561" width="46.7109375" style="2" customWidth="1"/>
    <col min="2562" max="2562" width="0" style="2" hidden="1" customWidth="1"/>
    <col min="2563" max="2571" width="7.28515625" style="2" customWidth="1"/>
    <col min="2572" max="2573" width="7.42578125" style="2" customWidth="1"/>
    <col min="2574" max="2574" width="6.42578125" style="2" customWidth="1"/>
    <col min="2575" max="2575" width="8.42578125" style="2" customWidth="1"/>
    <col min="2576" max="2814" width="9.140625" style="2"/>
    <col min="2815" max="2815" width="2.42578125" style="2" customWidth="1"/>
    <col min="2816" max="2816" width="4" style="2" customWidth="1"/>
    <col min="2817" max="2817" width="46.7109375" style="2" customWidth="1"/>
    <col min="2818" max="2818" width="0" style="2" hidden="1" customWidth="1"/>
    <col min="2819" max="2827" width="7.28515625" style="2" customWidth="1"/>
    <col min="2828" max="2829" width="7.42578125" style="2" customWidth="1"/>
    <col min="2830" max="2830" width="6.42578125" style="2" customWidth="1"/>
    <col min="2831" max="2831" width="8.42578125" style="2" customWidth="1"/>
    <col min="2832" max="3070" width="9.140625" style="2"/>
    <col min="3071" max="3071" width="2.42578125" style="2" customWidth="1"/>
    <col min="3072" max="3072" width="4" style="2" customWidth="1"/>
    <col min="3073" max="3073" width="46.7109375" style="2" customWidth="1"/>
    <col min="3074" max="3074" width="0" style="2" hidden="1" customWidth="1"/>
    <col min="3075" max="3083" width="7.28515625" style="2" customWidth="1"/>
    <col min="3084" max="3085" width="7.42578125" style="2" customWidth="1"/>
    <col min="3086" max="3086" width="6.42578125" style="2" customWidth="1"/>
    <col min="3087" max="3087" width="8.42578125" style="2" customWidth="1"/>
    <col min="3088" max="3326" width="9.140625" style="2"/>
    <col min="3327" max="3327" width="2.42578125" style="2" customWidth="1"/>
    <col min="3328" max="3328" width="4" style="2" customWidth="1"/>
    <col min="3329" max="3329" width="46.7109375" style="2" customWidth="1"/>
    <col min="3330" max="3330" width="0" style="2" hidden="1" customWidth="1"/>
    <col min="3331" max="3339" width="7.28515625" style="2" customWidth="1"/>
    <col min="3340" max="3341" width="7.42578125" style="2" customWidth="1"/>
    <col min="3342" max="3342" width="6.42578125" style="2" customWidth="1"/>
    <col min="3343" max="3343" width="8.42578125" style="2" customWidth="1"/>
    <col min="3344" max="3582" width="9.140625" style="2"/>
    <col min="3583" max="3583" width="2.42578125" style="2" customWidth="1"/>
    <col min="3584" max="3584" width="4" style="2" customWidth="1"/>
    <col min="3585" max="3585" width="46.7109375" style="2" customWidth="1"/>
    <col min="3586" max="3586" width="0" style="2" hidden="1" customWidth="1"/>
    <col min="3587" max="3595" width="7.28515625" style="2" customWidth="1"/>
    <col min="3596" max="3597" width="7.42578125" style="2" customWidth="1"/>
    <col min="3598" max="3598" width="6.42578125" style="2" customWidth="1"/>
    <col min="3599" max="3599" width="8.42578125" style="2" customWidth="1"/>
    <col min="3600" max="3838" width="9.140625" style="2"/>
    <col min="3839" max="3839" width="2.42578125" style="2" customWidth="1"/>
    <col min="3840" max="3840" width="4" style="2" customWidth="1"/>
    <col min="3841" max="3841" width="46.7109375" style="2" customWidth="1"/>
    <col min="3842" max="3842" width="0" style="2" hidden="1" customWidth="1"/>
    <col min="3843" max="3851" width="7.28515625" style="2" customWidth="1"/>
    <col min="3852" max="3853" width="7.42578125" style="2" customWidth="1"/>
    <col min="3854" max="3854" width="6.42578125" style="2" customWidth="1"/>
    <col min="3855" max="3855" width="8.42578125" style="2" customWidth="1"/>
    <col min="3856" max="4094" width="9.140625" style="2"/>
    <col min="4095" max="4095" width="2.42578125" style="2" customWidth="1"/>
    <col min="4096" max="4096" width="4" style="2" customWidth="1"/>
    <col min="4097" max="4097" width="46.7109375" style="2" customWidth="1"/>
    <col min="4098" max="4098" width="0" style="2" hidden="1" customWidth="1"/>
    <col min="4099" max="4107" width="7.28515625" style="2" customWidth="1"/>
    <col min="4108" max="4109" width="7.42578125" style="2" customWidth="1"/>
    <col min="4110" max="4110" width="6.42578125" style="2" customWidth="1"/>
    <col min="4111" max="4111" width="8.42578125" style="2" customWidth="1"/>
    <col min="4112" max="4350" width="9.140625" style="2"/>
    <col min="4351" max="4351" width="2.42578125" style="2" customWidth="1"/>
    <col min="4352" max="4352" width="4" style="2" customWidth="1"/>
    <col min="4353" max="4353" width="46.7109375" style="2" customWidth="1"/>
    <col min="4354" max="4354" width="0" style="2" hidden="1" customWidth="1"/>
    <col min="4355" max="4363" width="7.28515625" style="2" customWidth="1"/>
    <col min="4364" max="4365" width="7.42578125" style="2" customWidth="1"/>
    <col min="4366" max="4366" width="6.42578125" style="2" customWidth="1"/>
    <col min="4367" max="4367" width="8.42578125" style="2" customWidth="1"/>
    <col min="4368" max="4606" width="9.140625" style="2"/>
    <col min="4607" max="4607" width="2.42578125" style="2" customWidth="1"/>
    <col min="4608" max="4608" width="4" style="2" customWidth="1"/>
    <col min="4609" max="4609" width="46.7109375" style="2" customWidth="1"/>
    <col min="4610" max="4610" width="0" style="2" hidden="1" customWidth="1"/>
    <col min="4611" max="4619" width="7.28515625" style="2" customWidth="1"/>
    <col min="4620" max="4621" width="7.42578125" style="2" customWidth="1"/>
    <col min="4622" max="4622" width="6.42578125" style="2" customWidth="1"/>
    <col min="4623" max="4623" width="8.42578125" style="2" customWidth="1"/>
    <col min="4624" max="4862" width="9.140625" style="2"/>
    <col min="4863" max="4863" width="2.42578125" style="2" customWidth="1"/>
    <col min="4864" max="4864" width="4" style="2" customWidth="1"/>
    <col min="4865" max="4865" width="46.7109375" style="2" customWidth="1"/>
    <col min="4866" max="4866" width="0" style="2" hidden="1" customWidth="1"/>
    <col min="4867" max="4875" width="7.28515625" style="2" customWidth="1"/>
    <col min="4876" max="4877" width="7.42578125" style="2" customWidth="1"/>
    <col min="4878" max="4878" width="6.42578125" style="2" customWidth="1"/>
    <col min="4879" max="4879" width="8.42578125" style="2" customWidth="1"/>
    <col min="4880" max="5118" width="9.140625" style="2"/>
    <col min="5119" max="5119" width="2.42578125" style="2" customWidth="1"/>
    <col min="5120" max="5120" width="4" style="2" customWidth="1"/>
    <col min="5121" max="5121" width="46.7109375" style="2" customWidth="1"/>
    <col min="5122" max="5122" width="0" style="2" hidden="1" customWidth="1"/>
    <col min="5123" max="5131" width="7.28515625" style="2" customWidth="1"/>
    <col min="5132" max="5133" width="7.42578125" style="2" customWidth="1"/>
    <col min="5134" max="5134" width="6.42578125" style="2" customWidth="1"/>
    <col min="5135" max="5135" width="8.42578125" style="2" customWidth="1"/>
    <col min="5136" max="5374" width="9.140625" style="2"/>
    <col min="5375" max="5375" width="2.42578125" style="2" customWidth="1"/>
    <col min="5376" max="5376" width="4" style="2" customWidth="1"/>
    <col min="5377" max="5377" width="46.7109375" style="2" customWidth="1"/>
    <col min="5378" max="5378" width="0" style="2" hidden="1" customWidth="1"/>
    <col min="5379" max="5387" width="7.28515625" style="2" customWidth="1"/>
    <col min="5388" max="5389" width="7.42578125" style="2" customWidth="1"/>
    <col min="5390" max="5390" width="6.42578125" style="2" customWidth="1"/>
    <col min="5391" max="5391" width="8.42578125" style="2" customWidth="1"/>
    <col min="5392" max="5630" width="9.140625" style="2"/>
    <col min="5631" max="5631" width="2.42578125" style="2" customWidth="1"/>
    <col min="5632" max="5632" width="4" style="2" customWidth="1"/>
    <col min="5633" max="5633" width="46.7109375" style="2" customWidth="1"/>
    <col min="5634" max="5634" width="0" style="2" hidden="1" customWidth="1"/>
    <col min="5635" max="5643" width="7.28515625" style="2" customWidth="1"/>
    <col min="5644" max="5645" width="7.42578125" style="2" customWidth="1"/>
    <col min="5646" max="5646" width="6.42578125" style="2" customWidth="1"/>
    <col min="5647" max="5647" width="8.42578125" style="2" customWidth="1"/>
    <col min="5648" max="5886" width="9.140625" style="2"/>
    <col min="5887" max="5887" width="2.42578125" style="2" customWidth="1"/>
    <col min="5888" max="5888" width="4" style="2" customWidth="1"/>
    <col min="5889" max="5889" width="46.7109375" style="2" customWidth="1"/>
    <col min="5890" max="5890" width="0" style="2" hidden="1" customWidth="1"/>
    <col min="5891" max="5899" width="7.28515625" style="2" customWidth="1"/>
    <col min="5900" max="5901" width="7.42578125" style="2" customWidth="1"/>
    <col min="5902" max="5902" width="6.42578125" style="2" customWidth="1"/>
    <col min="5903" max="5903" width="8.42578125" style="2" customWidth="1"/>
    <col min="5904" max="6142" width="9.140625" style="2"/>
    <col min="6143" max="6143" width="2.42578125" style="2" customWidth="1"/>
    <col min="6144" max="6144" width="4" style="2" customWidth="1"/>
    <col min="6145" max="6145" width="46.7109375" style="2" customWidth="1"/>
    <col min="6146" max="6146" width="0" style="2" hidden="1" customWidth="1"/>
    <col min="6147" max="6155" width="7.28515625" style="2" customWidth="1"/>
    <col min="6156" max="6157" width="7.42578125" style="2" customWidth="1"/>
    <col min="6158" max="6158" width="6.42578125" style="2" customWidth="1"/>
    <col min="6159" max="6159" width="8.42578125" style="2" customWidth="1"/>
    <col min="6160" max="6398" width="9.140625" style="2"/>
    <col min="6399" max="6399" width="2.42578125" style="2" customWidth="1"/>
    <col min="6400" max="6400" width="4" style="2" customWidth="1"/>
    <col min="6401" max="6401" width="46.7109375" style="2" customWidth="1"/>
    <col min="6402" max="6402" width="0" style="2" hidden="1" customWidth="1"/>
    <col min="6403" max="6411" width="7.28515625" style="2" customWidth="1"/>
    <col min="6412" max="6413" width="7.42578125" style="2" customWidth="1"/>
    <col min="6414" max="6414" width="6.42578125" style="2" customWidth="1"/>
    <col min="6415" max="6415" width="8.42578125" style="2" customWidth="1"/>
    <col min="6416" max="6654" width="9.140625" style="2"/>
    <col min="6655" max="6655" width="2.42578125" style="2" customWidth="1"/>
    <col min="6656" max="6656" width="4" style="2" customWidth="1"/>
    <col min="6657" max="6657" width="46.7109375" style="2" customWidth="1"/>
    <col min="6658" max="6658" width="0" style="2" hidden="1" customWidth="1"/>
    <col min="6659" max="6667" width="7.28515625" style="2" customWidth="1"/>
    <col min="6668" max="6669" width="7.42578125" style="2" customWidth="1"/>
    <col min="6670" max="6670" width="6.42578125" style="2" customWidth="1"/>
    <col min="6671" max="6671" width="8.42578125" style="2" customWidth="1"/>
    <col min="6672" max="6910" width="9.140625" style="2"/>
    <col min="6911" max="6911" width="2.42578125" style="2" customWidth="1"/>
    <col min="6912" max="6912" width="4" style="2" customWidth="1"/>
    <col min="6913" max="6913" width="46.7109375" style="2" customWidth="1"/>
    <col min="6914" max="6914" width="0" style="2" hidden="1" customWidth="1"/>
    <col min="6915" max="6923" width="7.28515625" style="2" customWidth="1"/>
    <col min="6924" max="6925" width="7.42578125" style="2" customWidth="1"/>
    <col min="6926" max="6926" width="6.42578125" style="2" customWidth="1"/>
    <col min="6927" max="6927" width="8.42578125" style="2" customWidth="1"/>
    <col min="6928" max="7166" width="9.140625" style="2"/>
    <col min="7167" max="7167" width="2.42578125" style="2" customWidth="1"/>
    <col min="7168" max="7168" width="4" style="2" customWidth="1"/>
    <col min="7169" max="7169" width="46.7109375" style="2" customWidth="1"/>
    <col min="7170" max="7170" width="0" style="2" hidden="1" customWidth="1"/>
    <col min="7171" max="7179" width="7.28515625" style="2" customWidth="1"/>
    <col min="7180" max="7181" width="7.42578125" style="2" customWidth="1"/>
    <col min="7182" max="7182" width="6.42578125" style="2" customWidth="1"/>
    <col min="7183" max="7183" width="8.42578125" style="2" customWidth="1"/>
    <col min="7184" max="7422" width="9.140625" style="2"/>
    <col min="7423" max="7423" width="2.42578125" style="2" customWidth="1"/>
    <col min="7424" max="7424" width="4" style="2" customWidth="1"/>
    <col min="7425" max="7425" width="46.7109375" style="2" customWidth="1"/>
    <col min="7426" max="7426" width="0" style="2" hidden="1" customWidth="1"/>
    <col min="7427" max="7435" width="7.28515625" style="2" customWidth="1"/>
    <col min="7436" max="7437" width="7.42578125" style="2" customWidth="1"/>
    <col min="7438" max="7438" width="6.42578125" style="2" customWidth="1"/>
    <col min="7439" max="7439" width="8.42578125" style="2" customWidth="1"/>
    <col min="7440" max="7678" width="9.140625" style="2"/>
    <col min="7679" max="7679" width="2.42578125" style="2" customWidth="1"/>
    <col min="7680" max="7680" width="4" style="2" customWidth="1"/>
    <col min="7681" max="7681" width="46.7109375" style="2" customWidth="1"/>
    <col min="7682" max="7682" width="0" style="2" hidden="1" customWidth="1"/>
    <col min="7683" max="7691" width="7.28515625" style="2" customWidth="1"/>
    <col min="7692" max="7693" width="7.42578125" style="2" customWidth="1"/>
    <col min="7694" max="7694" width="6.42578125" style="2" customWidth="1"/>
    <col min="7695" max="7695" width="8.42578125" style="2" customWidth="1"/>
    <col min="7696" max="7934" width="9.140625" style="2"/>
    <col min="7935" max="7935" width="2.42578125" style="2" customWidth="1"/>
    <col min="7936" max="7936" width="4" style="2" customWidth="1"/>
    <col min="7937" max="7937" width="46.7109375" style="2" customWidth="1"/>
    <col min="7938" max="7938" width="0" style="2" hidden="1" customWidth="1"/>
    <col min="7939" max="7947" width="7.28515625" style="2" customWidth="1"/>
    <col min="7948" max="7949" width="7.42578125" style="2" customWidth="1"/>
    <col min="7950" max="7950" width="6.42578125" style="2" customWidth="1"/>
    <col min="7951" max="7951" width="8.42578125" style="2" customWidth="1"/>
    <col min="7952" max="8190" width="9.140625" style="2"/>
    <col min="8191" max="8191" width="2.42578125" style="2" customWidth="1"/>
    <col min="8192" max="8192" width="4" style="2" customWidth="1"/>
    <col min="8193" max="8193" width="46.7109375" style="2" customWidth="1"/>
    <col min="8194" max="8194" width="0" style="2" hidden="1" customWidth="1"/>
    <col min="8195" max="8203" width="7.28515625" style="2" customWidth="1"/>
    <col min="8204" max="8205" width="7.42578125" style="2" customWidth="1"/>
    <col min="8206" max="8206" width="6.42578125" style="2" customWidth="1"/>
    <col min="8207" max="8207" width="8.42578125" style="2" customWidth="1"/>
    <col min="8208" max="8446" width="9.140625" style="2"/>
    <col min="8447" max="8447" width="2.42578125" style="2" customWidth="1"/>
    <col min="8448" max="8448" width="4" style="2" customWidth="1"/>
    <col min="8449" max="8449" width="46.7109375" style="2" customWidth="1"/>
    <col min="8450" max="8450" width="0" style="2" hidden="1" customWidth="1"/>
    <col min="8451" max="8459" width="7.28515625" style="2" customWidth="1"/>
    <col min="8460" max="8461" width="7.42578125" style="2" customWidth="1"/>
    <col min="8462" max="8462" width="6.42578125" style="2" customWidth="1"/>
    <col min="8463" max="8463" width="8.42578125" style="2" customWidth="1"/>
    <col min="8464" max="8702" width="9.140625" style="2"/>
    <col min="8703" max="8703" width="2.42578125" style="2" customWidth="1"/>
    <col min="8704" max="8704" width="4" style="2" customWidth="1"/>
    <col min="8705" max="8705" width="46.7109375" style="2" customWidth="1"/>
    <col min="8706" max="8706" width="0" style="2" hidden="1" customWidth="1"/>
    <col min="8707" max="8715" width="7.28515625" style="2" customWidth="1"/>
    <col min="8716" max="8717" width="7.42578125" style="2" customWidth="1"/>
    <col min="8718" max="8718" width="6.42578125" style="2" customWidth="1"/>
    <col min="8719" max="8719" width="8.42578125" style="2" customWidth="1"/>
    <col min="8720" max="8958" width="9.140625" style="2"/>
    <col min="8959" max="8959" width="2.42578125" style="2" customWidth="1"/>
    <col min="8960" max="8960" width="4" style="2" customWidth="1"/>
    <col min="8961" max="8961" width="46.7109375" style="2" customWidth="1"/>
    <col min="8962" max="8962" width="0" style="2" hidden="1" customWidth="1"/>
    <col min="8963" max="8971" width="7.28515625" style="2" customWidth="1"/>
    <col min="8972" max="8973" width="7.42578125" style="2" customWidth="1"/>
    <col min="8974" max="8974" width="6.42578125" style="2" customWidth="1"/>
    <col min="8975" max="8975" width="8.42578125" style="2" customWidth="1"/>
    <col min="8976" max="9214" width="9.140625" style="2"/>
    <col min="9215" max="9215" width="2.42578125" style="2" customWidth="1"/>
    <col min="9216" max="9216" width="4" style="2" customWidth="1"/>
    <col min="9217" max="9217" width="46.7109375" style="2" customWidth="1"/>
    <col min="9218" max="9218" width="0" style="2" hidden="1" customWidth="1"/>
    <col min="9219" max="9227" width="7.28515625" style="2" customWidth="1"/>
    <col min="9228" max="9229" width="7.42578125" style="2" customWidth="1"/>
    <col min="9230" max="9230" width="6.42578125" style="2" customWidth="1"/>
    <col min="9231" max="9231" width="8.42578125" style="2" customWidth="1"/>
    <col min="9232" max="9470" width="9.140625" style="2"/>
    <col min="9471" max="9471" width="2.42578125" style="2" customWidth="1"/>
    <col min="9472" max="9472" width="4" style="2" customWidth="1"/>
    <col min="9473" max="9473" width="46.7109375" style="2" customWidth="1"/>
    <col min="9474" max="9474" width="0" style="2" hidden="1" customWidth="1"/>
    <col min="9475" max="9483" width="7.28515625" style="2" customWidth="1"/>
    <col min="9484" max="9485" width="7.42578125" style="2" customWidth="1"/>
    <col min="9486" max="9486" width="6.42578125" style="2" customWidth="1"/>
    <col min="9487" max="9487" width="8.42578125" style="2" customWidth="1"/>
    <col min="9488" max="9726" width="9.140625" style="2"/>
    <col min="9727" max="9727" width="2.42578125" style="2" customWidth="1"/>
    <col min="9728" max="9728" width="4" style="2" customWidth="1"/>
    <col min="9729" max="9729" width="46.7109375" style="2" customWidth="1"/>
    <col min="9730" max="9730" width="0" style="2" hidden="1" customWidth="1"/>
    <col min="9731" max="9739" width="7.28515625" style="2" customWidth="1"/>
    <col min="9740" max="9741" width="7.42578125" style="2" customWidth="1"/>
    <col min="9742" max="9742" width="6.42578125" style="2" customWidth="1"/>
    <col min="9743" max="9743" width="8.42578125" style="2" customWidth="1"/>
    <col min="9744" max="9982" width="9.140625" style="2"/>
    <col min="9983" max="9983" width="2.42578125" style="2" customWidth="1"/>
    <col min="9984" max="9984" width="4" style="2" customWidth="1"/>
    <col min="9985" max="9985" width="46.7109375" style="2" customWidth="1"/>
    <col min="9986" max="9986" width="0" style="2" hidden="1" customWidth="1"/>
    <col min="9987" max="9995" width="7.28515625" style="2" customWidth="1"/>
    <col min="9996" max="9997" width="7.42578125" style="2" customWidth="1"/>
    <col min="9998" max="9998" width="6.42578125" style="2" customWidth="1"/>
    <col min="9999" max="9999" width="8.42578125" style="2" customWidth="1"/>
    <col min="10000" max="10238" width="9.140625" style="2"/>
    <col min="10239" max="10239" width="2.42578125" style="2" customWidth="1"/>
    <col min="10240" max="10240" width="4" style="2" customWidth="1"/>
    <col min="10241" max="10241" width="46.7109375" style="2" customWidth="1"/>
    <col min="10242" max="10242" width="0" style="2" hidden="1" customWidth="1"/>
    <col min="10243" max="10251" width="7.28515625" style="2" customWidth="1"/>
    <col min="10252" max="10253" width="7.42578125" style="2" customWidth="1"/>
    <col min="10254" max="10254" width="6.42578125" style="2" customWidth="1"/>
    <col min="10255" max="10255" width="8.42578125" style="2" customWidth="1"/>
    <col min="10256" max="10494" width="9.140625" style="2"/>
    <col min="10495" max="10495" width="2.42578125" style="2" customWidth="1"/>
    <col min="10496" max="10496" width="4" style="2" customWidth="1"/>
    <col min="10497" max="10497" width="46.7109375" style="2" customWidth="1"/>
    <col min="10498" max="10498" width="0" style="2" hidden="1" customWidth="1"/>
    <col min="10499" max="10507" width="7.28515625" style="2" customWidth="1"/>
    <col min="10508" max="10509" width="7.42578125" style="2" customWidth="1"/>
    <col min="10510" max="10510" width="6.42578125" style="2" customWidth="1"/>
    <col min="10511" max="10511" width="8.42578125" style="2" customWidth="1"/>
    <col min="10512" max="10750" width="9.140625" style="2"/>
    <col min="10751" max="10751" width="2.42578125" style="2" customWidth="1"/>
    <col min="10752" max="10752" width="4" style="2" customWidth="1"/>
    <col min="10753" max="10753" width="46.7109375" style="2" customWidth="1"/>
    <col min="10754" max="10754" width="0" style="2" hidden="1" customWidth="1"/>
    <col min="10755" max="10763" width="7.28515625" style="2" customWidth="1"/>
    <col min="10764" max="10765" width="7.42578125" style="2" customWidth="1"/>
    <col min="10766" max="10766" width="6.42578125" style="2" customWidth="1"/>
    <col min="10767" max="10767" width="8.42578125" style="2" customWidth="1"/>
    <col min="10768" max="11006" width="9.140625" style="2"/>
    <col min="11007" max="11007" width="2.42578125" style="2" customWidth="1"/>
    <col min="11008" max="11008" width="4" style="2" customWidth="1"/>
    <col min="11009" max="11009" width="46.7109375" style="2" customWidth="1"/>
    <col min="11010" max="11010" width="0" style="2" hidden="1" customWidth="1"/>
    <col min="11011" max="11019" width="7.28515625" style="2" customWidth="1"/>
    <col min="11020" max="11021" width="7.42578125" style="2" customWidth="1"/>
    <col min="11022" max="11022" width="6.42578125" style="2" customWidth="1"/>
    <col min="11023" max="11023" width="8.42578125" style="2" customWidth="1"/>
    <col min="11024" max="11262" width="9.140625" style="2"/>
    <col min="11263" max="11263" width="2.42578125" style="2" customWidth="1"/>
    <col min="11264" max="11264" width="4" style="2" customWidth="1"/>
    <col min="11265" max="11265" width="46.7109375" style="2" customWidth="1"/>
    <col min="11266" max="11266" width="0" style="2" hidden="1" customWidth="1"/>
    <col min="11267" max="11275" width="7.28515625" style="2" customWidth="1"/>
    <col min="11276" max="11277" width="7.42578125" style="2" customWidth="1"/>
    <col min="11278" max="11278" width="6.42578125" style="2" customWidth="1"/>
    <col min="11279" max="11279" width="8.42578125" style="2" customWidth="1"/>
    <col min="11280" max="11518" width="9.140625" style="2"/>
    <col min="11519" max="11519" width="2.42578125" style="2" customWidth="1"/>
    <col min="11520" max="11520" width="4" style="2" customWidth="1"/>
    <col min="11521" max="11521" width="46.7109375" style="2" customWidth="1"/>
    <col min="11522" max="11522" width="0" style="2" hidden="1" customWidth="1"/>
    <col min="11523" max="11531" width="7.28515625" style="2" customWidth="1"/>
    <col min="11532" max="11533" width="7.42578125" style="2" customWidth="1"/>
    <col min="11534" max="11534" width="6.42578125" style="2" customWidth="1"/>
    <col min="11535" max="11535" width="8.42578125" style="2" customWidth="1"/>
    <col min="11536" max="11774" width="9.140625" style="2"/>
    <col min="11775" max="11775" width="2.42578125" style="2" customWidth="1"/>
    <col min="11776" max="11776" width="4" style="2" customWidth="1"/>
    <col min="11777" max="11777" width="46.7109375" style="2" customWidth="1"/>
    <col min="11778" max="11778" width="0" style="2" hidden="1" customWidth="1"/>
    <col min="11779" max="11787" width="7.28515625" style="2" customWidth="1"/>
    <col min="11788" max="11789" width="7.42578125" style="2" customWidth="1"/>
    <col min="11790" max="11790" width="6.42578125" style="2" customWidth="1"/>
    <col min="11791" max="11791" width="8.42578125" style="2" customWidth="1"/>
    <col min="11792" max="12030" width="9.140625" style="2"/>
    <col min="12031" max="12031" width="2.42578125" style="2" customWidth="1"/>
    <col min="12032" max="12032" width="4" style="2" customWidth="1"/>
    <col min="12033" max="12033" width="46.7109375" style="2" customWidth="1"/>
    <col min="12034" max="12034" width="0" style="2" hidden="1" customWidth="1"/>
    <col min="12035" max="12043" width="7.28515625" style="2" customWidth="1"/>
    <col min="12044" max="12045" width="7.42578125" style="2" customWidth="1"/>
    <col min="12046" max="12046" width="6.42578125" style="2" customWidth="1"/>
    <col min="12047" max="12047" width="8.42578125" style="2" customWidth="1"/>
    <col min="12048" max="12286" width="9.140625" style="2"/>
    <col min="12287" max="12287" width="2.42578125" style="2" customWidth="1"/>
    <col min="12288" max="12288" width="4" style="2" customWidth="1"/>
    <col min="12289" max="12289" width="46.7109375" style="2" customWidth="1"/>
    <col min="12290" max="12290" width="0" style="2" hidden="1" customWidth="1"/>
    <col min="12291" max="12299" width="7.28515625" style="2" customWidth="1"/>
    <col min="12300" max="12301" width="7.42578125" style="2" customWidth="1"/>
    <col min="12302" max="12302" width="6.42578125" style="2" customWidth="1"/>
    <col min="12303" max="12303" width="8.42578125" style="2" customWidth="1"/>
    <col min="12304" max="12542" width="9.140625" style="2"/>
    <col min="12543" max="12543" width="2.42578125" style="2" customWidth="1"/>
    <col min="12544" max="12544" width="4" style="2" customWidth="1"/>
    <col min="12545" max="12545" width="46.7109375" style="2" customWidth="1"/>
    <col min="12546" max="12546" width="0" style="2" hidden="1" customWidth="1"/>
    <col min="12547" max="12555" width="7.28515625" style="2" customWidth="1"/>
    <col min="12556" max="12557" width="7.42578125" style="2" customWidth="1"/>
    <col min="12558" max="12558" width="6.42578125" style="2" customWidth="1"/>
    <col min="12559" max="12559" width="8.42578125" style="2" customWidth="1"/>
    <col min="12560" max="12798" width="9.140625" style="2"/>
    <col min="12799" max="12799" width="2.42578125" style="2" customWidth="1"/>
    <col min="12800" max="12800" width="4" style="2" customWidth="1"/>
    <col min="12801" max="12801" width="46.7109375" style="2" customWidth="1"/>
    <col min="12802" max="12802" width="0" style="2" hidden="1" customWidth="1"/>
    <col min="12803" max="12811" width="7.28515625" style="2" customWidth="1"/>
    <col min="12812" max="12813" width="7.42578125" style="2" customWidth="1"/>
    <col min="12814" max="12814" width="6.42578125" style="2" customWidth="1"/>
    <col min="12815" max="12815" width="8.42578125" style="2" customWidth="1"/>
    <col min="12816" max="13054" width="9.140625" style="2"/>
    <col min="13055" max="13055" width="2.42578125" style="2" customWidth="1"/>
    <col min="13056" max="13056" width="4" style="2" customWidth="1"/>
    <col min="13057" max="13057" width="46.7109375" style="2" customWidth="1"/>
    <col min="13058" max="13058" width="0" style="2" hidden="1" customWidth="1"/>
    <col min="13059" max="13067" width="7.28515625" style="2" customWidth="1"/>
    <col min="13068" max="13069" width="7.42578125" style="2" customWidth="1"/>
    <col min="13070" max="13070" width="6.42578125" style="2" customWidth="1"/>
    <col min="13071" max="13071" width="8.42578125" style="2" customWidth="1"/>
    <col min="13072" max="13310" width="9.140625" style="2"/>
    <col min="13311" max="13311" width="2.42578125" style="2" customWidth="1"/>
    <col min="13312" max="13312" width="4" style="2" customWidth="1"/>
    <col min="13313" max="13313" width="46.7109375" style="2" customWidth="1"/>
    <col min="13314" max="13314" width="0" style="2" hidden="1" customWidth="1"/>
    <col min="13315" max="13323" width="7.28515625" style="2" customWidth="1"/>
    <col min="13324" max="13325" width="7.42578125" style="2" customWidth="1"/>
    <col min="13326" max="13326" width="6.42578125" style="2" customWidth="1"/>
    <col min="13327" max="13327" width="8.42578125" style="2" customWidth="1"/>
    <col min="13328" max="13566" width="9.140625" style="2"/>
    <col min="13567" max="13567" width="2.42578125" style="2" customWidth="1"/>
    <col min="13568" max="13568" width="4" style="2" customWidth="1"/>
    <col min="13569" max="13569" width="46.7109375" style="2" customWidth="1"/>
    <col min="13570" max="13570" width="0" style="2" hidden="1" customWidth="1"/>
    <col min="13571" max="13579" width="7.28515625" style="2" customWidth="1"/>
    <col min="13580" max="13581" width="7.42578125" style="2" customWidth="1"/>
    <col min="13582" max="13582" width="6.42578125" style="2" customWidth="1"/>
    <col min="13583" max="13583" width="8.42578125" style="2" customWidth="1"/>
    <col min="13584" max="13822" width="9.140625" style="2"/>
    <col min="13823" max="13823" width="2.42578125" style="2" customWidth="1"/>
    <col min="13824" max="13824" width="4" style="2" customWidth="1"/>
    <col min="13825" max="13825" width="46.7109375" style="2" customWidth="1"/>
    <col min="13826" max="13826" width="0" style="2" hidden="1" customWidth="1"/>
    <col min="13827" max="13835" width="7.28515625" style="2" customWidth="1"/>
    <col min="13836" max="13837" width="7.42578125" style="2" customWidth="1"/>
    <col min="13838" max="13838" width="6.42578125" style="2" customWidth="1"/>
    <col min="13839" max="13839" width="8.42578125" style="2" customWidth="1"/>
    <col min="13840" max="14078" width="9.140625" style="2"/>
    <col min="14079" max="14079" width="2.42578125" style="2" customWidth="1"/>
    <col min="14080" max="14080" width="4" style="2" customWidth="1"/>
    <col min="14081" max="14081" width="46.7109375" style="2" customWidth="1"/>
    <col min="14082" max="14082" width="0" style="2" hidden="1" customWidth="1"/>
    <col min="14083" max="14091" width="7.28515625" style="2" customWidth="1"/>
    <col min="14092" max="14093" width="7.42578125" style="2" customWidth="1"/>
    <col min="14094" max="14094" width="6.42578125" style="2" customWidth="1"/>
    <col min="14095" max="14095" width="8.42578125" style="2" customWidth="1"/>
    <col min="14096" max="14334" width="9.140625" style="2"/>
    <col min="14335" max="14335" width="2.42578125" style="2" customWidth="1"/>
    <col min="14336" max="14336" width="4" style="2" customWidth="1"/>
    <col min="14337" max="14337" width="46.7109375" style="2" customWidth="1"/>
    <col min="14338" max="14338" width="0" style="2" hidden="1" customWidth="1"/>
    <col min="14339" max="14347" width="7.28515625" style="2" customWidth="1"/>
    <col min="14348" max="14349" width="7.42578125" style="2" customWidth="1"/>
    <col min="14350" max="14350" width="6.42578125" style="2" customWidth="1"/>
    <col min="14351" max="14351" width="8.42578125" style="2" customWidth="1"/>
    <col min="14352" max="14590" width="9.140625" style="2"/>
    <col min="14591" max="14591" width="2.42578125" style="2" customWidth="1"/>
    <col min="14592" max="14592" width="4" style="2" customWidth="1"/>
    <col min="14593" max="14593" width="46.7109375" style="2" customWidth="1"/>
    <col min="14594" max="14594" width="0" style="2" hidden="1" customWidth="1"/>
    <col min="14595" max="14603" width="7.28515625" style="2" customWidth="1"/>
    <col min="14604" max="14605" width="7.42578125" style="2" customWidth="1"/>
    <col min="14606" max="14606" width="6.42578125" style="2" customWidth="1"/>
    <col min="14607" max="14607" width="8.42578125" style="2" customWidth="1"/>
    <col min="14608" max="14846" width="9.140625" style="2"/>
    <col min="14847" max="14847" width="2.42578125" style="2" customWidth="1"/>
    <col min="14848" max="14848" width="4" style="2" customWidth="1"/>
    <col min="14849" max="14849" width="46.7109375" style="2" customWidth="1"/>
    <col min="14850" max="14850" width="0" style="2" hidden="1" customWidth="1"/>
    <col min="14851" max="14859" width="7.28515625" style="2" customWidth="1"/>
    <col min="14860" max="14861" width="7.42578125" style="2" customWidth="1"/>
    <col min="14862" max="14862" width="6.42578125" style="2" customWidth="1"/>
    <col min="14863" max="14863" width="8.42578125" style="2" customWidth="1"/>
    <col min="14864" max="15102" width="9.140625" style="2"/>
    <col min="15103" max="15103" width="2.42578125" style="2" customWidth="1"/>
    <col min="15104" max="15104" width="4" style="2" customWidth="1"/>
    <col min="15105" max="15105" width="46.7109375" style="2" customWidth="1"/>
    <col min="15106" max="15106" width="0" style="2" hidden="1" customWidth="1"/>
    <col min="15107" max="15115" width="7.28515625" style="2" customWidth="1"/>
    <col min="15116" max="15117" width="7.42578125" style="2" customWidth="1"/>
    <col min="15118" max="15118" width="6.42578125" style="2" customWidth="1"/>
    <col min="15119" max="15119" width="8.42578125" style="2" customWidth="1"/>
    <col min="15120" max="15358" width="9.140625" style="2"/>
    <col min="15359" max="15359" width="2.42578125" style="2" customWidth="1"/>
    <col min="15360" max="15360" width="4" style="2" customWidth="1"/>
    <col min="15361" max="15361" width="46.7109375" style="2" customWidth="1"/>
    <col min="15362" max="15362" width="0" style="2" hidden="1" customWidth="1"/>
    <col min="15363" max="15371" width="7.28515625" style="2" customWidth="1"/>
    <col min="15372" max="15373" width="7.42578125" style="2" customWidth="1"/>
    <col min="15374" max="15374" width="6.42578125" style="2" customWidth="1"/>
    <col min="15375" max="15375" width="8.42578125" style="2" customWidth="1"/>
    <col min="15376" max="15614" width="9.140625" style="2"/>
    <col min="15615" max="15615" width="2.42578125" style="2" customWidth="1"/>
    <col min="15616" max="15616" width="4" style="2" customWidth="1"/>
    <col min="15617" max="15617" width="46.7109375" style="2" customWidth="1"/>
    <col min="15618" max="15618" width="0" style="2" hidden="1" customWidth="1"/>
    <col min="15619" max="15627" width="7.28515625" style="2" customWidth="1"/>
    <col min="15628" max="15629" width="7.42578125" style="2" customWidth="1"/>
    <col min="15630" max="15630" width="6.42578125" style="2" customWidth="1"/>
    <col min="15631" max="15631" width="8.42578125" style="2" customWidth="1"/>
    <col min="15632" max="15870" width="9.140625" style="2"/>
    <col min="15871" max="15871" width="2.42578125" style="2" customWidth="1"/>
    <col min="15872" max="15872" width="4" style="2" customWidth="1"/>
    <col min="15873" max="15873" width="46.7109375" style="2" customWidth="1"/>
    <col min="15874" max="15874" width="0" style="2" hidden="1" customWidth="1"/>
    <col min="15875" max="15883" width="7.28515625" style="2" customWidth="1"/>
    <col min="15884" max="15885" width="7.42578125" style="2" customWidth="1"/>
    <col min="15886" max="15886" width="6.42578125" style="2" customWidth="1"/>
    <col min="15887" max="15887" width="8.42578125" style="2" customWidth="1"/>
    <col min="15888" max="16126" width="9.140625" style="2"/>
    <col min="16127" max="16127" width="2.42578125" style="2" customWidth="1"/>
    <col min="16128" max="16128" width="4" style="2" customWidth="1"/>
    <col min="16129" max="16129" width="46.7109375" style="2" customWidth="1"/>
    <col min="16130" max="16130" width="0" style="2" hidden="1" customWidth="1"/>
    <col min="16131" max="16139" width="7.28515625" style="2" customWidth="1"/>
    <col min="16140" max="16141" width="7.42578125" style="2" customWidth="1"/>
    <col min="16142" max="16142" width="6.42578125" style="2" customWidth="1"/>
    <col min="16143" max="16143" width="8.42578125" style="2" customWidth="1"/>
    <col min="16144" max="16384" width="9.140625" style="2"/>
  </cols>
  <sheetData>
    <row r="1" spans="1:15" ht="15" x14ac:dyDescent="0.25">
      <c r="A1" s="1" t="s">
        <v>0</v>
      </c>
      <c r="B1" s="1"/>
      <c r="C1" s="1"/>
      <c r="D1" s="1"/>
      <c r="E1" s="1"/>
      <c r="F1" s="1"/>
      <c r="G1" s="1"/>
      <c r="H1" s="1"/>
      <c r="I1" s="1"/>
      <c r="J1" s="1"/>
      <c r="K1" s="1"/>
      <c r="L1" s="1"/>
      <c r="M1" s="1"/>
      <c r="N1" s="1"/>
      <c r="O1" s="1"/>
    </row>
    <row r="2" spans="1:15" ht="15" x14ac:dyDescent="0.25">
      <c r="A2" s="1" t="s">
        <v>1</v>
      </c>
      <c r="B2" s="1"/>
      <c r="C2" s="1"/>
      <c r="D2" s="1"/>
      <c r="E2" s="1"/>
      <c r="F2" s="1"/>
      <c r="G2" s="1"/>
      <c r="H2" s="1"/>
      <c r="I2" s="1"/>
      <c r="J2" s="1"/>
      <c r="K2" s="1"/>
      <c r="L2" s="1"/>
      <c r="M2" s="1"/>
      <c r="N2" s="1"/>
      <c r="O2" s="1"/>
    </row>
    <row r="3" spans="1:15" ht="15" x14ac:dyDescent="0.25">
      <c r="A3" s="315" t="s">
        <v>624</v>
      </c>
      <c r="B3" s="315"/>
      <c r="C3" s="315"/>
      <c r="D3" s="315"/>
      <c r="E3" s="315"/>
      <c r="F3" s="315"/>
      <c r="G3" s="315"/>
      <c r="H3" s="315"/>
      <c r="I3" s="315"/>
      <c r="J3" s="315"/>
      <c r="K3" s="315"/>
      <c r="L3" s="315"/>
      <c r="M3" s="315"/>
      <c r="N3" s="315"/>
      <c r="O3" s="315"/>
    </row>
    <row r="4" spans="1:15" x14ac:dyDescent="0.2">
      <c r="A4" s="2" t="s">
        <v>3</v>
      </c>
    </row>
    <row r="5" spans="1:15" ht="5.25" customHeight="1" x14ac:dyDescent="0.2">
      <c r="A5" s="126"/>
      <c r="B5" s="126"/>
      <c r="C5" s="126"/>
      <c r="D5" s="126"/>
      <c r="E5" s="126"/>
      <c r="F5" s="126"/>
      <c r="G5" s="126"/>
      <c r="H5" s="126"/>
      <c r="I5" s="126"/>
      <c r="J5" s="126"/>
      <c r="K5" s="126"/>
      <c r="L5" s="126"/>
      <c r="M5" s="126"/>
      <c r="N5" s="126"/>
      <c r="O5" s="126"/>
    </row>
    <row r="6" spans="1:15" ht="20.25" customHeight="1" thickBot="1" x14ac:dyDescent="0.25">
      <c r="A6" s="324" t="s">
        <v>5</v>
      </c>
      <c r="B6" s="324"/>
      <c r="C6" s="127" t="s">
        <v>461</v>
      </c>
      <c r="D6" s="127" t="s">
        <v>462</v>
      </c>
      <c r="E6" s="127" t="s">
        <v>463</v>
      </c>
      <c r="F6" s="127" t="s">
        <v>464</v>
      </c>
      <c r="G6" s="127" t="s">
        <v>465</v>
      </c>
      <c r="H6" s="127" t="s">
        <v>466</v>
      </c>
      <c r="I6" s="127" t="s">
        <v>467</v>
      </c>
      <c r="J6" s="127" t="s">
        <v>468</v>
      </c>
      <c r="K6" s="127" t="s">
        <v>469</v>
      </c>
      <c r="L6" s="127" t="s">
        <v>470</v>
      </c>
      <c r="M6" s="127" t="s">
        <v>471</v>
      </c>
      <c r="N6" s="127" t="s">
        <v>472</v>
      </c>
      <c r="O6" s="127" t="s">
        <v>238</v>
      </c>
    </row>
    <row r="7" spans="1:15" ht="15" thickTop="1" x14ac:dyDescent="0.2"/>
    <row r="8" spans="1:15" s="4" customFormat="1" ht="15" x14ac:dyDescent="0.25">
      <c r="A8" s="3" t="s">
        <v>20</v>
      </c>
      <c r="C8" s="19">
        <f t="shared" ref="C8:N8" si="0">SUM(C10:C29)</f>
        <v>490.42000000000007</v>
      </c>
      <c r="D8" s="19">
        <f t="shared" si="0"/>
        <v>527.7700000000001</v>
      </c>
      <c r="E8" s="19">
        <f t="shared" si="0"/>
        <v>169.37</v>
      </c>
      <c r="F8" s="19">
        <f t="shared" si="0"/>
        <v>119.62</v>
      </c>
      <c r="G8" s="19">
        <f t="shared" si="0"/>
        <v>192.6</v>
      </c>
      <c r="H8" s="19">
        <f t="shared" si="0"/>
        <v>149.88</v>
      </c>
      <c r="I8" s="19">
        <f t="shared" si="0"/>
        <v>98.72</v>
      </c>
      <c r="J8" s="19">
        <f t="shared" si="0"/>
        <v>160.74</v>
      </c>
      <c r="K8" s="19">
        <f t="shared" si="0"/>
        <v>121.91999999999999</v>
      </c>
      <c r="L8" s="19">
        <f t="shared" si="0"/>
        <v>1107.81</v>
      </c>
      <c r="M8" s="19">
        <f t="shared" si="0"/>
        <v>135.19</v>
      </c>
      <c r="N8" s="19">
        <f t="shared" si="0"/>
        <v>96.389999999999986</v>
      </c>
      <c r="O8" s="19">
        <f>SUM(C8:N8)</f>
        <v>3370.4300000000003</v>
      </c>
    </row>
    <row r="9" spans="1:15" ht="15" x14ac:dyDescent="0.25">
      <c r="A9" s="1"/>
      <c r="C9" s="175"/>
      <c r="D9" s="175"/>
      <c r="E9" s="175"/>
      <c r="F9" s="175"/>
      <c r="G9" s="175"/>
      <c r="H9" s="175"/>
      <c r="I9" s="175"/>
      <c r="J9" s="175"/>
      <c r="K9" s="175"/>
      <c r="L9" s="175"/>
      <c r="M9" s="175"/>
      <c r="N9" s="175"/>
      <c r="O9" s="175"/>
    </row>
    <row r="10" spans="1:15" x14ac:dyDescent="0.2">
      <c r="B10" s="2" t="s">
        <v>240</v>
      </c>
      <c r="C10" s="114">
        <v>9.7799999999999994</v>
      </c>
      <c r="D10" s="114">
        <v>0.92</v>
      </c>
      <c r="E10" s="114">
        <v>0.97</v>
      </c>
      <c r="F10" s="114">
        <v>0.77</v>
      </c>
      <c r="G10" s="114">
        <v>1.31</v>
      </c>
      <c r="H10" s="114">
        <v>3.32</v>
      </c>
      <c r="I10" s="114">
        <v>1.27</v>
      </c>
      <c r="J10" s="114">
        <v>1.2</v>
      </c>
      <c r="K10" s="114">
        <v>0.96</v>
      </c>
      <c r="L10" s="114">
        <v>1.03</v>
      </c>
      <c r="M10" s="114">
        <v>0.84</v>
      </c>
      <c r="N10" s="114">
        <v>0.96</v>
      </c>
      <c r="O10" s="114">
        <f t="shared" ref="O10:O29" si="1">SUM(C10:N10)</f>
        <v>23.330000000000002</v>
      </c>
    </row>
    <row r="11" spans="1:15" x14ac:dyDescent="0.2">
      <c r="B11" s="2" t="s">
        <v>611</v>
      </c>
      <c r="C11" s="114">
        <v>1.75</v>
      </c>
      <c r="D11" s="114">
        <v>0.79</v>
      </c>
      <c r="E11" s="114">
        <v>1.2</v>
      </c>
      <c r="F11" s="114">
        <v>0.97</v>
      </c>
      <c r="G11" s="114">
        <v>1.04</v>
      </c>
      <c r="H11" s="114">
        <v>1.23</v>
      </c>
      <c r="I11" s="114">
        <v>1.1599999999999999</v>
      </c>
      <c r="J11" s="114">
        <v>1.2</v>
      </c>
      <c r="K11" s="114">
        <v>0.9</v>
      </c>
      <c r="L11" s="114">
        <v>0.72</v>
      </c>
      <c r="M11" s="114">
        <v>0.82</v>
      </c>
      <c r="N11" s="114">
        <v>0.79</v>
      </c>
      <c r="O11" s="114">
        <f t="shared" si="1"/>
        <v>12.57</v>
      </c>
    </row>
    <row r="12" spans="1:15" x14ac:dyDescent="0.2">
      <c r="B12" s="2" t="s">
        <v>242</v>
      </c>
      <c r="C12" s="114">
        <v>3.18</v>
      </c>
      <c r="D12" s="114">
        <v>3.06</v>
      </c>
      <c r="E12" s="114">
        <v>1.81</v>
      </c>
      <c r="F12" s="114">
        <v>0.93</v>
      </c>
      <c r="G12" s="114">
        <v>1.02</v>
      </c>
      <c r="H12" s="114">
        <v>1.1200000000000001</v>
      </c>
      <c r="I12" s="114">
        <v>1.07</v>
      </c>
      <c r="J12" s="114">
        <v>1.26</v>
      </c>
      <c r="K12" s="114">
        <v>0.93</v>
      </c>
      <c r="L12" s="114">
        <v>1.19</v>
      </c>
      <c r="M12" s="114">
        <v>0.73</v>
      </c>
      <c r="N12" s="114">
        <v>0.56000000000000005</v>
      </c>
      <c r="O12" s="114">
        <f t="shared" si="1"/>
        <v>16.86</v>
      </c>
    </row>
    <row r="13" spans="1:15" x14ac:dyDescent="0.2">
      <c r="B13" s="2" t="s">
        <v>812</v>
      </c>
      <c r="C13" s="114">
        <v>42.11</v>
      </c>
      <c r="D13" s="114">
        <v>2.02</v>
      </c>
      <c r="E13" s="114">
        <v>3.74</v>
      </c>
      <c r="F13" s="114">
        <v>11.74</v>
      </c>
      <c r="G13" s="114">
        <v>2.2599999999999998</v>
      </c>
      <c r="H13" s="114">
        <v>2.17</v>
      </c>
      <c r="I13" s="114">
        <v>2.81</v>
      </c>
      <c r="J13" s="114">
        <v>6.8</v>
      </c>
      <c r="K13" s="114">
        <v>2.33</v>
      </c>
      <c r="L13" s="114">
        <v>103.26</v>
      </c>
      <c r="M13" s="114">
        <v>4.58</v>
      </c>
      <c r="N13" s="114">
        <v>1.07</v>
      </c>
      <c r="O13" s="114">
        <f t="shared" si="1"/>
        <v>184.89000000000001</v>
      </c>
    </row>
    <row r="14" spans="1:15" x14ac:dyDescent="0.2">
      <c r="B14" s="2" t="s">
        <v>444</v>
      </c>
      <c r="C14" s="114">
        <v>0</v>
      </c>
      <c r="D14" s="114">
        <v>0</v>
      </c>
      <c r="E14" s="114">
        <v>0</v>
      </c>
      <c r="F14" s="114">
        <v>0</v>
      </c>
      <c r="G14" s="114">
        <v>0</v>
      </c>
      <c r="H14" s="114">
        <v>0.85</v>
      </c>
      <c r="I14" s="114">
        <v>0</v>
      </c>
      <c r="J14" s="114">
        <v>0</v>
      </c>
      <c r="K14" s="114">
        <v>0</v>
      </c>
      <c r="L14" s="114">
        <v>0</v>
      </c>
      <c r="M14" s="114">
        <v>0</v>
      </c>
      <c r="N14" s="114">
        <v>0</v>
      </c>
      <c r="O14" s="114">
        <f t="shared" si="1"/>
        <v>0.85</v>
      </c>
    </row>
    <row r="15" spans="1:15" x14ac:dyDescent="0.2">
      <c r="B15" s="2" t="s">
        <v>244</v>
      </c>
      <c r="C15" s="114">
        <v>0.9</v>
      </c>
      <c r="D15" s="114">
        <v>0.96</v>
      </c>
      <c r="E15" s="114">
        <v>0.35</v>
      </c>
      <c r="F15" s="114">
        <v>0.19</v>
      </c>
      <c r="G15" s="114">
        <v>0.2</v>
      </c>
      <c r="H15" s="114">
        <v>0.38</v>
      </c>
      <c r="I15" s="114">
        <v>0.18</v>
      </c>
      <c r="J15" s="114">
        <v>0.12</v>
      </c>
      <c r="K15" s="114">
        <v>0.22</v>
      </c>
      <c r="L15" s="114">
        <v>0.3</v>
      </c>
      <c r="M15" s="114">
        <v>7.0000000000000007E-2</v>
      </c>
      <c r="N15" s="114">
        <v>0.12</v>
      </c>
      <c r="O15" s="114">
        <f t="shared" si="1"/>
        <v>3.99</v>
      </c>
    </row>
    <row r="16" spans="1:15" x14ac:dyDescent="0.2">
      <c r="B16" s="2" t="s">
        <v>245</v>
      </c>
      <c r="C16" s="114">
        <v>0</v>
      </c>
      <c r="D16" s="114">
        <v>0</v>
      </c>
      <c r="E16" s="114">
        <v>0</v>
      </c>
      <c r="F16" s="114">
        <v>0</v>
      </c>
      <c r="G16" s="114">
        <v>0</v>
      </c>
      <c r="H16" s="114">
        <v>0</v>
      </c>
      <c r="I16" s="114">
        <v>0</v>
      </c>
      <c r="J16" s="114">
        <v>0</v>
      </c>
      <c r="K16" s="114">
        <v>0</v>
      </c>
      <c r="L16" s="114">
        <v>0</v>
      </c>
      <c r="M16" s="114">
        <v>0</v>
      </c>
      <c r="N16" s="114">
        <v>0.01</v>
      </c>
      <c r="O16" s="114">
        <f t="shared" si="1"/>
        <v>0.01</v>
      </c>
    </row>
    <row r="17" spans="1:15" x14ac:dyDescent="0.2">
      <c r="B17" s="2" t="s">
        <v>556</v>
      </c>
      <c r="C17" s="114">
        <v>0</v>
      </c>
      <c r="D17" s="114">
        <v>0</v>
      </c>
      <c r="E17" s="114">
        <v>0.81</v>
      </c>
      <c r="F17" s="114">
        <v>0</v>
      </c>
      <c r="G17" s="114">
        <v>0</v>
      </c>
      <c r="H17" s="114">
        <v>0</v>
      </c>
      <c r="I17" s="114">
        <v>0</v>
      </c>
      <c r="J17" s="114">
        <v>0</v>
      </c>
      <c r="K17" s="114">
        <v>0</v>
      </c>
      <c r="L17" s="114">
        <v>0</v>
      </c>
      <c r="M17" s="114">
        <v>0</v>
      </c>
      <c r="N17" s="114">
        <v>0</v>
      </c>
      <c r="O17" s="114">
        <f t="shared" si="1"/>
        <v>0.81</v>
      </c>
    </row>
    <row r="18" spans="1:15" x14ac:dyDescent="0.2">
      <c r="B18" s="2" t="s">
        <v>246</v>
      </c>
      <c r="C18" s="114">
        <v>7.42</v>
      </c>
      <c r="D18" s="114">
        <v>4.9800000000000004</v>
      </c>
      <c r="E18" s="114">
        <v>4.53</v>
      </c>
      <c r="F18" s="114">
        <v>5.21</v>
      </c>
      <c r="G18" s="114">
        <v>4.8499999999999996</v>
      </c>
      <c r="H18" s="114">
        <v>5.21</v>
      </c>
      <c r="I18" s="114">
        <v>3.47</v>
      </c>
      <c r="J18" s="114">
        <v>6.54</v>
      </c>
      <c r="K18" s="114">
        <v>3.63</v>
      </c>
      <c r="L18" s="114">
        <v>5.92</v>
      </c>
      <c r="M18" s="114">
        <v>3.57</v>
      </c>
      <c r="N18" s="114">
        <v>6.93</v>
      </c>
      <c r="O18" s="114">
        <f t="shared" si="1"/>
        <v>62.260000000000005</v>
      </c>
    </row>
    <row r="19" spans="1:15" x14ac:dyDescent="0.2">
      <c r="B19" s="2" t="s">
        <v>247</v>
      </c>
      <c r="C19" s="114">
        <v>0.03</v>
      </c>
      <c r="D19" s="114">
        <v>0.01</v>
      </c>
      <c r="E19" s="114">
        <v>0.02</v>
      </c>
      <c r="F19" s="114">
        <v>0.01</v>
      </c>
      <c r="G19" s="114">
        <v>0.01</v>
      </c>
      <c r="H19" s="114">
        <v>0.01</v>
      </c>
      <c r="I19" s="114">
        <v>0.01</v>
      </c>
      <c r="J19" s="114">
        <v>0.01</v>
      </c>
      <c r="K19" s="114">
        <v>0.01</v>
      </c>
      <c r="L19" s="114">
        <v>0.01</v>
      </c>
      <c r="M19" s="114">
        <v>0</v>
      </c>
      <c r="N19" s="114">
        <v>0.01</v>
      </c>
      <c r="O19" s="114">
        <f t="shared" si="1"/>
        <v>0.13999999999999999</v>
      </c>
    </row>
    <row r="20" spans="1:15" x14ac:dyDescent="0.2">
      <c r="B20" s="2" t="s">
        <v>248</v>
      </c>
      <c r="C20" s="114">
        <v>0.01</v>
      </c>
      <c r="D20" s="114">
        <v>0.04</v>
      </c>
      <c r="E20" s="114">
        <v>7.0000000000000007E-2</v>
      </c>
      <c r="F20" s="114">
        <v>0</v>
      </c>
      <c r="G20" s="114">
        <v>0.01</v>
      </c>
      <c r="H20" s="114">
        <v>0.02</v>
      </c>
      <c r="I20" s="114">
        <v>0.01</v>
      </c>
      <c r="J20" s="114">
        <v>0.01</v>
      </c>
      <c r="K20" s="114">
        <v>0.18</v>
      </c>
      <c r="L20" s="114">
        <v>0.02</v>
      </c>
      <c r="M20" s="114">
        <v>0.02</v>
      </c>
      <c r="N20" s="114">
        <v>0.02</v>
      </c>
      <c r="O20" s="114">
        <f t="shared" si="1"/>
        <v>0.41000000000000003</v>
      </c>
    </row>
    <row r="21" spans="1:15" x14ac:dyDescent="0.2">
      <c r="B21" s="2" t="s">
        <v>249</v>
      </c>
      <c r="C21" s="114">
        <v>0.65</v>
      </c>
      <c r="D21" s="114">
        <v>0.41</v>
      </c>
      <c r="E21" s="114">
        <v>0.39</v>
      </c>
      <c r="F21" s="114">
        <v>0.28999999999999998</v>
      </c>
      <c r="G21" s="114">
        <v>0.24</v>
      </c>
      <c r="H21" s="114">
        <v>0.28000000000000003</v>
      </c>
      <c r="I21" s="114">
        <v>0.44</v>
      </c>
      <c r="J21" s="114">
        <v>1.07</v>
      </c>
      <c r="K21" s="114">
        <v>0.34</v>
      </c>
      <c r="L21" s="114">
        <v>0.56999999999999995</v>
      </c>
      <c r="M21" s="114">
        <v>0.31</v>
      </c>
      <c r="N21" s="114">
        <v>0.28999999999999998</v>
      </c>
      <c r="O21" s="114">
        <f t="shared" si="1"/>
        <v>5.28</v>
      </c>
    </row>
    <row r="22" spans="1:15" x14ac:dyDescent="0.2">
      <c r="B22" s="2" t="s">
        <v>250</v>
      </c>
      <c r="C22" s="114">
        <v>0.54</v>
      </c>
      <c r="D22" s="114">
        <v>0.59</v>
      </c>
      <c r="E22" s="114">
        <v>0.37</v>
      </c>
      <c r="F22" s="114">
        <v>0.14000000000000001</v>
      </c>
      <c r="G22" s="114">
        <v>0.16</v>
      </c>
      <c r="H22" s="114">
        <v>7.0000000000000007E-2</v>
      </c>
      <c r="I22" s="114">
        <v>0.14000000000000001</v>
      </c>
      <c r="J22" s="114">
        <v>0.47</v>
      </c>
      <c r="K22" s="114">
        <v>0.75</v>
      </c>
      <c r="L22" s="114">
        <v>0.74</v>
      </c>
      <c r="M22" s="114">
        <v>0.64</v>
      </c>
      <c r="N22" s="114">
        <v>0.41</v>
      </c>
      <c r="O22" s="114">
        <f t="shared" si="1"/>
        <v>5.0200000000000005</v>
      </c>
    </row>
    <row r="23" spans="1:15" x14ac:dyDescent="0.2">
      <c r="B23" s="2" t="s">
        <v>251</v>
      </c>
      <c r="C23" s="114">
        <v>353.47</v>
      </c>
      <c r="D23" s="114">
        <v>469.23</v>
      </c>
      <c r="E23" s="114">
        <v>82.53</v>
      </c>
      <c r="F23" s="114">
        <v>18.399999999999999</v>
      </c>
      <c r="G23" s="114">
        <v>32.869999999999997</v>
      </c>
      <c r="H23" s="114">
        <v>42.22</v>
      </c>
      <c r="I23" s="114">
        <v>36.799999999999997</v>
      </c>
      <c r="J23" s="114">
        <v>54.93</v>
      </c>
      <c r="K23" s="114">
        <v>37.78</v>
      </c>
      <c r="L23" s="114">
        <v>916.27</v>
      </c>
      <c r="M23" s="114">
        <v>47.04</v>
      </c>
      <c r="N23" s="114">
        <v>29.88</v>
      </c>
      <c r="O23" s="114">
        <f t="shared" si="1"/>
        <v>2121.42</v>
      </c>
    </row>
    <row r="24" spans="1:15" x14ac:dyDescent="0.2">
      <c r="B24" s="2" t="s">
        <v>239</v>
      </c>
      <c r="C24" s="114">
        <v>0.8</v>
      </c>
      <c r="D24" s="114">
        <v>1.1299999999999999</v>
      </c>
      <c r="E24" s="114">
        <v>0.56999999999999995</v>
      </c>
      <c r="F24" s="114">
        <v>0.36</v>
      </c>
      <c r="G24" s="114">
        <v>0.54</v>
      </c>
      <c r="H24" s="114">
        <v>0.83</v>
      </c>
      <c r="I24" s="114">
        <v>0.45</v>
      </c>
      <c r="J24" s="114">
        <v>4</v>
      </c>
      <c r="K24" s="114">
        <v>1.3</v>
      </c>
      <c r="L24" s="114">
        <v>3.16</v>
      </c>
      <c r="M24" s="114">
        <v>1.41</v>
      </c>
      <c r="N24" s="114">
        <v>0.9</v>
      </c>
      <c r="O24" s="114">
        <f t="shared" si="1"/>
        <v>15.450000000000001</v>
      </c>
    </row>
    <row r="25" spans="1:15" x14ac:dyDescent="0.2">
      <c r="B25" s="2" t="s">
        <v>252</v>
      </c>
      <c r="C25" s="114">
        <v>1.04</v>
      </c>
      <c r="D25" s="114">
        <v>0.55000000000000004</v>
      </c>
      <c r="E25" s="114">
        <v>0.28999999999999998</v>
      </c>
      <c r="F25" s="114">
        <v>0.21</v>
      </c>
      <c r="G25" s="114">
        <v>0.28000000000000003</v>
      </c>
      <c r="H25" s="114">
        <v>0.09</v>
      </c>
      <c r="I25" s="114">
        <v>0.52</v>
      </c>
      <c r="J25" s="114">
        <v>0.17</v>
      </c>
      <c r="K25" s="114">
        <v>0.16</v>
      </c>
      <c r="L25" s="114">
        <v>0.79</v>
      </c>
      <c r="M25" s="114">
        <v>0.19</v>
      </c>
      <c r="N25" s="114">
        <v>0.93</v>
      </c>
      <c r="O25" s="114">
        <f t="shared" si="1"/>
        <v>5.22</v>
      </c>
    </row>
    <row r="26" spans="1:15" x14ac:dyDescent="0.2">
      <c r="B26" s="2" t="s">
        <v>253</v>
      </c>
      <c r="C26" s="114">
        <v>2.4500000000000002</v>
      </c>
      <c r="D26" s="114">
        <v>0.98</v>
      </c>
      <c r="E26" s="114">
        <v>6.07</v>
      </c>
      <c r="F26" s="114">
        <v>12.53</v>
      </c>
      <c r="G26" s="114">
        <v>9.6199999999999992</v>
      </c>
      <c r="H26" s="114">
        <v>10.29</v>
      </c>
      <c r="I26" s="114">
        <v>2.15</v>
      </c>
      <c r="J26" s="114">
        <v>12.77</v>
      </c>
      <c r="K26" s="114">
        <v>5.27</v>
      </c>
      <c r="L26" s="114">
        <v>13.98</v>
      </c>
      <c r="M26" s="114">
        <v>4.83</v>
      </c>
      <c r="N26" s="114">
        <v>4.49</v>
      </c>
      <c r="O26" s="114">
        <f t="shared" si="1"/>
        <v>85.429999999999993</v>
      </c>
    </row>
    <row r="27" spans="1:15" x14ac:dyDescent="0.2">
      <c r="B27" s="2" t="s">
        <v>255</v>
      </c>
      <c r="C27" s="114">
        <v>60.7</v>
      </c>
      <c r="D27" s="114">
        <v>38.26</v>
      </c>
      <c r="E27" s="114">
        <v>58.21</v>
      </c>
      <c r="F27" s="114">
        <v>64.02</v>
      </c>
      <c r="G27" s="114">
        <v>132.54</v>
      </c>
      <c r="H27" s="114">
        <v>74.900000000000006</v>
      </c>
      <c r="I27" s="114">
        <v>38.81</v>
      </c>
      <c r="J27" s="114">
        <v>64.45</v>
      </c>
      <c r="K27" s="114">
        <v>51.07</v>
      </c>
      <c r="L27" s="114">
        <v>51.77</v>
      </c>
      <c r="M27" s="114">
        <v>65.66</v>
      </c>
      <c r="N27" s="114">
        <v>45.79</v>
      </c>
      <c r="O27" s="114">
        <f t="shared" si="1"/>
        <v>746.18</v>
      </c>
    </row>
    <row r="28" spans="1:15" x14ac:dyDescent="0.2">
      <c r="B28" s="2" t="s">
        <v>257</v>
      </c>
      <c r="C28" s="114">
        <v>0.1</v>
      </c>
      <c r="D28" s="114">
        <v>0.14000000000000001</v>
      </c>
      <c r="E28" s="114">
        <v>0.17</v>
      </c>
      <c r="F28" s="114">
        <v>0.23</v>
      </c>
      <c r="G28" s="114">
        <v>0.11</v>
      </c>
      <c r="H28" s="114">
        <v>0.1</v>
      </c>
      <c r="I28" s="114">
        <v>0.13</v>
      </c>
      <c r="J28" s="114">
        <v>0.19</v>
      </c>
      <c r="K28" s="114">
        <v>0.09</v>
      </c>
      <c r="L28" s="114">
        <v>0.1</v>
      </c>
      <c r="M28" s="114">
        <v>0.08</v>
      </c>
      <c r="N28" s="114">
        <v>7.0000000000000007E-2</v>
      </c>
      <c r="O28" s="114">
        <f t="shared" si="1"/>
        <v>1.5100000000000002</v>
      </c>
    </row>
    <row r="29" spans="1:15" x14ac:dyDescent="0.2">
      <c r="B29" s="2" t="s">
        <v>259</v>
      </c>
      <c r="C29" s="114">
        <v>5.49</v>
      </c>
      <c r="D29" s="114">
        <v>3.7</v>
      </c>
      <c r="E29" s="114">
        <v>7.27</v>
      </c>
      <c r="F29" s="114">
        <v>3.62</v>
      </c>
      <c r="G29" s="114">
        <v>5.54</v>
      </c>
      <c r="H29" s="114">
        <v>6.79</v>
      </c>
      <c r="I29" s="114">
        <v>9.3000000000000007</v>
      </c>
      <c r="J29" s="114">
        <v>5.55</v>
      </c>
      <c r="K29" s="114">
        <v>16</v>
      </c>
      <c r="L29" s="114">
        <v>7.98</v>
      </c>
      <c r="M29" s="114">
        <v>4.4000000000000004</v>
      </c>
      <c r="N29" s="114">
        <v>3.16</v>
      </c>
      <c r="O29" s="114">
        <f t="shared" si="1"/>
        <v>78.800000000000011</v>
      </c>
    </row>
    <row r="30" spans="1:15" x14ac:dyDescent="0.2">
      <c r="C30" s="7"/>
      <c r="D30" s="7"/>
      <c r="E30" s="7"/>
      <c r="F30" s="7"/>
      <c r="G30" s="7"/>
      <c r="H30" s="7"/>
      <c r="I30" s="7"/>
      <c r="J30" s="7"/>
      <c r="K30" s="7"/>
      <c r="L30" s="7"/>
      <c r="M30" s="7"/>
      <c r="N30" s="7"/>
      <c r="O30" s="7"/>
    </row>
    <row r="31" spans="1:15" s="4" customFormat="1" ht="15" x14ac:dyDescent="0.25">
      <c r="A31" s="3" t="s">
        <v>46</v>
      </c>
      <c r="C31" s="19">
        <f>SUM(C33:C37)</f>
        <v>10.719999999999999</v>
      </c>
      <c r="D31" s="19">
        <f t="shared" ref="D31:L31" si="2">SUM(D33:D37)</f>
        <v>5.56</v>
      </c>
      <c r="E31" s="19">
        <f t="shared" si="2"/>
        <v>7.34</v>
      </c>
      <c r="F31" s="19">
        <f t="shared" si="2"/>
        <v>12.899999999999999</v>
      </c>
      <c r="G31" s="19">
        <f>SUM(G33:G37)</f>
        <v>7.7</v>
      </c>
      <c r="H31" s="19">
        <f t="shared" si="2"/>
        <v>8.59</v>
      </c>
      <c r="I31" s="19">
        <f t="shared" si="2"/>
        <v>9.1599999999999984</v>
      </c>
      <c r="J31" s="19">
        <f t="shared" si="2"/>
        <v>6.08</v>
      </c>
      <c r="K31" s="19">
        <f t="shared" si="2"/>
        <v>11.239999999999998</v>
      </c>
      <c r="L31" s="19">
        <f t="shared" si="2"/>
        <v>11.49</v>
      </c>
      <c r="M31" s="19">
        <f>SUM(M33:M37)</f>
        <v>7.8100000000000005</v>
      </c>
      <c r="N31" s="19">
        <f>SUM(N33:N37)</f>
        <v>10.5</v>
      </c>
      <c r="O31" s="19">
        <f>SUM(C31:N31)</f>
        <v>109.08999999999999</v>
      </c>
    </row>
    <row r="32" spans="1:15" ht="9" customHeight="1" x14ac:dyDescent="0.2">
      <c r="C32" s="114"/>
      <c r="D32" s="114"/>
      <c r="E32" s="114"/>
      <c r="F32" s="114"/>
      <c r="G32" s="114"/>
      <c r="H32" s="114"/>
      <c r="I32" s="114"/>
      <c r="J32" s="114"/>
      <c r="K32" s="114"/>
      <c r="L32" s="114"/>
      <c r="M32" s="114"/>
      <c r="N32" s="114"/>
      <c r="O32" s="114"/>
    </row>
    <row r="33" spans="1:15" x14ac:dyDescent="0.2">
      <c r="B33" s="2" t="s">
        <v>261</v>
      </c>
      <c r="C33" s="114">
        <v>0.04</v>
      </c>
      <c r="D33" s="114">
        <v>0.13</v>
      </c>
      <c r="E33" s="114">
        <v>0.03</v>
      </c>
      <c r="F33" s="114">
        <v>0.17</v>
      </c>
      <c r="G33" s="114">
        <v>0.11</v>
      </c>
      <c r="H33" s="114">
        <v>0.01</v>
      </c>
      <c r="I33" s="114">
        <v>0.04</v>
      </c>
      <c r="J33" s="114">
        <v>0.03</v>
      </c>
      <c r="K33" s="114">
        <v>0.03</v>
      </c>
      <c r="L33" s="114">
        <v>7.0000000000000007E-2</v>
      </c>
      <c r="M33" s="114">
        <v>0.11</v>
      </c>
      <c r="N33" s="114">
        <v>0.01</v>
      </c>
      <c r="O33" s="114">
        <f>SUM(C33:N33)</f>
        <v>0.78000000000000014</v>
      </c>
    </row>
    <row r="34" spans="1:15" x14ac:dyDescent="0.2">
      <c r="B34" s="2" t="s">
        <v>263</v>
      </c>
      <c r="C34" s="114">
        <v>10.6</v>
      </c>
      <c r="D34" s="114">
        <v>5.42</v>
      </c>
      <c r="E34" s="114">
        <v>6.79</v>
      </c>
      <c r="F34" s="114">
        <v>12.69</v>
      </c>
      <c r="G34" s="114">
        <v>7.1</v>
      </c>
      <c r="H34" s="114">
        <v>8.3800000000000008</v>
      </c>
      <c r="I34" s="114">
        <v>9.01</v>
      </c>
      <c r="J34" s="114">
        <v>6.02</v>
      </c>
      <c r="K34" s="114">
        <v>11.16</v>
      </c>
      <c r="L34" s="114">
        <v>10.82</v>
      </c>
      <c r="M34" s="114">
        <v>7.66</v>
      </c>
      <c r="N34" s="114">
        <v>10.42</v>
      </c>
      <c r="O34" s="114">
        <f>SUM(C34:N34)</f>
        <v>106.07000000000001</v>
      </c>
    </row>
    <row r="35" spans="1:15" x14ac:dyDescent="0.2">
      <c r="B35" s="2" t="s">
        <v>265</v>
      </c>
      <c r="C35" s="114">
        <v>0.08</v>
      </c>
      <c r="D35" s="114">
        <v>0.01</v>
      </c>
      <c r="E35" s="114">
        <v>0.52</v>
      </c>
      <c r="F35" s="114">
        <v>0.04</v>
      </c>
      <c r="G35" s="114">
        <v>0.49</v>
      </c>
      <c r="H35" s="114">
        <v>0.18</v>
      </c>
      <c r="I35" s="114">
        <v>0.11</v>
      </c>
      <c r="J35" s="114">
        <v>0.03</v>
      </c>
      <c r="K35" s="114">
        <v>0.04</v>
      </c>
      <c r="L35" s="114">
        <v>0.26</v>
      </c>
      <c r="M35" s="114">
        <v>0.04</v>
      </c>
      <c r="N35" s="114">
        <v>7.0000000000000007E-2</v>
      </c>
      <c r="O35" s="114">
        <f>SUM(C35:N35)</f>
        <v>1.8700000000000003</v>
      </c>
    </row>
    <row r="36" spans="1:15" x14ac:dyDescent="0.2">
      <c r="B36" s="2" t="s">
        <v>260</v>
      </c>
      <c r="C36" s="114">
        <v>0</v>
      </c>
      <c r="D36" s="114">
        <v>0</v>
      </c>
      <c r="E36" s="114">
        <v>0</v>
      </c>
      <c r="F36" s="114">
        <v>0</v>
      </c>
      <c r="G36" s="114">
        <v>0</v>
      </c>
      <c r="H36" s="114">
        <v>0.02</v>
      </c>
      <c r="I36" s="114">
        <v>0</v>
      </c>
      <c r="J36" s="114">
        <v>0</v>
      </c>
      <c r="K36" s="114">
        <v>0</v>
      </c>
      <c r="L36" s="114">
        <v>0.33</v>
      </c>
      <c r="M36" s="114">
        <v>0</v>
      </c>
      <c r="N36" s="114">
        <v>0</v>
      </c>
      <c r="O36" s="114">
        <f>SUM(C36:N36)</f>
        <v>0.35000000000000003</v>
      </c>
    </row>
    <row r="37" spans="1:15" x14ac:dyDescent="0.2">
      <c r="B37" s="2" t="s">
        <v>266</v>
      </c>
      <c r="C37" s="114">
        <v>0</v>
      </c>
      <c r="D37" s="114">
        <v>0</v>
      </c>
      <c r="E37" s="114">
        <v>0</v>
      </c>
      <c r="F37" s="114">
        <v>0</v>
      </c>
      <c r="G37" s="114">
        <v>0</v>
      </c>
      <c r="H37" s="114">
        <v>0</v>
      </c>
      <c r="I37" s="114">
        <v>0</v>
      </c>
      <c r="J37" s="114">
        <v>0</v>
      </c>
      <c r="K37" s="114">
        <v>0.01</v>
      </c>
      <c r="L37" s="114">
        <v>0.01</v>
      </c>
      <c r="M37" s="114">
        <v>0</v>
      </c>
      <c r="N37" s="114">
        <v>0</v>
      </c>
      <c r="O37" s="114">
        <f>SUM(C37:N37)</f>
        <v>0.02</v>
      </c>
    </row>
    <row r="38" spans="1:15" x14ac:dyDescent="0.2">
      <c r="C38" s="7"/>
      <c r="D38" s="7"/>
      <c r="E38" s="7"/>
      <c r="F38" s="7"/>
      <c r="G38" s="7"/>
      <c r="H38" s="7"/>
      <c r="I38" s="7"/>
      <c r="J38" s="7"/>
      <c r="K38" s="7"/>
      <c r="L38" s="7"/>
      <c r="M38" s="7"/>
      <c r="N38" s="7"/>
      <c r="O38" s="7"/>
    </row>
    <row r="39" spans="1:15" s="4" customFormat="1" ht="15" x14ac:dyDescent="0.25">
      <c r="A39" s="3" t="s">
        <v>54</v>
      </c>
      <c r="C39" s="19">
        <f>SUM(C41:C53)</f>
        <v>30.05</v>
      </c>
      <c r="D39" s="19">
        <f t="shared" ref="D39:O39" si="3">SUM(D41:D53)</f>
        <v>22.77</v>
      </c>
      <c r="E39" s="19">
        <f t="shared" si="3"/>
        <v>23.93</v>
      </c>
      <c r="F39" s="19">
        <f t="shared" si="3"/>
        <v>16.28</v>
      </c>
      <c r="G39" s="19">
        <f>SUM(G41:G53)</f>
        <v>21.240000000000002</v>
      </c>
      <c r="H39" s="19">
        <f t="shared" si="3"/>
        <v>21.509999999999998</v>
      </c>
      <c r="I39" s="19">
        <f t="shared" si="3"/>
        <v>15.209999999999997</v>
      </c>
      <c r="J39" s="19">
        <f t="shared" si="3"/>
        <v>22.310000000000002</v>
      </c>
      <c r="K39" s="19">
        <f t="shared" si="3"/>
        <v>13.839999999999998</v>
      </c>
      <c r="L39" s="19">
        <f t="shared" si="3"/>
        <v>17.21</v>
      </c>
      <c r="M39" s="19">
        <f t="shared" si="3"/>
        <v>15.87</v>
      </c>
      <c r="N39" s="19">
        <f t="shared" si="3"/>
        <v>16.36</v>
      </c>
      <c r="O39" s="19">
        <f t="shared" si="3"/>
        <v>236.57999999999998</v>
      </c>
    </row>
    <row r="40" spans="1:15" ht="8.25" customHeight="1" x14ac:dyDescent="0.2">
      <c r="C40" s="114"/>
      <c r="D40" s="114"/>
      <c r="E40" s="114"/>
      <c r="F40" s="114"/>
      <c r="G40" s="114"/>
      <c r="H40" s="114"/>
      <c r="I40" s="114"/>
      <c r="J40" s="114"/>
      <c r="K40" s="114"/>
      <c r="L40" s="114"/>
      <c r="M40" s="114"/>
      <c r="N40" s="114"/>
      <c r="O40" s="114"/>
    </row>
    <row r="41" spans="1:15" x14ac:dyDescent="0.2">
      <c r="B41" s="2" t="s">
        <v>268</v>
      </c>
      <c r="C41" s="114">
        <v>0</v>
      </c>
      <c r="D41" s="114">
        <v>0</v>
      </c>
      <c r="E41" s="114">
        <v>0</v>
      </c>
      <c r="F41" s="114">
        <v>0.01</v>
      </c>
      <c r="G41" s="114">
        <v>0</v>
      </c>
      <c r="H41" s="114">
        <v>0.04</v>
      </c>
      <c r="I41" s="114">
        <v>0</v>
      </c>
      <c r="J41" s="114">
        <v>0</v>
      </c>
      <c r="K41" s="114">
        <v>0.01</v>
      </c>
      <c r="L41" s="114">
        <v>0</v>
      </c>
      <c r="M41" s="114">
        <v>0</v>
      </c>
      <c r="N41" s="114">
        <v>0</v>
      </c>
      <c r="O41" s="114">
        <f t="shared" ref="O41:O53" si="4">SUM(C41:N41)</f>
        <v>6.0000000000000005E-2</v>
      </c>
    </row>
    <row r="42" spans="1:15" x14ac:dyDescent="0.2">
      <c r="B42" s="2" t="s">
        <v>814</v>
      </c>
      <c r="C42" s="114">
        <v>9.73</v>
      </c>
      <c r="D42" s="114">
        <v>6.51</v>
      </c>
      <c r="E42" s="114">
        <v>9.5500000000000007</v>
      </c>
      <c r="F42" s="114">
        <v>7.53</v>
      </c>
      <c r="G42" s="114">
        <v>7.98</v>
      </c>
      <c r="H42" s="114">
        <v>7.99</v>
      </c>
      <c r="I42" s="114">
        <v>6.47</v>
      </c>
      <c r="J42" s="114">
        <v>9.6199999999999992</v>
      </c>
      <c r="K42" s="114">
        <v>6.2</v>
      </c>
      <c r="L42" s="114">
        <v>8.85</v>
      </c>
      <c r="M42" s="114">
        <v>7.29</v>
      </c>
      <c r="N42" s="114">
        <v>7.18</v>
      </c>
      <c r="O42" s="114">
        <f t="shared" si="4"/>
        <v>94.9</v>
      </c>
    </row>
    <row r="43" spans="1:15" x14ac:dyDescent="0.2">
      <c r="B43" s="2" t="s">
        <v>270</v>
      </c>
      <c r="C43" s="114">
        <v>7.93</v>
      </c>
      <c r="D43" s="114">
        <v>7.26</v>
      </c>
      <c r="E43" s="114">
        <v>4.28</v>
      </c>
      <c r="F43" s="114">
        <v>2.36</v>
      </c>
      <c r="G43" s="114">
        <v>4.04</v>
      </c>
      <c r="H43" s="114">
        <v>6.19</v>
      </c>
      <c r="I43" s="114">
        <v>2.48</v>
      </c>
      <c r="J43" s="114">
        <v>6.03</v>
      </c>
      <c r="K43" s="114">
        <v>2.29</v>
      </c>
      <c r="L43" s="114">
        <v>2.25</v>
      </c>
      <c r="M43" s="114">
        <v>3.31</v>
      </c>
      <c r="N43" s="114">
        <v>3.67</v>
      </c>
      <c r="O43" s="114">
        <f t="shared" si="4"/>
        <v>52.089999999999996</v>
      </c>
    </row>
    <row r="44" spans="1:15" x14ac:dyDescent="0.2">
      <c r="B44" s="2" t="s">
        <v>271</v>
      </c>
      <c r="C44" s="114">
        <v>0.45</v>
      </c>
      <c r="D44" s="114">
        <v>0.49</v>
      </c>
      <c r="E44" s="114">
        <v>0.87</v>
      </c>
      <c r="F44" s="114">
        <v>0.8</v>
      </c>
      <c r="G44" s="114">
        <v>1.1599999999999999</v>
      </c>
      <c r="H44" s="114">
        <v>2.14</v>
      </c>
      <c r="I44" s="114">
        <v>1.38</v>
      </c>
      <c r="J44" s="114">
        <v>0.76</v>
      </c>
      <c r="K44" s="114">
        <v>0.6</v>
      </c>
      <c r="L44" s="114">
        <v>0.64</v>
      </c>
      <c r="M44" s="114">
        <v>0.75</v>
      </c>
      <c r="N44" s="114">
        <v>0.56000000000000005</v>
      </c>
      <c r="O44" s="114">
        <f t="shared" si="4"/>
        <v>10.600000000000001</v>
      </c>
    </row>
    <row r="45" spans="1:15" x14ac:dyDescent="0.2">
      <c r="B45" s="2" t="s">
        <v>561</v>
      </c>
      <c r="C45" s="114">
        <v>0.03</v>
      </c>
      <c r="D45" s="114">
        <v>0.01</v>
      </c>
      <c r="E45" s="114">
        <v>0.01</v>
      </c>
      <c r="F45" s="114">
        <v>0.02</v>
      </c>
      <c r="G45" s="114">
        <v>0.03</v>
      </c>
      <c r="H45" s="114">
        <v>0</v>
      </c>
      <c r="I45" s="114">
        <v>0.01</v>
      </c>
      <c r="J45" s="114">
        <v>0.02</v>
      </c>
      <c r="K45" s="114">
        <v>0.02</v>
      </c>
      <c r="L45" s="114">
        <v>0.47</v>
      </c>
      <c r="M45" s="114">
        <v>0.06</v>
      </c>
      <c r="N45" s="114">
        <v>0.05</v>
      </c>
      <c r="O45" s="114">
        <f t="shared" si="4"/>
        <v>0.73</v>
      </c>
    </row>
    <row r="46" spans="1:15" x14ac:dyDescent="0.2">
      <c r="B46" s="2" t="s">
        <v>272</v>
      </c>
      <c r="C46" s="114">
        <v>0.14000000000000001</v>
      </c>
      <c r="D46" s="114">
        <v>0.23</v>
      </c>
      <c r="E46" s="114">
        <v>0.13</v>
      </c>
      <c r="F46" s="114">
        <v>0.11</v>
      </c>
      <c r="G46" s="114">
        <v>0.2</v>
      </c>
      <c r="H46" s="114">
        <v>0.05</v>
      </c>
      <c r="I46" s="114">
        <v>0.09</v>
      </c>
      <c r="J46" s="114">
        <v>0.1</v>
      </c>
      <c r="K46" s="114">
        <v>0.11</v>
      </c>
      <c r="L46" s="114">
        <v>0.1</v>
      </c>
      <c r="M46" s="114">
        <v>0.11</v>
      </c>
      <c r="N46" s="114">
        <v>0.04</v>
      </c>
      <c r="O46" s="114">
        <f t="shared" si="4"/>
        <v>1.4100000000000004</v>
      </c>
    </row>
    <row r="47" spans="1:15" x14ac:dyDescent="0.2">
      <c r="B47" s="2" t="s">
        <v>273</v>
      </c>
      <c r="C47" s="114">
        <v>0.21</v>
      </c>
      <c r="D47" s="114">
        <v>0.01</v>
      </c>
      <c r="E47" s="114">
        <v>0.01</v>
      </c>
      <c r="F47" s="114">
        <v>0.01</v>
      </c>
      <c r="G47" s="114">
        <v>0.01</v>
      </c>
      <c r="H47" s="114">
        <v>0.06</v>
      </c>
      <c r="I47" s="114">
        <v>0.01</v>
      </c>
      <c r="J47" s="114">
        <v>0.01</v>
      </c>
      <c r="K47" s="114">
        <v>0.01</v>
      </c>
      <c r="L47" s="114">
        <v>0.01</v>
      </c>
      <c r="M47" s="114">
        <v>0.03</v>
      </c>
      <c r="N47" s="114">
        <v>0.01</v>
      </c>
      <c r="O47" s="114">
        <f t="shared" si="4"/>
        <v>0.39</v>
      </c>
    </row>
    <row r="48" spans="1:15" x14ac:dyDescent="0.2">
      <c r="B48" s="2" t="s">
        <v>267</v>
      </c>
      <c r="C48" s="114">
        <v>4.32</v>
      </c>
      <c r="D48" s="114">
        <v>3.2</v>
      </c>
      <c r="E48" s="114">
        <v>2.4300000000000002</v>
      </c>
      <c r="F48" s="114">
        <v>1.91</v>
      </c>
      <c r="G48" s="114">
        <v>2.85</v>
      </c>
      <c r="H48" s="114">
        <v>2.1</v>
      </c>
      <c r="I48" s="114">
        <v>2.15</v>
      </c>
      <c r="J48" s="114">
        <v>1.97</v>
      </c>
      <c r="K48" s="114">
        <v>2.25</v>
      </c>
      <c r="L48" s="114">
        <v>1.66</v>
      </c>
      <c r="M48" s="114">
        <v>2.08</v>
      </c>
      <c r="N48" s="114">
        <v>2.77</v>
      </c>
      <c r="O48" s="114">
        <f t="shared" si="4"/>
        <v>29.69</v>
      </c>
    </row>
    <row r="49" spans="1:15" x14ac:dyDescent="0.2">
      <c r="B49" s="2" t="s">
        <v>274</v>
      </c>
      <c r="C49" s="114">
        <v>0.03</v>
      </c>
      <c r="D49" s="114">
        <v>0</v>
      </c>
      <c r="E49" s="114">
        <v>0.02</v>
      </c>
      <c r="F49" s="114">
        <v>0</v>
      </c>
      <c r="G49" s="114">
        <v>0</v>
      </c>
      <c r="H49" s="114">
        <v>0.06</v>
      </c>
      <c r="I49" s="114">
        <v>0.01</v>
      </c>
      <c r="J49" s="114">
        <v>0</v>
      </c>
      <c r="K49" s="114">
        <v>0.02</v>
      </c>
      <c r="L49" s="114">
        <v>0</v>
      </c>
      <c r="M49" s="114">
        <v>0</v>
      </c>
      <c r="N49" s="114">
        <v>7.0000000000000007E-2</v>
      </c>
      <c r="O49" s="114">
        <f t="shared" si="4"/>
        <v>0.21</v>
      </c>
    </row>
    <row r="50" spans="1:15" x14ac:dyDescent="0.2">
      <c r="B50" s="2" t="s">
        <v>275</v>
      </c>
      <c r="C50" s="114">
        <v>0.83</v>
      </c>
      <c r="D50" s="114">
        <v>0.63</v>
      </c>
      <c r="E50" s="114">
        <v>1.02</v>
      </c>
      <c r="F50" s="114">
        <v>0.42</v>
      </c>
      <c r="G50" s="114">
        <v>1.62</v>
      </c>
      <c r="H50" s="114">
        <v>0.63</v>
      </c>
      <c r="I50" s="114">
        <v>0.78</v>
      </c>
      <c r="J50" s="114">
        <v>0.86</v>
      </c>
      <c r="K50" s="114">
        <v>0.38</v>
      </c>
      <c r="L50" s="114">
        <v>0.8</v>
      </c>
      <c r="M50" s="114">
        <v>0.27</v>
      </c>
      <c r="N50" s="114">
        <v>0.14000000000000001</v>
      </c>
      <c r="O50" s="114">
        <f t="shared" si="4"/>
        <v>8.3800000000000008</v>
      </c>
    </row>
    <row r="51" spans="1:15" x14ac:dyDescent="0.2">
      <c r="B51" s="2" t="s">
        <v>562</v>
      </c>
      <c r="C51" s="114">
        <v>0</v>
      </c>
      <c r="D51" s="114">
        <v>0</v>
      </c>
      <c r="E51" s="114">
        <v>0</v>
      </c>
      <c r="F51" s="114">
        <v>0</v>
      </c>
      <c r="G51" s="114">
        <v>0</v>
      </c>
      <c r="H51" s="114">
        <v>0</v>
      </c>
      <c r="I51" s="114">
        <v>0</v>
      </c>
      <c r="J51" s="114">
        <v>0.03</v>
      </c>
      <c r="K51" s="114">
        <v>0</v>
      </c>
      <c r="L51" s="114">
        <v>0</v>
      </c>
      <c r="M51" s="114">
        <v>0</v>
      </c>
      <c r="N51" s="114">
        <v>0</v>
      </c>
      <c r="O51" s="114">
        <f t="shared" si="4"/>
        <v>0.03</v>
      </c>
    </row>
    <row r="52" spans="1:15" x14ac:dyDescent="0.2">
      <c r="B52" s="2" t="s">
        <v>278</v>
      </c>
      <c r="C52" s="114">
        <v>0</v>
      </c>
      <c r="D52" s="114">
        <v>0</v>
      </c>
      <c r="E52" s="114">
        <v>0</v>
      </c>
      <c r="F52" s="114">
        <v>0.01</v>
      </c>
      <c r="G52" s="114">
        <v>0</v>
      </c>
      <c r="H52" s="114">
        <v>0</v>
      </c>
      <c r="I52" s="114">
        <v>0</v>
      </c>
      <c r="J52" s="114">
        <v>0</v>
      </c>
      <c r="K52" s="114">
        <v>0</v>
      </c>
      <c r="L52" s="114">
        <v>0</v>
      </c>
      <c r="M52" s="114">
        <v>0</v>
      </c>
      <c r="N52" s="114">
        <v>0</v>
      </c>
      <c r="O52" s="114">
        <f t="shared" si="4"/>
        <v>0.01</v>
      </c>
    </row>
    <row r="53" spans="1:15" x14ac:dyDescent="0.2">
      <c r="B53" s="2" t="s">
        <v>813</v>
      </c>
      <c r="C53" s="114">
        <v>6.38</v>
      </c>
      <c r="D53" s="114">
        <v>4.43</v>
      </c>
      <c r="E53" s="114">
        <v>5.61</v>
      </c>
      <c r="F53" s="114">
        <v>3.1</v>
      </c>
      <c r="G53" s="114">
        <v>3.35</v>
      </c>
      <c r="H53" s="114">
        <v>2.25</v>
      </c>
      <c r="I53" s="114">
        <v>1.83</v>
      </c>
      <c r="J53" s="114">
        <v>2.91</v>
      </c>
      <c r="K53" s="114">
        <v>1.95</v>
      </c>
      <c r="L53" s="114">
        <v>2.4300000000000002</v>
      </c>
      <c r="M53" s="114">
        <v>1.97</v>
      </c>
      <c r="N53" s="114">
        <v>1.87</v>
      </c>
      <c r="O53" s="114">
        <f t="shared" si="4"/>
        <v>38.08</v>
      </c>
    </row>
    <row r="54" spans="1:15" x14ac:dyDescent="0.2">
      <c r="C54" s="7"/>
      <c r="D54" s="7"/>
      <c r="E54" s="7"/>
      <c r="F54" s="7"/>
      <c r="G54" s="7"/>
      <c r="H54" s="7"/>
      <c r="I54" s="7"/>
      <c r="J54" s="7"/>
      <c r="K54" s="7"/>
      <c r="L54" s="7"/>
      <c r="M54" s="7"/>
      <c r="N54" s="7"/>
      <c r="O54" s="7"/>
    </row>
    <row r="55" spans="1:15" s="4" customFormat="1" ht="15" x14ac:dyDescent="0.25">
      <c r="A55" s="3" t="s">
        <v>69</v>
      </c>
      <c r="C55" s="19">
        <f t="shared" ref="C55:N55" si="5">SUM(C57:C57)</f>
        <v>0.03</v>
      </c>
      <c r="D55" s="19">
        <f t="shared" si="5"/>
        <v>0</v>
      </c>
      <c r="E55" s="19">
        <f t="shared" si="5"/>
        <v>0.02</v>
      </c>
      <c r="F55" s="19">
        <f t="shared" si="5"/>
        <v>0.01</v>
      </c>
      <c r="G55" s="19">
        <f t="shared" si="5"/>
        <v>0</v>
      </c>
      <c r="H55" s="19">
        <f t="shared" si="5"/>
        <v>0</v>
      </c>
      <c r="I55" s="19">
        <f t="shared" si="5"/>
        <v>0</v>
      </c>
      <c r="J55" s="19">
        <f t="shared" si="5"/>
        <v>0.01</v>
      </c>
      <c r="K55" s="19">
        <f t="shared" si="5"/>
        <v>0.01</v>
      </c>
      <c r="L55" s="19">
        <f t="shared" si="5"/>
        <v>0</v>
      </c>
      <c r="M55" s="19">
        <f t="shared" si="5"/>
        <v>0</v>
      </c>
      <c r="N55" s="19">
        <f t="shared" si="5"/>
        <v>0.02</v>
      </c>
      <c r="O55" s="19">
        <f>SUM(C55:N55)</f>
        <v>0.1</v>
      </c>
    </row>
    <row r="56" spans="1:15" ht="15" x14ac:dyDescent="0.25">
      <c r="A56" s="1"/>
      <c r="C56" s="175"/>
      <c r="D56" s="175"/>
      <c r="E56" s="175"/>
      <c r="F56" s="175"/>
      <c r="G56" s="175"/>
      <c r="H56" s="175"/>
      <c r="I56" s="175"/>
      <c r="J56" s="175"/>
      <c r="K56" s="175"/>
      <c r="L56" s="175"/>
      <c r="M56" s="175"/>
      <c r="N56" s="175"/>
      <c r="O56" s="175"/>
    </row>
    <row r="57" spans="1:15" x14ac:dyDescent="0.2">
      <c r="B57" s="114" t="s">
        <v>281</v>
      </c>
      <c r="C57" s="114">
        <v>0.03</v>
      </c>
      <c r="D57" s="114">
        <v>0</v>
      </c>
      <c r="E57" s="114">
        <v>0.02</v>
      </c>
      <c r="F57" s="114">
        <v>0.01</v>
      </c>
      <c r="G57" s="114">
        <v>0</v>
      </c>
      <c r="H57" s="114">
        <v>0</v>
      </c>
      <c r="I57" s="114">
        <v>0</v>
      </c>
      <c r="J57" s="114">
        <v>0.01</v>
      </c>
      <c r="K57" s="114">
        <v>0.01</v>
      </c>
      <c r="L57" s="114">
        <v>0</v>
      </c>
      <c r="M57" s="114">
        <v>0</v>
      </c>
      <c r="N57" s="114">
        <v>0.02</v>
      </c>
      <c r="O57" s="114">
        <f>SUM(C57:N57)</f>
        <v>0.1</v>
      </c>
    </row>
    <row r="58" spans="1:15" x14ac:dyDescent="0.2">
      <c r="C58" s="7"/>
      <c r="D58" s="7"/>
      <c r="E58" s="7"/>
      <c r="F58" s="7"/>
      <c r="G58" s="7"/>
      <c r="H58" s="7"/>
      <c r="I58" s="7"/>
      <c r="J58" s="7"/>
      <c r="K58" s="7"/>
      <c r="L58" s="7"/>
      <c r="M58" s="7"/>
      <c r="N58" s="7"/>
      <c r="O58" s="7"/>
    </row>
    <row r="59" spans="1:15" s="4" customFormat="1" ht="15" x14ac:dyDescent="0.25">
      <c r="A59" s="3" t="s">
        <v>71</v>
      </c>
      <c r="C59" s="19">
        <f t="shared" ref="C59:N59" si="6">SUM(C61:C62)</f>
        <v>9.92</v>
      </c>
      <c r="D59" s="19">
        <f t="shared" si="6"/>
        <v>12.87</v>
      </c>
      <c r="E59" s="19">
        <f t="shared" si="6"/>
        <v>9.27</v>
      </c>
      <c r="F59" s="19">
        <f t="shared" si="6"/>
        <v>10.379999999999999</v>
      </c>
      <c r="G59" s="19">
        <f>SUM(G61:G62)</f>
        <v>7.77</v>
      </c>
      <c r="H59" s="19">
        <f t="shared" si="6"/>
        <v>11.11</v>
      </c>
      <c r="I59" s="19">
        <f t="shared" si="6"/>
        <v>7.2</v>
      </c>
      <c r="J59" s="19">
        <f t="shared" si="6"/>
        <v>7.3599999999999994</v>
      </c>
      <c r="K59" s="19">
        <f t="shared" si="6"/>
        <v>8.07</v>
      </c>
      <c r="L59" s="19">
        <f t="shared" si="6"/>
        <v>17.53</v>
      </c>
      <c r="M59" s="19">
        <f t="shared" si="6"/>
        <v>4.84</v>
      </c>
      <c r="N59" s="19">
        <f t="shared" si="6"/>
        <v>8.52</v>
      </c>
      <c r="O59" s="19">
        <f>SUM(C59:N59)</f>
        <v>114.83999999999999</v>
      </c>
    </row>
    <row r="60" spans="1:15" x14ac:dyDescent="0.2">
      <c r="C60" s="114"/>
      <c r="D60" s="114"/>
      <c r="E60" s="114"/>
      <c r="F60" s="114"/>
      <c r="G60" s="114"/>
      <c r="H60" s="114"/>
      <c r="I60" s="114"/>
      <c r="J60" s="114"/>
      <c r="K60" s="114"/>
      <c r="L60" s="114"/>
      <c r="M60" s="114"/>
      <c r="N60" s="114"/>
      <c r="O60" s="114"/>
    </row>
    <row r="61" spans="1:15" x14ac:dyDescent="0.2">
      <c r="B61" s="2" t="s">
        <v>282</v>
      </c>
      <c r="C61" s="114">
        <v>9.92</v>
      </c>
      <c r="D61" s="114">
        <v>12.86</v>
      </c>
      <c r="E61" s="114">
        <v>9.26</v>
      </c>
      <c r="F61" s="114">
        <v>10.37</v>
      </c>
      <c r="G61" s="114">
        <v>7.75</v>
      </c>
      <c r="H61" s="114">
        <v>11.09</v>
      </c>
      <c r="I61" s="114">
        <v>7.19</v>
      </c>
      <c r="J61" s="114">
        <v>7.35</v>
      </c>
      <c r="K61" s="114">
        <v>8.06</v>
      </c>
      <c r="L61" s="114">
        <v>17.510000000000002</v>
      </c>
      <c r="M61" s="114">
        <v>4.83</v>
      </c>
      <c r="N61" s="114">
        <v>8.52</v>
      </c>
      <c r="O61" s="114">
        <f>SUM(C61:N61)</f>
        <v>114.71</v>
      </c>
    </row>
    <row r="62" spans="1:15" x14ac:dyDescent="0.2">
      <c r="B62" s="2" t="s">
        <v>285</v>
      </c>
      <c r="C62" s="114">
        <v>0</v>
      </c>
      <c r="D62" s="114">
        <v>0.01</v>
      </c>
      <c r="E62" s="114">
        <v>0.01</v>
      </c>
      <c r="F62" s="114">
        <v>0.01</v>
      </c>
      <c r="G62" s="114">
        <v>0.02</v>
      </c>
      <c r="H62" s="114">
        <v>0.02</v>
      </c>
      <c r="I62" s="114">
        <v>0.01</v>
      </c>
      <c r="J62" s="114">
        <v>0.01</v>
      </c>
      <c r="K62" s="114">
        <v>0.01</v>
      </c>
      <c r="L62" s="114">
        <v>0.02</v>
      </c>
      <c r="M62" s="114">
        <v>0.01</v>
      </c>
      <c r="N62" s="114">
        <v>0</v>
      </c>
      <c r="O62" s="114">
        <f>SUM(C62:N62)</f>
        <v>0.13</v>
      </c>
    </row>
    <row r="63" spans="1:15" x14ac:dyDescent="0.2">
      <c r="C63" s="7"/>
      <c r="D63" s="7"/>
      <c r="E63" s="7"/>
      <c r="F63" s="7"/>
      <c r="G63" s="7"/>
      <c r="H63" s="7"/>
      <c r="I63" s="7"/>
      <c r="J63" s="7"/>
      <c r="K63" s="7"/>
      <c r="L63" s="7"/>
      <c r="M63" s="7"/>
      <c r="N63" s="7"/>
      <c r="O63" s="7"/>
    </row>
    <row r="64" spans="1:15" s="4" customFormat="1" ht="15" x14ac:dyDescent="0.25">
      <c r="A64" s="3" t="s">
        <v>75</v>
      </c>
      <c r="C64" s="19">
        <f t="shared" ref="C64:N64" si="7">SUM(C66:C66)</f>
        <v>0.08</v>
      </c>
      <c r="D64" s="19">
        <f t="shared" si="7"/>
        <v>0.49</v>
      </c>
      <c r="E64" s="19">
        <f t="shared" si="7"/>
        <v>0.01</v>
      </c>
      <c r="F64" s="19">
        <f t="shared" si="7"/>
        <v>0.11</v>
      </c>
      <c r="G64" s="19">
        <f t="shared" si="7"/>
        <v>0.03</v>
      </c>
      <c r="H64" s="19">
        <f t="shared" si="7"/>
        <v>0.09</v>
      </c>
      <c r="I64" s="19">
        <f t="shared" si="7"/>
        <v>0.01</v>
      </c>
      <c r="J64" s="19">
        <f t="shared" si="7"/>
        <v>0.03</v>
      </c>
      <c r="K64" s="19">
        <f t="shared" si="7"/>
        <v>7.0000000000000007E-2</v>
      </c>
      <c r="L64" s="19">
        <f t="shared" si="7"/>
        <v>0.18</v>
      </c>
      <c r="M64" s="19">
        <f t="shared" si="7"/>
        <v>0</v>
      </c>
      <c r="N64" s="19">
        <f t="shared" si="7"/>
        <v>1.72</v>
      </c>
      <c r="O64" s="19">
        <f>SUM(C64:N64)</f>
        <v>2.82</v>
      </c>
    </row>
    <row r="65" spans="1:15" x14ac:dyDescent="0.2">
      <c r="C65" s="114"/>
      <c r="D65" s="114"/>
      <c r="E65" s="114"/>
      <c r="F65" s="114"/>
      <c r="G65" s="114"/>
      <c r="H65" s="114"/>
      <c r="I65" s="114"/>
      <c r="J65" s="114"/>
      <c r="K65" s="114"/>
      <c r="L65" s="114"/>
      <c r="M65" s="114"/>
      <c r="N65" s="114"/>
      <c r="O65" s="114"/>
    </row>
    <row r="66" spans="1:15" x14ac:dyDescent="0.2">
      <c r="B66" s="2" t="s">
        <v>287</v>
      </c>
      <c r="C66" s="114">
        <v>0.08</v>
      </c>
      <c r="D66" s="114">
        <v>0.49</v>
      </c>
      <c r="E66" s="114">
        <v>0.01</v>
      </c>
      <c r="F66" s="114">
        <v>0.11</v>
      </c>
      <c r="G66" s="114">
        <v>0.03</v>
      </c>
      <c r="H66" s="114">
        <v>0.09</v>
      </c>
      <c r="I66" s="114">
        <v>0.01</v>
      </c>
      <c r="J66" s="114">
        <v>0.03</v>
      </c>
      <c r="K66" s="114">
        <v>7.0000000000000007E-2</v>
      </c>
      <c r="L66" s="114">
        <v>0.18</v>
      </c>
      <c r="M66" s="114">
        <v>0</v>
      </c>
      <c r="N66" s="114">
        <v>1.72</v>
      </c>
      <c r="O66" s="114">
        <f>SUM(C66:N66)</f>
        <v>2.82</v>
      </c>
    </row>
    <row r="67" spans="1:15" x14ac:dyDescent="0.2">
      <c r="C67" s="7"/>
      <c r="D67" s="7"/>
      <c r="E67" s="7"/>
      <c r="F67" s="7"/>
      <c r="G67" s="7"/>
      <c r="H67" s="7"/>
      <c r="I67" s="7"/>
      <c r="J67" s="7"/>
      <c r="K67" s="7"/>
      <c r="L67" s="7"/>
      <c r="M67" s="7"/>
      <c r="N67" s="7"/>
      <c r="O67" s="7"/>
    </row>
    <row r="68" spans="1:15" s="4" customFormat="1" ht="15" x14ac:dyDescent="0.25">
      <c r="A68" s="3" t="s">
        <v>569</v>
      </c>
      <c r="C68" s="19">
        <f t="shared" ref="C68:N68" si="8">SUM(C70:C77)</f>
        <v>30.4</v>
      </c>
      <c r="D68" s="19">
        <f t="shared" si="8"/>
        <v>18.88</v>
      </c>
      <c r="E68" s="19">
        <f t="shared" si="8"/>
        <v>35.019999999999996</v>
      </c>
      <c r="F68" s="19">
        <f t="shared" si="8"/>
        <v>22.849999999999998</v>
      </c>
      <c r="G68" s="19">
        <f>SUM(G70:G77)</f>
        <v>34.65</v>
      </c>
      <c r="H68" s="19">
        <f t="shared" si="8"/>
        <v>35.85</v>
      </c>
      <c r="I68" s="19">
        <f t="shared" si="8"/>
        <v>12.030000000000001</v>
      </c>
      <c r="J68" s="19">
        <f t="shared" si="8"/>
        <v>24.93</v>
      </c>
      <c r="K68" s="19">
        <f t="shared" si="8"/>
        <v>31.020000000000003</v>
      </c>
      <c r="L68" s="19">
        <f t="shared" si="8"/>
        <v>24.59</v>
      </c>
      <c r="M68" s="19">
        <f t="shared" si="8"/>
        <v>29.71</v>
      </c>
      <c r="N68" s="19">
        <f t="shared" si="8"/>
        <v>28.040000000000003</v>
      </c>
      <c r="O68" s="19">
        <f>SUM(C68:N68)</f>
        <v>327.96999999999997</v>
      </c>
    </row>
    <row r="69" spans="1:15" x14ac:dyDescent="0.2">
      <c r="C69" s="114"/>
      <c r="D69" s="114"/>
      <c r="E69" s="114"/>
      <c r="F69" s="114"/>
      <c r="G69" s="114"/>
      <c r="H69" s="114"/>
      <c r="I69" s="114"/>
      <c r="J69" s="114"/>
      <c r="K69" s="114"/>
      <c r="L69" s="114"/>
      <c r="M69" s="114"/>
      <c r="N69" s="114"/>
      <c r="O69" s="114"/>
    </row>
    <row r="70" spans="1:15" x14ac:dyDescent="0.2">
      <c r="B70" s="2" t="s">
        <v>288</v>
      </c>
      <c r="C70" s="114">
        <v>19.739999999999998</v>
      </c>
      <c r="D70" s="114">
        <v>11.35</v>
      </c>
      <c r="E70" s="114">
        <v>21.37</v>
      </c>
      <c r="F70" s="114">
        <v>16.47</v>
      </c>
      <c r="G70" s="114">
        <v>27.37</v>
      </c>
      <c r="H70" s="114">
        <v>16.760000000000002</v>
      </c>
      <c r="I70" s="114">
        <v>13.72</v>
      </c>
      <c r="J70" s="114">
        <v>13.59</v>
      </c>
      <c r="K70" s="114">
        <v>18.260000000000002</v>
      </c>
      <c r="L70" s="114">
        <v>13.8</v>
      </c>
      <c r="M70" s="114">
        <v>18.39</v>
      </c>
      <c r="N70" s="114">
        <v>16.72</v>
      </c>
      <c r="O70" s="114">
        <f t="shared" ref="O70" si="9">SUM(C70:N70)</f>
        <v>207.54</v>
      </c>
    </row>
    <row r="71" spans="1:15" x14ac:dyDescent="0.2">
      <c r="B71" s="2" t="s">
        <v>289</v>
      </c>
      <c r="C71" s="114">
        <v>0.03</v>
      </c>
      <c r="D71" s="114">
        <v>0.02</v>
      </c>
      <c r="E71" s="114">
        <v>0.03</v>
      </c>
      <c r="F71" s="114">
        <v>0.01</v>
      </c>
      <c r="G71" s="114">
        <v>0</v>
      </c>
      <c r="H71" s="114">
        <v>0.01</v>
      </c>
      <c r="I71" s="114">
        <v>0.01</v>
      </c>
      <c r="J71" s="114">
        <v>0.01</v>
      </c>
      <c r="K71" s="114">
        <v>0.01</v>
      </c>
      <c r="L71" s="114">
        <v>0.02</v>
      </c>
      <c r="M71" s="114">
        <v>0.05</v>
      </c>
      <c r="N71" s="114">
        <v>0.01</v>
      </c>
      <c r="O71" s="114">
        <f t="shared" ref="O71:O77" si="10">SUM(C71:N71)</f>
        <v>0.20999999999999996</v>
      </c>
    </row>
    <row r="72" spans="1:15" x14ac:dyDescent="0.2">
      <c r="B72" s="2" t="s">
        <v>291</v>
      </c>
      <c r="C72" s="114">
        <v>3.75</v>
      </c>
      <c r="D72" s="114">
        <v>2.2999999999999998</v>
      </c>
      <c r="E72" s="114">
        <v>2.75</v>
      </c>
      <c r="F72" s="114">
        <v>2.67</v>
      </c>
      <c r="G72" s="114">
        <v>2.95</v>
      </c>
      <c r="H72" s="114">
        <v>13.05</v>
      </c>
      <c r="I72" s="114">
        <v>-7.78</v>
      </c>
      <c r="J72" s="114">
        <v>2.25</v>
      </c>
      <c r="K72" s="114">
        <v>2.11</v>
      </c>
      <c r="L72" s="114">
        <v>2.2999999999999998</v>
      </c>
      <c r="M72" s="114">
        <v>2.3199999999999998</v>
      </c>
      <c r="N72" s="114">
        <v>2.63</v>
      </c>
      <c r="O72" s="114">
        <f t="shared" si="10"/>
        <v>31.3</v>
      </c>
    </row>
    <row r="73" spans="1:15" x14ac:dyDescent="0.2">
      <c r="B73" s="2" t="s">
        <v>290</v>
      </c>
      <c r="C73" s="114">
        <v>0.33</v>
      </c>
      <c r="D73" s="114">
        <v>0.09</v>
      </c>
      <c r="E73" s="114">
        <v>0.06</v>
      </c>
      <c r="F73" s="114">
        <v>0.05</v>
      </c>
      <c r="G73" s="114">
        <v>0.15</v>
      </c>
      <c r="H73" s="114">
        <v>0.16</v>
      </c>
      <c r="I73" s="114">
        <v>7.0000000000000007E-2</v>
      </c>
      <c r="J73" s="114">
        <v>0.1</v>
      </c>
      <c r="K73" s="114">
        <v>0.22</v>
      </c>
      <c r="L73" s="114">
        <v>0.11</v>
      </c>
      <c r="M73" s="114">
        <v>0.55000000000000004</v>
      </c>
      <c r="N73" s="114">
        <v>0.26</v>
      </c>
      <c r="O73" s="114">
        <f t="shared" si="10"/>
        <v>2.1500000000000004</v>
      </c>
    </row>
    <row r="74" spans="1:15" x14ac:dyDescent="0.2">
      <c r="B74" s="2" t="s">
        <v>292</v>
      </c>
      <c r="C74" s="114">
        <v>0.39</v>
      </c>
      <c r="D74" s="114">
        <v>0.5</v>
      </c>
      <c r="E74" s="114">
        <v>0.96</v>
      </c>
      <c r="F74" s="114">
        <v>0.09</v>
      </c>
      <c r="G74" s="114">
        <v>0.26</v>
      </c>
      <c r="H74" s="114">
        <v>0.11</v>
      </c>
      <c r="I74" s="114">
        <v>0.33</v>
      </c>
      <c r="J74" s="114">
        <v>0.95</v>
      </c>
      <c r="K74" s="114">
        <v>4.66</v>
      </c>
      <c r="L74" s="114">
        <v>0.34</v>
      </c>
      <c r="M74" s="114">
        <v>0.19</v>
      </c>
      <c r="N74" s="114">
        <v>0.69</v>
      </c>
      <c r="O74" s="114">
        <f t="shared" si="10"/>
        <v>9.4699999999999989</v>
      </c>
    </row>
    <row r="75" spans="1:15" x14ac:dyDescent="0.2">
      <c r="B75" s="2" t="s">
        <v>293</v>
      </c>
      <c r="C75" s="114">
        <v>4.32</v>
      </c>
      <c r="D75" s="114">
        <v>3.46</v>
      </c>
      <c r="E75" s="114">
        <v>8.15</v>
      </c>
      <c r="F75" s="114">
        <v>2.4500000000000002</v>
      </c>
      <c r="G75" s="114">
        <v>2.29</v>
      </c>
      <c r="H75" s="114">
        <v>4.68</v>
      </c>
      <c r="I75" s="114">
        <v>4.5599999999999996</v>
      </c>
      <c r="J75" s="114">
        <v>6.52</v>
      </c>
      <c r="K75" s="114">
        <v>4.53</v>
      </c>
      <c r="L75" s="114">
        <v>6.97</v>
      </c>
      <c r="M75" s="114">
        <v>7.18</v>
      </c>
      <c r="N75" s="114">
        <v>6.41</v>
      </c>
      <c r="O75" s="114">
        <f t="shared" si="10"/>
        <v>61.519999999999996</v>
      </c>
    </row>
    <row r="76" spans="1:15" x14ac:dyDescent="0.2">
      <c r="B76" s="2" t="s">
        <v>294</v>
      </c>
      <c r="C76" s="114">
        <v>1.06</v>
      </c>
      <c r="D76" s="114">
        <v>0.62</v>
      </c>
      <c r="E76" s="114">
        <v>0.79</v>
      </c>
      <c r="F76" s="114">
        <v>0.64</v>
      </c>
      <c r="G76" s="114">
        <v>0.83</v>
      </c>
      <c r="H76" s="114">
        <v>0.61</v>
      </c>
      <c r="I76" s="114">
        <v>0.57999999999999996</v>
      </c>
      <c r="J76" s="114">
        <v>1.01</v>
      </c>
      <c r="K76" s="114">
        <v>0.62</v>
      </c>
      <c r="L76" s="114">
        <v>0.64</v>
      </c>
      <c r="M76" s="114">
        <v>0.54</v>
      </c>
      <c r="N76" s="114">
        <v>0.76</v>
      </c>
      <c r="O76" s="114">
        <f t="shared" si="10"/>
        <v>8.7000000000000011</v>
      </c>
    </row>
    <row r="77" spans="1:15" x14ac:dyDescent="0.2">
      <c r="B77" s="2" t="s">
        <v>296</v>
      </c>
      <c r="C77" s="114">
        <v>0.78</v>
      </c>
      <c r="D77" s="114">
        <v>0.54</v>
      </c>
      <c r="E77" s="114">
        <v>0.91</v>
      </c>
      <c r="F77" s="114">
        <v>0.47</v>
      </c>
      <c r="G77" s="114">
        <v>0.8</v>
      </c>
      <c r="H77" s="114">
        <v>0.47</v>
      </c>
      <c r="I77" s="114">
        <v>0.54</v>
      </c>
      <c r="J77" s="114">
        <v>0.5</v>
      </c>
      <c r="K77" s="114">
        <v>0.61</v>
      </c>
      <c r="L77" s="114">
        <v>0.41</v>
      </c>
      <c r="M77" s="114">
        <v>0.49</v>
      </c>
      <c r="N77" s="114">
        <v>0.56000000000000005</v>
      </c>
      <c r="O77" s="114">
        <f t="shared" si="10"/>
        <v>7.08</v>
      </c>
    </row>
    <row r="78" spans="1:15" x14ac:dyDescent="0.2">
      <c r="C78" s="7"/>
      <c r="D78" s="7"/>
      <c r="E78" s="7"/>
      <c r="F78" s="7"/>
      <c r="G78" s="7"/>
      <c r="H78" s="7"/>
      <c r="I78" s="7"/>
      <c r="J78" s="7"/>
      <c r="K78" s="7"/>
      <c r="L78" s="7"/>
      <c r="M78" s="7"/>
      <c r="N78" s="7"/>
      <c r="O78" s="7"/>
    </row>
    <row r="79" spans="1:15" s="4" customFormat="1" ht="15" x14ac:dyDescent="0.25">
      <c r="A79" s="3" t="s">
        <v>88</v>
      </c>
      <c r="C79" s="19">
        <f t="shared" ref="C79:N79" si="11">SUM(C81:C84)</f>
        <v>98.39</v>
      </c>
      <c r="D79" s="19">
        <f t="shared" si="11"/>
        <v>59.47</v>
      </c>
      <c r="E79" s="19">
        <f t="shared" si="11"/>
        <v>71.39</v>
      </c>
      <c r="F79" s="19">
        <f t="shared" si="11"/>
        <v>43.76</v>
      </c>
      <c r="G79" s="19">
        <f>SUM(G81:G84)</f>
        <v>61.57</v>
      </c>
      <c r="H79" s="19">
        <f t="shared" si="11"/>
        <v>68.900000000000006</v>
      </c>
      <c r="I79" s="19">
        <f t="shared" si="11"/>
        <v>89.34</v>
      </c>
      <c r="J79" s="19">
        <f t="shared" si="11"/>
        <v>89.33</v>
      </c>
      <c r="K79" s="19">
        <f t="shared" si="11"/>
        <v>80.919999999999987</v>
      </c>
      <c r="L79" s="19">
        <f t="shared" si="11"/>
        <v>74.900000000000006</v>
      </c>
      <c r="M79" s="19">
        <f t="shared" si="11"/>
        <v>104.22999999999999</v>
      </c>
      <c r="N79" s="19">
        <f t="shared" si="11"/>
        <v>81.150000000000006</v>
      </c>
      <c r="O79" s="19">
        <f>SUM(C79:N79)</f>
        <v>923.35</v>
      </c>
    </row>
    <row r="80" spans="1:15" x14ac:dyDescent="0.2">
      <c r="C80" s="114"/>
      <c r="D80" s="114"/>
      <c r="E80" s="114"/>
      <c r="F80" s="114"/>
      <c r="G80" s="114"/>
      <c r="H80" s="114"/>
      <c r="I80" s="114"/>
      <c r="J80" s="114"/>
      <c r="K80" s="114"/>
      <c r="L80" s="114"/>
      <c r="M80" s="114"/>
      <c r="N80" s="114"/>
      <c r="O80" s="114"/>
    </row>
    <row r="81" spans="1:15" x14ac:dyDescent="0.2">
      <c r="B81" s="2" t="s">
        <v>298</v>
      </c>
      <c r="C81" s="114">
        <v>0.67</v>
      </c>
      <c r="D81" s="114">
        <v>1.01</v>
      </c>
      <c r="E81" s="114">
        <v>0</v>
      </c>
      <c r="F81" s="114">
        <v>0.21</v>
      </c>
      <c r="G81" s="114">
        <v>0.33</v>
      </c>
      <c r="H81" s="114">
        <v>0.31</v>
      </c>
      <c r="I81" s="114">
        <v>0.18</v>
      </c>
      <c r="J81" s="114">
        <v>0.35</v>
      </c>
      <c r="K81" s="114">
        <v>0.93</v>
      </c>
      <c r="L81" s="114">
        <v>0.25</v>
      </c>
      <c r="M81" s="114">
        <v>0.16</v>
      </c>
      <c r="N81" s="114">
        <v>0.15</v>
      </c>
      <c r="O81" s="114">
        <f>SUM(C81:N81)</f>
        <v>4.5500000000000007</v>
      </c>
    </row>
    <row r="82" spans="1:15" x14ac:dyDescent="0.2">
      <c r="B82" s="2" t="s">
        <v>297</v>
      </c>
      <c r="C82" s="114">
        <v>3.49</v>
      </c>
      <c r="D82" s="114">
        <v>4.16</v>
      </c>
      <c r="E82" s="114">
        <v>6.59</v>
      </c>
      <c r="F82" s="114">
        <v>5.31</v>
      </c>
      <c r="G82" s="114">
        <v>3.32</v>
      </c>
      <c r="H82" s="114">
        <v>4.9000000000000004</v>
      </c>
      <c r="I82" s="114">
        <v>3.66</v>
      </c>
      <c r="J82" s="114">
        <v>4.1500000000000004</v>
      </c>
      <c r="K82" s="114">
        <v>2.67</v>
      </c>
      <c r="L82" s="114">
        <v>3.82</v>
      </c>
      <c r="M82" s="114">
        <v>3.58</v>
      </c>
      <c r="N82" s="114">
        <v>3.48</v>
      </c>
      <c r="O82" s="114">
        <f>SUM(C82:N82)</f>
        <v>49.13</v>
      </c>
    </row>
    <row r="83" spans="1:15" x14ac:dyDescent="0.2">
      <c r="B83" s="2" t="s">
        <v>299</v>
      </c>
      <c r="C83" s="114">
        <v>0.8</v>
      </c>
      <c r="D83" s="114">
        <v>1.08</v>
      </c>
      <c r="E83" s="114">
        <v>2.67</v>
      </c>
      <c r="F83" s="114">
        <v>0.7</v>
      </c>
      <c r="G83" s="114">
        <v>1.42</v>
      </c>
      <c r="H83" s="114">
        <v>2.5499999999999998</v>
      </c>
      <c r="I83" s="114">
        <v>5.49</v>
      </c>
      <c r="J83" s="114">
        <v>1.6</v>
      </c>
      <c r="K83" s="114">
        <v>1.08</v>
      </c>
      <c r="L83" s="114">
        <v>3.11</v>
      </c>
      <c r="M83" s="114">
        <v>1</v>
      </c>
      <c r="N83" s="114">
        <v>0.65</v>
      </c>
      <c r="O83" s="114">
        <f>SUM(C83:N83)</f>
        <v>22.15</v>
      </c>
    </row>
    <row r="84" spans="1:15" x14ac:dyDescent="0.2">
      <c r="B84" s="2" t="s">
        <v>300</v>
      </c>
      <c r="C84" s="114">
        <v>93.43</v>
      </c>
      <c r="D84" s="114">
        <v>53.22</v>
      </c>
      <c r="E84" s="114">
        <v>62.13</v>
      </c>
      <c r="F84" s="114">
        <v>37.54</v>
      </c>
      <c r="G84" s="114">
        <v>56.5</v>
      </c>
      <c r="H84" s="114">
        <v>61.14</v>
      </c>
      <c r="I84" s="114">
        <v>80.010000000000005</v>
      </c>
      <c r="J84" s="114">
        <v>83.23</v>
      </c>
      <c r="K84" s="114">
        <v>76.239999999999995</v>
      </c>
      <c r="L84" s="114">
        <v>67.72</v>
      </c>
      <c r="M84" s="114">
        <v>99.49</v>
      </c>
      <c r="N84" s="114">
        <v>76.87</v>
      </c>
      <c r="O84" s="114">
        <f>SUM(C84:N84)</f>
        <v>847.52</v>
      </c>
    </row>
    <row r="85" spans="1:15" x14ac:dyDescent="0.2">
      <c r="C85" s="7"/>
      <c r="D85" s="7"/>
      <c r="E85" s="7"/>
      <c r="F85" s="7"/>
      <c r="G85" s="7"/>
      <c r="H85" s="7"/>
      <c r="I85" s="7"/>
      <c r="J85" s="7"/>
      <c r="K85" s="7"/>
      <c r="L85" s="7"/>
      <c r="M85" s="7"/>
      <c r="N85" s="7"/>
      <c r="O85" s="7"/>
    </row>
    <row r="86" spans="1:15" s="4" customFormat="1" ht="15" x14ac:dyDescent="0.25">
      <c r="A86" s="3" t="s">
        <v>92</v>
      </c>
      <c r="C86" s="19">
        <f t="shared" ref="C86:N86" si="12">SUM(C88:C89)</f>
        <v>95.59</v>
      </c>
      <c r="D86" s="19">
        <f t="shared" si="12"/>
        <v>82.67</v>
      </c>
      <c r="E86" s="19">
        <f t="shared" si="12"/>
        <v>111.55</v>
      </c>
      <c r="F86" s="19">
        <f t="shared" si="12"/>
        <v>79.27</v>
      </c>
      <c r="G86" s="19">
        <f>SUM(G88:G89)</f>
        <v>93.47</v>
      </c>
      <c r="H86" s="19">
        <f t="shared" si="12"/>
        <v>82.97999999999999</v>
      </c>
      <c r="I86" s="19">
        <f t="shared" si="12"/>
        <v>70.460000000000008</v>
      </c>
      <c r="J86" s="19">
        <f t="shared" si="12"/>
        <v>85.89</v>
      </c>
      <c r="K86" s="19">
        <f t="shared" si="12"/>
        <v>68.33</v>
      </c>
      <c r="L86" s="19">
        <f t="shared" si="12"/>
        <v>79.350000000000009</v>
      </c>
      <c r="M86" s="19">
        <f t="shared" si="12"/>
        <v>73.41</v>
      </c>
      <c r="N86" s="19">
        <f t="shared" si="12"/>
        <v>62.01</v>
      </c>
      <c r="O86" s="19">
        <f>SUM(C86:N86)</f>
        <v>984.98</v>
      </c>
    </row>
    <row r="87" spans="1:15" x14ac:dyDescent="0.2">
      <c r="C87" s="114"/>
      <c r="D87" s="114"/>
      <c r="E87" s="114"/>
      <c r="F87" s="114"/>
      <c r="G87" s="114"/>
      <c r="H87" s="114"/>
      <c r="I87" s="114"/>
      <c r="J87" s="114"/>
      <c r="K87" s="114"/>
      <c r="L87" s="114"/>
      <c r="M87" s="114"/>
      <c r="N87" s="114"/>
      <c r="O87" s="114"/>
    </row>
    <row r="88" spans="1:15" x14ac:dyDescent="0.2">
      <c r="B88" s="2" t="s">
        <v>302</v>
      </c>
      <c r="C88" s="114">
        <v>2.1800000000000002</v>
      </c>
      <c r="D88" s="114">
        <v>1.72</v>
      </c>
      <c r="E88" s="114">
        <v>2.23</v>
      </c>
      <c r="F88" s="114">
        <v>1.85</v>
      </c>
      <c r="G88" s="114">
        <v>2.0299999999999998</v>
      </c>
      <c r="H88" s="114">
        <v>1.91</v>
      </c>
      <c r="I88" s="114">
        <v>1.56</v>
      </c>
      <c r="J88" s="114">
        <v>2.67</v>
      </c>
      <c r="K88" s="114">
        <v>2.38</v>
      </c>
      <c r="L88" s="114">
        <v>3.23</v>
      </c>
      <c r="M88" s="114">
        <v>2.52</v>
      </c>
      <c r="N88" s="114">
        <v>2.54</v>
      </c>
      <c r="O88" s="114">
        <f>SUM(C88:N88)</f>
        <v>26.819999999999997</v>
      </c>
    </row>
    <row r="89" spans="1:15" x14ac:dyDescent="0.2">
      <c r="B89" s="2" t="s">
        <v>301</v>
      </c>
      <c r="C89" s="114">
        <v>93.41</v>
      </c>
      <c r="D89" s="114">
        <v>80.95</v>
      </c>
      <c r="E89" s="114">
        <v>109.32</v>
      </c>
      <c r="F89" s="114">
        <v>77.42</v>
      </c>
      <c r="G89" s="114">
        <v>91.44</v>
      </c>
      <c r="H89" s="114">
        <v>81.069999999999993</v>
      </c>
      <c r="I89" s="114">
        <v>68.900000000000006</v>
      </c>
      <c r="J89" s="114">
        <v>83.22</v>
      </c>
      <c r="K89" s="114">
        <v>65.95</v>
      </c>
      <c r="L89" s="114">
        <v>76.12</v>
      </c>
      <c r="M89" s="114">
        <v>70.89</v>
      </c>
      <c r="N89" s="114">
        <v>59.47</v>
      </c>
      <c r="O89" s="114">
        <f>SUM(C89:N89)</f>
        <v>958.16000000000008</v>
      </c>
    </row>
    <row r="90" spans="1:15" x14ac:dyDescent="0.2">
      <c r="C90" s="7"/>
      <c r="D90" s="7"/>
      <c r="E90" s="7"/>
      <c r="F90" s="7"/>
      <c r="G90" s="7"/>
      <c r="H90" s="7"/>
      <c r="I90" s="7"/>
      <c r="J90" s="7"/>
      <c r="K90" s="7"/>
      <c r="L90" s="7"/>
      <c r="M90" s="7"/>
      <c r="N90" s="7"/>
      <c r="O90" s="7"/>
    </row>
    <row r="91" spans="1:15" s="4" customFormat="1" ht="15" x14ac:dyDescent="0.25">
      <c r="A91" s="3" t="s">
        <v>96</v>
      </c>
      <c r="C91" s="19">
        <f t="shared" ref="C91:N91" si="13">SUM(C93:C96)</f>
        <v>25.89</v>
      </c>
      <c r="D91" s="19">
        <f t="shared" si="13"/>
        <v>19.32</v>
      </c>
      <c r="E91" s="19">
        <f t="shared" si="13"/>
        <v>27.279999999999998</v>
      </c>
      <c r="F91" s="19">
        <f t="shared" si="13"/>
        <v>19.650000000000002</v>
      </c>
      <c r="G91" s="19">
        <f t="shared" si="13"/>
        <v>22.540000000000003</v>
      </c>
      <c r="H91" s="19">
        <f t="shared" si="13"/>
        <v>19.579999999999998</v>
      </c>
      <c r="I91" s="19">
        <f t="shared" si="13"/>
        <v>18.649999999999999</v>
      </c>
      <c r="J91" s="19">
        <f t="shared" si="13"/>
        <v>23.840000000000003</v>
      </c>
      <c r="K91" s="19">
        <f t="shared" si="13"/>
        <v>18.57</v>
      </c>
      <c r="L91" s="19">
        <f t="shared" si="13"/>
        <v>24.57</v>
      </c>
      <c r="M91" s="19">
        <f t="shared" si="13"/>
        <v>19.939999999999998</v>
      </c>
      <c r="N91" s="19">
        <f t="shared" si="13"/>
        <v>19.05</v>
      </c>
      <c r="O91" s="19">
        <f>SUM(C91:N91)</f>
        <v>258.88</v>
      </c>
    </row>
    <row r="92" spans="1:15" x14ac:dyDescent="0.2">
      <c r="C92" s="114"/>
      <c r="D92" s="114"/>
      <c r="E92" s="114"/>
      <c r="F92" s="114"/>
      <c r="G92" s="114"/>
      <c r="H92" s="114"/>
      <c r="I92" s="114"/>
      <c r="J92" s="114"/>
      <c r="K92" s="114"/>
      <c r="L92" s="114"/>
      <c r="M92" s="114"/>
      <c r="N92" s="114"/>
      <c r="O92" s="114"/>
    </row>
    <row r="93" spans="1:15" x14ac:dyDescent="0.2">
      <c r="B93" s="2" t="s">
        <v>305</v>
      </c>
      <c r="C93" s="114">
        <v>13.85</v>
      </c>
      <c r="D93" s="114">
        <v>12.08</v>
      </c>
      <c r="E93" s="114">
        <v>16.559999999999999</v>
      </c>
      <c r="F93" s="114">
        <v>11.79</v>
      </c>
      <c r="G93" s="114">
        <v>13.98</v>
      </c>
      <c r="H93" s="114">
        <v>11.54</v>
      </c>
      <c r="I93" s="114">
        <v>11.96</v>
      </c>
      <c r="J93" s="114">
        <v>12.9</v>
      </c>
      <c r="K93" s="114">
        <v>11.14</v>
      </c>
      <c r="L93" s="114">
        <v>12.2</v>
      </c>
      <c r="M93" s="114">
        <v>11.41</v>
      </c>
      <c r="N93" s="114">
        <v>10.39</v>
      </c>
      <c r="O93" s="114">
        <f>SUM(C93:N93)</f>
        <v>149.80000000000001</v>
      </c>
    </row>
    <row r="94" spans="1:15" x14ac:dyDescent="0.2">
      <c r="B94" s="2" t="s">
        <v>306</v>
      </c>
      <c r="C94" s="114">
        <v>2.65</v>
      </c>
      <c r="D94" s="114">
        <v>2.1</v>
      </c>
      <c r="E94" s="114">
        <v>2.81</v>
      </c>
      <c r="F94" s="114">
        <v>2.0699999999999998</v>
      </c>
      <c r="G94" s="114">
        <v>2.44</v>
      </c>
      <c r="H94" s="114">
        <v>2.78</v>
      </c>
      <c r="I94" s="114">
        <v>2.38</v>
      </c>
      <c r="J94" s="114">
        <v>3.16</v>
      </c>
      <c r="K94" s="114">
        <v>2.4300000000000002</v>
      </c>
      <c r="L94" s="114">
        <v>4.59</v>
      </c>
      <c r="M94" s="114">
        <v>2.61</v>
      </c>
      <c r="N94" s="114">
        <v>2.31</v>
      </c>
      <c r="O94" s="114">
        <f>SUM(C94:N94)</f>
        <v>32.33</v>
      </c>
    </row>
    <row r="95" spans="1:15" x14ac:dyDescent="0.2">
      <c r="B95" s="2" t="s">
        <v>304</v>
      </c>
      <c r="C95" s="114">
        <v>9.39</v>
      </c>
      <c r="D95" s="114">
        <v>5.14</v>
      </c>
      <c r="E95" s="114">
        <v>7.89</v>
      </c>
      <c r="F95" s="114">
        <v>5.78</v>
      </c>
      <c r="G95" s="114">
        <v>6.11</v>
      </c>
      <c r="H95" s="114">
        <v>5.22</v>
      </c>
      <c r="I95" s="114">
        <v>4.3099999999999996</v>
      </c>
      <c r="J95" s="114">
        <v>7.78</v>
      </c>
      <c r="K95" s="114">
        <v>5</v>
      </c>
      <c r="L95" s="114">
        <v>7.78</v>
      </c>
      <c r="M95" s="114">
        <v>5.92</v>
      </c>
      <c r="N95" s="114">
        <v>6.35</v>
      </c>
      <c r="O95" s="114">
        <f>SUM(C95:N95)</f>
        <v>76.67</v>
      </c>
    </row>
    <row r="96" spans="1:15" x14ac:dyDescent="0.2">
      <c r="B96" s="2" t="s">
        <v>573</v>
      </c>
      <c r="C96" s="114">
        <v>0</v>
      </c>
      <c r="D96" s="114">
        <v>0</v>
      </c>
      <c r="E96" s="114">
        <v>0.02</v>
      </c>
      <c r="F96" s="114">
        <v>0.01</v>
      </c>
      <c r="G96" s="114">
        <v>0.01</v>
      </c>
      <c r="H96" s="114">
        <v>0.04</v>
      </c>
      <c r="I96" s="114">
        <v>0</v>
      </c>
      <c r="J96" s="114">
        <v>0</v>
      </c>
      <c r="K96" s="114">
        <v>0</v>
      </c>
      <c r="L96" s="114">
        <v>0</v>
      </c>
      <c r="M96" s="114">
        <v>0</v>
      </c>
      <c r="N96" s="114">
        <v>0</v>
      </c>
      <c r="O96" s="114">
        <f>SUM(C96:N96)</f>
        <v>0.08</v>
      </c>
    </row>
    <row r="97" spans="1:15" x14ac:dyDescent="0.2">
      <c r="C97" s="7"/>
      <c r="D97" s="7"/>
      <c r="E97" s="7"/>
      <c r="F97" s="7"/>
      <c r="G97" s="7"/>
      <c r="H97" s="7"/>
      <c r="I97" s="7"/>
      <c r="J97" s="7"/>
      <c r="K97" s="7"/>
      <c r="L97" s="7"/>
      <c r="M97" s="7"/>
      <c r="N97" s="7"/>
      <c r="O97" s="7"/>
    </row>
    <row r="98" spans="1:15" s="4" customFormat="1" ht="15" x14ac:dyDescent="0.25">
      <c r="A98" s="3" t="s">
        <v>102</v>
      </c>
      <c r="C98" s="19">
        <f t="shared" ref="C98:N98" si="14">SUM(C100:C102)</f>
        <v>5.5</v>
      </c>
      <c r="D98" s="19">
        <f t="shared" si="14"/>
        <v>4.24</v>
      </c>
      <c r="E98" s="19">
        <f t="shared" si="14"/>
        <v>12.399999999999999</v>
      </c>
      <c r="F98" s="19">
        <f t="shared" si="14"/>
        <v>11.350000000000001</v>
      </c>
      <c r="G98" s="19">
        <f>SUM(G100:G102)</f>
        <v>11.89</v>
      </c>
      <c r="H98" s="19">
        <f t="shared" si="14"/>
        <v>4.91</v>
      </c>
      <c r="I98" s="19">
        <f t="shared" si="14"/>
        <v>9.1499999999999986</v>
      </c>
      <c r="J98" s="19">
        <f t="shared" si="14"/>
        <v>5.98</v>
      </c>
      <c r="K98" s="19">
        <f t="shared" si="14"/>
        <v>10.24</v>
      </c>
      <c r="L98" s="19">
        <f t="shared" si="14"/>
        <v>14.360000000000001</v>
      </c>
      <c r="M98" s="19">
        <f t="shared" si="14"/>
        <v>10.729999999999999</v>
      </c>
      <c r="N98" s="19">
        <f t="shared" si="14"/>
        <v>4.26</v>
      </c>
      <c r="O98" s="19">
        <f>SUM(C98:N98)</f>
        <v>105.01</v>
      </c>
    </row>
    <row r="99" spans="1:15" x14ac:dyDescent="0.2">
      <c r="C99" s="114"/>
      <c r="D99" s="114"/>
      <c r="E99" s="114"/>
      <c r="F99" s="114"/>
      <c r="G99" s="114"/>
      <c r="H99" s="114"/>
      <c r="I99" s="114"/>
      <c r="J99" s="114"/>
      <c r="K99" s="114"/>
      <c r="L99" s="114"/>
      <c r="M99" s="114"/>
      <c r="N99" s="114"/>
      <c r="O99" s="114"/>
    </row>
    <row r="100" spans="1:15" x14ac:dyDescent="0.2">
      <c r="B100" s="2" t="s">
        <v>308</v>
      </c>
      <c r="C100" s="114">
        <v>5.13</v>
      </c>
      <c r="D100" s="114">
        <v>3.94</v>
      </c>
      <c r="E100" s="114">
        <v>8.1199999999999992</v>
      </c>
      <c r="F100" s="114">
        <v>7.64</v>
      </c>
      <c r="G100" s="114">
        <v>10.99</v>
      </c>
      <c r="H100" s="114">
        <v>4.38</v>
      </c>
      <c r="I100" s="114">
        <v>8.6999999999999993</v>
      </c>
      <c r="J100" s="114">
        <v>4.66</v>
      </c>
      <c r="K100" s="114">
        <v>5.83</v>
      </c>
      <c r="L100" s="114">
        <v>9.83</v>
      </c>
      <c r="M100" s="114">
        <v>9.82</v>
      </c>
      <c r="N100" s="114">
        <v>3.75</v>
      </c>
      <c r="O100" s="114">
        <f>SUM(C100:N100)</f>
        <v>82.789999999999992</v>
      </c>
    </row>
    <row r="101" spans="1:15" x14ac:dyDescent="0.2">
      <c r="B101" s="2" t="s">
        <v>310</v>
      </c>
      <c r="C101" s="114">
        <v>0.32</v>
      </c>
      <c r="D101" s="114">
        <v>0.17</v>
      </c>
      <c r="E101" s="114">
        <v>4.1399999999999997</v>
      </c>
      <c r="F101" s="114">
        <v>3.66</v>
      </c>
      <c r="G101" s="114">
        <v>0.83</v>
      </c>
      <c r="H101" s="114">
        <v>0.45</v>
      </c>
      <c r="I101" s="114">
        <v>0.42</v>
      </c>
      <c r="J101" s="114">
        <v>1.25</v>
      </c>
      <c r="K101" s="114">
        <v>4.32</v>
      </c>
      <c r="L101" s="114">
        <v>4.4800000000000004</v>
      </c>
      <c r="M101" s="114">
        <v>0.87</v>
      </c>
      <c r="N101" s="114">
        <v>0.47</v>
      </c>
      <c r="O101" s="114">
        <f>SUM(C101:N101)</f>
        <v>21.38</v>
      </c>
    </row>
    <row r="102" spans="1:15" x14ac:dyDescent="0.2">
      <c r="B102" s="2" t="s">
        <v>311</v>
      </c>
      <c r="C102" s="114">
        <v>0.05</v>
      </c>
      <c r="D102" s="114">
        <v>0.13</v>
      </c>
      <c r="E102" s="114">
        <v>0.14000000000000001</v>
      </c>
      <c r="F102" s="114">
        <v>0.05</v>
      </c>
      <c r="G102" s="114">
        <v>7.0000000000000007E-2</v>
      </c>
      <c r="H102" s="114">
        <v>0.08</v>
      </c>
      <c r="I102" s="114">
        <v>0.03</v>
      </c>
      <c r="J102" s="114">
        <v>7.0000000000000007E-2</v>
      </c>
      <c r="K102" s="114">
        <v>0.09</v>
      </c>
      <c r="L102" s="114">
        <v>0.05</v>
      </c>
      <c r="M102" s="114">
        <v>0.04</v>
      </c>
      <c r="N102" s="114">
        <v>0.04</v>
      </c>
      <c r="O102" s="114">
        <f>SUM(C102:N102)</f>
        <v>0.84000000000000019</v>
      </c>
    </row>
    <row r="103" spans="1:15" x14ac:dyDescent="0.2">
      <c r="C103" s="7"/>
      <c r="D103" s="7"/>
      <c r="E103" s="7"/>
      <c r="F103" s="7"/>
      <c r="G103" s="7"/>
      <c r="H103" s="7"/>
      <c r="I103" s="7"/>
      <c r="J103" s="7"/>
      <c r="K103" s="7"/>
      <c r="L103" s="7"/>
      <c r="M103" s="7"/>
      <c r="N103" s="7"/>
      <c r="O103" s="7"/>
    </row>
    <row r="104" spans="1:15" s="4" customFormat="1" ht="15" x14ac:dyDescent="0.25">
      <c r="A104" s="3" t="s">
        <v>107</v>
      </c>
      <c r="C104" s="19">
        <f t="shared" ref="C104:N104" si="15">SUM(C106:C110)</f>
        <v>361.53999999999996</v>
      </c>
      <c r="D104" s="19">
        <f t="shared" si="15"/>
        <v>273.89999999999998</v>
      </c>
      <c r="E104" s="19">
        <f t="shared" si="15"/>
        <v>343.57</v>
      </c>
      <c r="F104" s="19">
        <f t="shared" si="15"/>
        <v>269.45999999999998</v>
      </c>
      <c r="G104" s="19">
        <f t="shared" si="15"/>
        <v>295.89</v>
      </c>
      <c r="H104" s="19">
        <f t="shared" si="15"/>
        <v>292.68</v>
      </c>
      <c r="I104" s="19">
        <f t="shared" si="15"/>
        <v>272.45</v>
      </c>
      <c r="J104" s="19">
        <f t="shared" si="15"/>
        <v>377.29</v>
      </c>
      <c r="K104" s="19">
        <f t="shared" si="15"/>
        <v>259.84999999999997</v>
      </c>
      <c r="L104" s="19">
        <f t="shared" si="15"/>
        <v>321.14000000000004</v>
      </c>
      <c r="M104" s="19">
        <f t="shared" si="15"/>
        <v>270.78999999999996</v>
      </c>
      <c r="N104" s="19">
        <f t="shared" si="15"/>
        <v>245.45000000000002</v>
      </c>
      <c r="O104" s="19">
        <f>SUM(C104:N104)</f>
        <v>3584.0099999999998</v>
      </c>
    </row>
    <row r="105" spans="1:15" x14ac:dyDescent="0.2">
      <c r="C105" s="114"/>
      <c r="D105" s="114"/>
      <c r="E105" s="114"/>
      <c r="F105" s="114"/>
      <c r="G105" s="114"/>
      <c r="H105" s="114"/>
      <c r="I105" s="114"/>
      <c r="J105" s="114"/>
      <c r="K105" s="114"/>
      <c r="L105" s="114"/>
      <c r="M105" s="114"/>
      <c r="N105" s="114"/>
      <c r="O105" s="114"/>
    </row>
    <row r="106" spans="1:15" x14ac:dyDescent="0.2">
      <c r="B106" s="2" t="s">
        <v>313</v>
      </c>
      <c r="C106" s="114">
        <v>0</v>
      </c>
      <c r="D106" s="114">
        <v>0</v>
      </c>
      <c r="E106" s="114">
        <v>0.01</v>
      </c>
      <c r="F106" s="114">
        <v>0.33</v>
      </c>
      <c r="G106" s="114">
        <v>0</v>
      </c>
      <c r="H106" s="114">
        <v>0</v>
      </c>
      <c r="I106" s="114">
        <v>0</v>
      </c>
      <c r="J106" s="114">
        <v>0.02</v>
      </c>
      <c r="K106" s="114">
        <v>0</v>
      </c>
      <c r="L106" s="114">
        <v>0</v>
      </c>
      <c r="M106" s="114">
        <v>0</v>
      </c>
      <c r="N106" s="114">
        <v>0</v>
      </c>
      <c r="O106" s="114">
        <f>SUM(C106:N106)</f>
        <v>0.36000000000000004</v>
      </c>
    </row>
    <row r="107" spans="1:15" x14ac:dyDescent="0.2">
      <c r="B107" s="2" t="s">
        <v>314</v>
      </c>
      <c r="C107" s="114">
        <v>167.57</v>
      </c>
      <c r="D107" s="114">
        <v>105.96</v>
      </c>
      <c r="E107" s="114">
        <v>116.19</v>
      </c>
      <c r="F107" s="114">
        <v>109.72</v>
      </c>
      <c r="G107" s="114">
        <v>101.46</v>
      </c>
      <c r="H107" s="114">
        <v>101.85</v>
      </c>
      <c r="I107" s="114">
        <v>95.32</v>
      </c>
      <c r="J107" s="114">
        <v>169.97</v>
      </c>
      <c r="K107" s="114">
        <v>79.349999999999994</v>
      </c>
      <c r="L107" s="114">
        <v>99.91</v>
      </c>
      <c r="M107" s="114">
        <v>97.44</v>
      </c>
      <c r="N107" s="114">
        <v>88.59</v>
      </c>
      <c r="O107" s="114">
        <f>SUM(C107:N107)</f>
        <v>1333.33</v>
      </c>
    </row>
    <row r="108" spans="1:15" x14ac:dyDescent="0.2">
      <c r="B108" s="2" t="s">
        <v>315</v>
      </c>
      <c r="C108" s="114">
        <v>148.19999999999999</v>
      </c>
      <c r="D108" s="114">
        <v>128.57</v>
      </c>
      <c r="E108" s="114">
        <v>179.45</v>
      </c>
      <c r="F108" s="114">
        <v>123.47</v>
      </c>
      <c r="G108" s="114">
        <v>152</v>
      </c>
      <c r="H108" s="114">
        <v>147.62</v>
      </c>
      <c r="I108" s="114">
        <v>138.63</v>
      </c>
      <c r="J108" s="114">
        <v>165.28</v>
      </c>
      <c r="K108" s="114">
        <v>145.62</v>
      </c>
      <c r="L108" s="114">
        <v>184.68</v>
      </c>
      <c r="M108" s="114">
        <v>141.86000000000001</v>
      </c>
      <c r="N108" s="114">
        <v>132.83000000000001</v>
      </c>
      <c r="O108" s="114">
        <f>SUM(C108:N108)</f>
        <v>1788.21</v>
      </c>
    </row>
    <row r="109" spans="1:15" x14ac:dyDescent="0.2">
      <c r="B109" s="2" t="s">
        <v>316</v>
      </c>
      <c r="C109" s="114">
        <v>43.65</v>
      </c>
      <c r="D109" s="114">
        <v>37.07</v>
      </c>
      <c r="E109" s="114">
        <v>44.67</v>
      </c>
      <c r="F109" s="114">
        <v>33.6</v>
      </c>
      <c r="G109" s="114">
        <v>40.19</v>
      </c>
      <c r="H109" s="114">
        <v>41.1</v>
      </c>
      <c r="I109" s="114">
        <v>35.770000000000003</v>
      </c>
      <c r="J109" s="114">
        <v>38.85</v>
      </c>
      <c r="K109" s="114">
        <v>32.61</v>
      </c>
      <c r="L109" s="114">
        <v>34.799999999999997</v>
      </c>
      <c r="M109" s="114">
        <v>28.96</v>
      </c>
      <c r="N109" s="114">
        <v>22.68</v>
      </c>
      <c r="O109" s="114">
        <f>SUM(C109:N109)</f>
        <v>433.95000000000005</v>
      </c>
    </row>
    <row r="110" spans="1:15" x14ac:dyDescent="0.2">
      <c r="B110" s="2" t="s">
        <v>312</v>
      </c>
      <c r="C110" s="114">
        <v>2.12</v>
      </c>
      <c r="D110" s="114">
        <v>2.2999999999999998</v>
      </c>
      <c r="E110" s="114">
        <v>3.25</v>
      </c>
      <c r="F110" s="114">
        <v>2.34</v>
      </c>
      <c r="G110" s="114">
        <v>2.2400000000000002</v>
      </c>
      <c r="H110" s="114">
        <v>2.11</v>
      </c>
      <c r="I110" s="114">
        <v>2.73</v>
      </c>
      <c r="J110" s="114">
        <v>3.17</v>
      </c>
      <c r="K110" s="114">
        <v>2.27</v>
      </c>
      <c r="L110" s="114">
        <v>1.75</v>
      </c>
      <c r="M110" s="114">
        <v>2.5299999999999998</v>
      </c>
      <c r="N110" s="114">
        <v>1.35</v>
      </c>
      <c r="O110" s="114">
        <f>SUM(C110:N110)</f>
        <v>28.16</v>
      </c>
    </row>
    <row r="111" spans="1:15" x14ac:dyDescent="0.2">
      <c r="C111" s="7"/>
      <c r="D111" s="7"/>
      <c r="E111" s="7"/>
      <c r="F111" s="7"/>
      <c r="G111" s="7"/>
      <c r="H111" s="7"/>
      <c r="I111" s="7"/>
      <c r="J111" s="7"/>
      <c r="K111" s="7"/>
      <c r="L111" s="7"/>
      <c r="M111" s="7"/>
      <c r="N111" s="7"/>
      <c r="O111" s="7"/>
    </row>
    <row r="112" spans="1:15" s="4" customFormat="1" ht="15" x14ac:dyDescent="0.25">
      <c r="A112" s="3" t="s">
        <v>113</v>
      </c>
      <c r="C112" s="19">
        <f t="shared" ref="C112:N112" si="16">SUM(C114:C118)</f>
        <v>44.339999999999996</v>
      </c>
      <c r="D112" s="19">
        <f t="shared" si="16"/>
        <v>32.54</v>
      </c>
      <c r="E112" s="19">
        <f t="shared" si="16"/>
        <v>48.019999999999996</v>
      </c>
      <c r="F112" s="19">
        <f t="shared" si="16"/>
        <v>31.99</v>
      </c>
      <c r="G112" s="19">
        <f t="shared" si="16"/>
        <v>41.89</v>
      </c>
      <c r="H112" s="19">
        <f t="shared" si="16"/>
        <v>36.46</v>
      </c>
      <c r="I112" s="19">
        <f t="shared" si="16"/>
        <v>35.47</v>
      </c>
      <c r="J112" s="19">
        <f t="shared" si="16"/>
        <v>53.14</v>
      </c>
      <c r="K112" s="19">
        <f t="shared" si="16"/>
        <v>33.92</v>
      </c>
      <c r="L112" s="19">
        <f t="shared" si="16"/>
        <v>40.370000000000005</v>
      </c>
      <c r="M112" s="19">
        <f t="shared" si="16"/>
        <v>41.820000000000007</v>
      </c>
      <c r="N112" s="19">
        <f t="shared" si="16"/>
        <v>29.98</v>
      </c>
      <c r="O112" s="19">
        <f>SUM(C112:N112)</f>
        <v>469.94</v>
      </c>
    </row>
    <row r="113" spans="1:15" x14ac:dyDescent="0.2">
      <c r="C113" s="114"/>
      <c r="D113" s="114"/>
      <c r="E113" s="114"/>
      <c r="F113" s="114"/>
      <c r="G113" s="114"/>
      <c r="H113" s="114"/>
      <c r="I113" s="114"/>
      <c r="J113" s="114"/>
      <c r="K113" s="114"/>
      <c r="L113" s="114"/>
      <c r="M113" s="114"/>
      <c r="N113" s="114"/>
      <c r="O113" s="114"/>
    </row>
    <row r="114" spans="1:15" x14ac:dyDescent="0.2">
      <c r="B114" s="2" t="s">
        <v>319</v>
      </c>
      <c r="C114" s="114">
        <v>0.02</v>
      </c>
      <c r="D114" s="114">
        <v>0.01</v>
      </c>
      <c r="E114" s="114">
        <v>0</v>
      </c>
      <c r="F114" s="114">
        <v>0</v>
      </c>
      <c r="G114" s="114">
        <v>0</v>
      </c>
      <c r="H114" s="114">
        <v>0</v>
      </c>
      <c r="I114" s="114">
        <v>0</v>
      </c>
      <c r="J114" s="114">
        <v>0.01</v>
      </c>
      <c r="K114" s="114">
        <v>0.01</v>
      </c>
      <c r="L114" s="114">
        <v>0</v>
      </c>
      <c r="M114" s="114">
        <v>0</v>
      </c>
      <c r="N114" s="114">
        <v>0.01</v>
      </c>
      <c r="O114" s="114">
        <f>SUM(C114:N114)</f>
        <v>6.0000000000000005E-2</v>
      </c>
    </row>
    <row r="115" spans="1:15" x14ac:dyDescent="0.2">
      <c r="B115" s="2" t="s">
        <v>318</v>
      </c>
      <c r="C115" s="114">
        <v>0.71</v>
      </c>
      <c r="D115" s="114">
        <v>0.72</v>
      </c>
      <c r="E115" s="114">
        <v>0.73</v>
      </c>
      <c r="F115" s="114">
        <v>0.49</v>
      </c>
      <c r="G115" s="114">
        <v>0.52</v>
      </c>
      <c r="H115" s="114">
        <v>0.68</v>
      </c>
      <c r="I115" s="114">
        <v>0.84</v>
      </c>
      <c r="J115" s="114">
        <v>0.74</v>
      </c>
      <c r="K115" s="114">
        <v>0.47</v>
      </c>
      <c r="L115" s="114">
        <v>0.56999999999999995</v>
      </c>
      <c r="M115" s="114">
        <v>0.71</v>
      </c>
      <c r="N115" s="114">
        <v>0.57999999999999996</v>
      </c>
      <c r="O115" s="114">
        <f>SUM(C115:N115)</f>
        <v>7.7600000000000007</v>
      </c>
    </row>
    <row r="116" spans="1:15" x14ac:dyDescent="0.2">
      <c r="B116" s="2" t="s">
        <v>312</v>
      </c>
      <c r="C116" s="114">
        <v>6.07</v>
      </c>
      <c r="D116" s="114">
        <v>6.28</v>
      </c>
      <c r="E116" s="114">
        <v>8.4600000000000009</v>
      </c>
      <c r="F116" s="114">
        <v>5.67</v>
      </c>
      <c r="G116" s="114">
        <v>7.7</v>
      </c>
      <c r="H116" s="114">
        <v>7.24</v>
      </c>
      <c r="I116" s="114">
        <v>7.73</v>
      </c>
      <c r="J116" s="114">
        <v>8.34</v>
      </c>
      <c r="K116" s="114">
        <v>5.83</v>
      </c>
      <c r="L116" s="114">
        <v>6.06</v>
      </c>
      <c r="M116" s="114">
        <v>6.14</v>
      </c>
      <c r="N116" s="114">
        <v>5.55</v>
      </c>
      <c r="O116" s="114">
        <f>SUM(C116:N116)</f>
        <v>81.070000000000007</v>
      </c>
    </row>
    <row r="117" spans="1:15" x14ac:dyDescent="0.2">
      <c r="B117" s="2" t="s">
        <v>321</v>
      </c>
      <c r="C117" s="114">
        <v>36.94</v>
      </c>
      <c r="D117" s="114">
        <v>24.04</v>
      </c>
      <c r="E117" s="114">
        <v>38.159999999999997</v>
      </c>
      <c r="F117" s="114">
        <v>24.65</v>
      </c>
      <c r="G117" s="114">
        <v>31.8</v>
      </c>
      <c r="H117" s="114">
        <v>27.14</v>
      </c>
      <c r="I117" s="114">
        <v>25.15</v>
      </c>
      <c r="J117" s="114">
        <v>43.27</v>
      </c>
      <c r="K117" s="114">
        <v>26.86</v>
      </c>
      <c r="L117" s="114">
        <v>32.82</v>
      </c>
      <c r="M117" s="114">
        <v>34.130000000000003</v>
      </c>
      <c r="N117" s="114">
        <v>23.22</v>
      </c>
      <c r="O117" s="114">
        <f>SUM(C117:N117)</f>
        <v>368.18000000000006</v>
      </c>
    </row>
    <row r="118" spans="1:15" x14ac:dyDescent="0.2">
      <c r="B118" s="2" t="s">
        <v>322</v>
      </c>
      <c r="C118" s="114">
        <v>0.6</v>
      </c>
      <c r="D118" s="114">
        <v>1.49</v>
      </c>
      <c r="E118" s="114">
        <v>0.67</v>
      </c>
      <c r="F118" s="114">
        <v>1.18</v>
      </c>
      <c r="G118" s="114">
        <v>1.87</v>
      </c>
      <c r="H118" s="114">
        <v>1.4</v>
      </c>
      <c r="I118" s="114">
        <v>1.75</v>
      </c>
      <c r="J118" s="114">
        <v>0.78</v>
      </c>
      <c r="K118" s="114">
        <v>0.75</v>
      </c>
      <c r="L118" s="114">
        <v>0.92</v>
      </c>
      <c r="M118" s="114">
        <v>0.84</v>
      </c>
      <c r="N118" s="114">
        <v>0.62</v>
      </c>
      <c r="O118" s="114">
        <f>SUM(C118:N118)</f>
        <v>12.869999999999997</v>
      </c>
    </row>
    <row r="119" spans="1:15" x14ac:dyDescent="0.2">
      <c r="C119" s="7"/>
      <c r="D119" s="7"/>
      <c r="E119" s="7"/>
      <c r="F119" s="7"/>
      <c r="G119" s="7"/>
      <c r="H119" s="7"/>
      <c r="I119" s="7"/>
      <c r="J119" s="7"/>
      <c r="K119" s="7"/>
      <c r="L119" s="7"/>
      <c r="M119" s="7"/>
      <c r="N119" s="7"/>
      <c r="O119" s="7"/>
    </row>
    <row r="120" spans="1:15" s="4" customFormat="1" ht="15" x14ac:dyDescent="0.25">
      <c r="A120" s="3" t="s">
        <v>121</v>
      </c>
      <c r="C120" s="19">
        <f t="shared" ref="C120:N120" si="17">SUM(C122:C123)</f>
        <v>1.26</v>
      </c>
      <c r="D120" s="19">
        <f t="shared" si="17"/>
        <v>0.97</v>
      </c>
      <c r="E120" s="19">
        <f t="shared" si="17"/>
        <v>1.1700000000000002</v>
      </c>
      <c r="F120" s="19">
        <f t="shared" si="17"/>
        <v>2.0099999999999998</v>
      </c>
      <c r="G120" s="19">
        <f t="shared" si="17"/>
        <v>1</v>
      </c>
      <c r="H120" s="19">
        <f t="shared" si="17"/>
        <v>0.69</v>
      </c>
      <c r="I120" s="19">
        <f t="shared" si="17"/>
        <v>1</v>
      </c>
      <c r="J120" s="19">
        <f t="shared" si="17"/>
        <v>1.1100000000000001</v>
      </c>
      <c r="K120" s="19">
        <f t="shared" si="17"/>
        <v>0.62</v>
      </c>
      <c r="L120" s="19">
        <f t="shared" si="17"/>
        <v>0.72</v>
      </c>
      <c r="M120" s="19">
        <f t="shared" si="17"/>
        <v>2.5</v>
      </c>
      <c r="N120" s="19">
        <f t="shared" si="17"/>
        <v>0.71</v>
      </c>
      <c r="O120" s="19">
        <f>SUM(C120:N120)</f>
        <v>13.759999999999998</v>
      </c>
    </row>
    <row r="121" spans="1:15" x14ac:dyDescent="0.2">
      <c r="C121" s="114"/>
      <c r="D121" s="114"/>
      <c r="E121" s="114"/>
      <c r="F121" s="114"/>
      <c r="G121" s="114"/>
      <c r="H121" s="114"/>
      <c r="I121" s="114"/>
      <c r="J121" s="114"/>
      <c r="K121" s="114"/>
      <c r="L121" s="114"/>
      <c r="M121" s="114"/>
      <c r="N121" s="114"/>
      <c r="O121" s="114"/>
    </row>
    <row r="122" spans="1:15" x14ac:dyDescent="0.2">
      <c r="B122" s="2" t="s">
        <v>509</v>
      </c>
      <c r="C122" s="114">
        <v>0.01</v>
      </c>
      <c r="D122" s="114">
        <v>0</v>
      </c>
      <c r="E122" s="114">
        <v>0.09</v>
      </c>
      <c r="F122" s="114">
        <v>0</v>
      </c>
      <c r="G122" s="114">
        <v>0</v>
      </c>
      <c r="H122" s="114">
        <v>0</v>
      </c>
      <c r="I122" s="114">
        <v>0</v>
      </c>
      <c r="J122" s="114">
        <v>0</v>
      </c>
      <c r="K122" s="114">
        <v>0</v>
      </c>
      <c r="L122" s="114">
        <v>0</v>
      </c>
      <c r="M122" s="114">
        <v>0</v>
      </c>
      <c r="N122" s="114">
        <v>0</v>
      </c>
      <c r="O122" s="114">
        <f>SUM(C122:N122)</f>
        <v>9.9999999999999992E-2</v>
      </c>
    </row>
    <row r="123" spans="1:15" x14ac:dyDescent="0.2">
      <c r="B123" s="2" t="s">
        <v>108</v>
      </c>
      <c r="C123" s="114">
        <v>1.25</v>
      </c>
      <c r="D123" s="114">
        <v>0.97</v>
      </c>
      <c r="E123" s="114">
        <v>1.08</v>
      </c>
      <c r="F123" s="114">
        <v>2.0099999999999998</v>
      </c>
      <c r="G123" s="114">
        <v>1</v>
      </c>
      <c r="H123" s="114">
        <v>0.69</v>
      </c>
      <c r="I123" s="114">
        <v>1</v>
      </c>
      <c r="J123" s="114">
        <v>1.1100000000000001</v>
      </c>
      <c r="K123" s="114">
        <v>0.62</v>
      </c>
      <c r="L123" s="114">
        <v>0.72</v>
      </c>
      <c r="M123" s="114">
        <v>2.5</v>
      </c>
      <c r="N123" s="114">
        <v>0.71</v>
      </c>
      <c r="O123" s="114">
        <f>SUM(C123:N123)</f>
        <v>13.66</v>
      </c>
    </row>
    <row r="124" spans="1:15" x14ac:dyDescent="0.2">
      <c r="C124" s="7"/>
      <c r="D124" s="7"/>
      <c r="E124" s="7"/>
      <c r="F124" s="7"/>
      <c r="G124" s="7"/>
      <c r="H124" s="7"/>
      <c r="I124" s="7"/>
      <c r="J124" s="7"/>
      <c r="K124" s="7"/>
      <c r="L124" s="7"/>
      <c r="M124" s="7"/>
      <c r="N124" s="7"/>
      <c r="O124" s="7"/>
    </row>
    <row r="125" spans="1:15" s="4" customFormat="1" ht="15" x14ac:dyDescent="0.25">
      <c r="A125" s="3" t="s">
        <v>324</v>
      </c>
      <c r="C125" s="19">
        <f t="shared" ref="C125:N125" si="18">SUM(C127:C128)</f>
        <v>0.25</v>
      </c>
      <c r="D125" s="19">
        <f t="shared" si="18"/>
        <v>0.13</v>
      </c>
      <c r="E125" s="19">
        <f t="shared" si="18"/>
        <v>0.15</v>
      </c>
      <c r="F125" s="19">
        <f t="shared" si="18"/>
        <v>0.49</v>
      </c>
      <c r="G125" s="19">
        <f>SUM(G127:G128)</f>
        <v>0.19</v>
      </c>
      <c r="H125" s="19">
        <f t="shared" si="18"/>
        <v>0.24</v>
      </c>
      <c r="I125" s="19">
        <f t="shared" si="18"/>
        <v>0.08</v>
      </c>
      <c r="J125" s="19">
        <f t="shared" si="18"/>
        <v>0.1</v>
      </c>
      <c r="K125" s="19">
        <f t="shared" si="18"/>
        <v>0.09</v>
      </c>
      <c r="L125" s="19">
        <f t="shared" si="18"/>
        <v>0.1</v>
      </c>
      <c r="M125" s="19">
        <f t="shared" si="18"/>
        <v>0.09</v>
      </c>
      <c r="N125" s="19">
        <f t="shared" si="18"/>
        <v>0.11</v>
      </c>
      <c r="O125" s="19">
        <f>SUM(C125:N125)</f>
        <v>2.0200000000000005</v>
      </c>
    </row>
    <row r="126" spans="1:15" x14ac:dyDescent="0.2">
      <c r="C126" s="114"/>
      <c r="D126" s="114"/>
      <c r="E126" s="114"/>
      <c r="F126" s="114"/>
      <c r="G126" s="114"/>
      <c r="H126" s="114"/>
      <c r="I126" s="114"/>
      <c r="J126" s="114"/>
      <c r="K126" s="114"/>
      <c r="L126" s="114"/>
      <c r="M126" s="114"/>
      <c r="N126" s="114"/>
      <c r="O126" s="114"/>
    </row>
    <row r="127" spans="1:15" x14ac:dyDescent="0.2">
      <c r="B127" s="2" t="s">
        <v>818</v>
      </c>
      <c r="C127" s="114">
        <v>0.2</v>
      </c>
      <c r="D127" s="114">
        <v>0.12</v>
      </c>
      <c r="E127" s="114">
        <v>0.15</v>
      </c>
      <c r="F127" s="114">
        <v>0.2</v>
      </c>
      <c r="G127" s="114">
        <v>0.19</v>
      </c>
      <c r="H127" s="114">
        <v>0.24</v>
      </c>
      <c r="I127" s="114">
        <v>0.08</v>
      </c>
      <c r="J127" s="114">
        <v>0.1</v>
      </c>
      <c r="K127" s="114">
        <v>0.09</v>
      </c>
      <c r="L127" s="114">
        <v>0.1</v>
      </c>
      <c r="M127" s="114">
        <v>0.09</v>
      </c>
      <c r="N127" s="114">
        <v>0.11</v>
      </c>
      <c r="O127" s="114">
        <f>SUM(C127:N127)</f>
        <v>1.6700000000000004</v>
      </c>
    </row>
    <row r="128" spans="1:15" x14ac:dyDescent="0.2">
      <c r="B128" s="2" t="s">
        <v>819</v>
      </c>
      <c r="C128" s="114">
        <v>0.05</v>
      </c>
      <c r="D128" s="114">
        <v>0.01</v>
      </c>
      <c r="E128" s="114">
        <v>0</v>
      </c>
      <c r="F128" s="114">
        <v>0.28999999999999998</v>
      </c>
      <c r="G128" s="114">
        <v>0</v>
      </c>
      <c r="H128" s="114">
        <v>0</v>
      </c>
      <c r="I128" s="114">
        <v>0</v>
      </c>
      <c r="J128" s="114">
        <v>0</v>
      </c>
      <c r="K128" s="114">
        <v>0</v>
      </c>
      <c r="L128" s="114">
        <v>0</v>
      </c>
      <c r="M128" s="114">
        <v>0</v>
      </c>
      <c r="N128" s="114">
        <v>0</v>
      </c>
      <c r="O128" s="114">
        <f>SUM(C128:N128)</f>
        <v>0.35</v>
      </c>
    </row>
    <row r="129" spans="1:15" x14ac:dyDescent="0.2">
      <c r="C129" s="114"/>
      <c r="D129" s="114"/>
      <c r="E129" s="114"/>
      <c r="F129" s="114"/>
      <c r="G129" s="114"/>
      <c r="H129" s="114"/>
      <c r="I129" s="114"/>
      <c r="J129" s="114"/>
      <c r="K129" s="114"/>
      <c r="L129" s="114"/>
      <c r="M129" s="114"/>
      <c r="N129" s="114"/>
      <c r="O129" s="114"/>
    </row>
    <row r="130" spans="1:15" s="4" customFormat="1" ht="15" x14ac:dyDescent="0.25">
      <c r="A130" s="3" t="s">
        <v>122</v>
      </c>
      <c r="C130" s="19">
        <f t="shared" ref="C130:N130" si="19">SUM(C132:C135)</f>
        <v>32.22</v>
      </c>
      <c r="D130" s="19">
        <f t="shared" si="19"/>
        <v>10.68</v>
      </c>
      <c r="E130" s="19">
        <f t="shared" si="19"/>
        <v>47.120000000000005</v>
      </c>
      <c r="F130" s="19">
        <f t="shared" si="19"/>
        <v>39.849999999999994</v>
      </c>
      <c r="G130" s="19">
        <f>SUM(G132:G135)</f>
        <v>31.180000000000003</v>
      </c>
      <c r="H130" s="19">
        <f t="shared" si="19"/>
        <v>52.92</v>
      </c>
      <c r="I130" s="19">
        <f t="shared" si="19"/>
        <v>24.950000000000003</v>
      </c>
      <c r="J130" s="19">
        <f t="shared" si="19"/>
        <v>27.740000000000002</v>
      </c>
      <c r="K130" s="19">
        <f t="shared" si="19"/>
        <v>32.909999999999997</v>
      </c>
      <c r="L130" s="19">
        <f t="shared" si="19"/>
        <v>33.229999999999997</v>
      </c>
      <c r="M130" s="19">
        <f t="shared" si="19"/>
        <v>33.300000000000004</v>
      </c>
      <c r="N130" s="19">
        <f t="shared" si="19"/>
        <v>19.64</v>
      </c>
      <c r="O130" s="19">
        <f>SUM(C130:N130)</f>
        <v>385.74000000000007</v>
      </c>
    </row>
    <row r="131" spans="1:15" ht="15" x14ac:dyDescent="0.25">
      <c r="A131" s="1"/>
      <c r="C131" s="175"/>
      <c r="D131" s="175"/>
      <c r="E131" s="175"/>
      <c r="F131" s="175"/>
      <c r="G131" s="175"/>
      <c r="H131" s="175"/>
      <c r="I131" s="175"/>
      <c r="J131" s="175"/>
      <c r="K131" s="175"/>
      <c r="L131" s="175"/>
      <c r="M131" s="175"/>
      <c r="N131" s="175"/>
      <c r="O131" s="175"/>
    </row>
    <row r="132" spans="1:15" x14ac:dyDescent="0.2">
      <c r="B132" s="2" t="s">
        <v>123</v>
      </c>
      <c r="C132" s="114">
        <v>0.39</v>
      </c>
      <c r="D132" s="114">
        <v>1.19</v>
      </c>
      <c r="E132" s="114">
        <v>0.28000000000000003</v>
      </c>
      <c r="F132" s="114">
        <v>0.04</v>
      </c>
      <c r="G132" s="114">
        <v>0.14000000000000001</v>
      </c>
      <c r="H132" s="114">
        <v>0.25</v>
      </c>
      <c r="I132" s="114">
        <v>0.23</v>
      </c>
      <c r="J132" s="114">
        <v>0.21</v>
      </c>
      <c r="K132" s="114">
        <v>0.14000000000000001</v>
      </c>
      <c r="L132" s="114">
        <v>0.23</v>
      </c>
      <c r="M132" s="114">
        <v>0.5</v>
      </c>
      <c r="N132" s="114">
        <v>0.1</v>
      </c>
      <c r="O132" s="114">
        <f>SUM(C132:N132)</f>
        <v>3.7</v>
      </c>
    </row>
    <row r="133" spans="1:15" x14ac:dyDescent="0.2">
      <c r="B133" s="2" t="s">
        <v>124</v>
      </c>
      <c r="C133" s="114">
        <v>31.83</v>
      </c>
      <c r="D133" s="114">
        <v>9.48</v>
      </c>
      <c r="E133" s="114">
        <v>46.82</v>
      </c>
      <c r="F133" s="114">
        <v>39.799999999999997</v>
      </c>
      <c r="G133" s="114">
        <v>31.03</v>
      </c>
      <c r="H133" s="114">
        <v>52.67</v>
      </c>
      <c r="I133" s="114">
        <v>24.69</v>
      </c>
      <c r="J133" s="114">
        <v>27.53</v>
      </c>
      <c r="K133" s="114">
        <v>32.76</v>
      </c>
      <c r="L133" s="114">
        <v>32.979999999999997</v>
      </c>
      <c r="M133" s="114">
        <v>32.78</v>
      </c>
      <c r="N133" s="114">
        <v>19.489999999999998</v>
      </c>
      <c r="O133" s="114">
        <f>SUM(C133:N133)</f>
        <v>381.86</v>
      </c>
    </row>
    <row r="134" spans="1:15" x14ac:dyDescent="0.2">
      <c r="B134" s="2" t="s">
        <v>127</v>
      </c>
      <c r="C134" s="114">
        <v>0</v>
      </c>
      <c r="D134" s="114">
        <v>0</v>
      </c>
      <c r="E134" s="114">
        <v>0</v>
      </c>
      <c r="F134" s="114">
        <v>0</v>
      </c>
      <c r="G134" s="114">
        <v>0</v>
      </c>
      <c r="H134" s="114">
        <v>0</v>
      </c>
      <c r="I134" s="114">
        <v>0</v>
      </c>
      <c r="J134" s="114">
        <v>0</v>
      </c>
      <c r="K134" s="114">
        <v>0</v>
      </c>
      <c r="L134" s="114">
        <v>0</v>
      </c>
      <c r="M134" s="114">
        <v>0</v>
      </c>
      <c r="N134" s="114">
        <v>0</v>
      </c>
      <c r="O134" s="114">
        <f>SUM(C134:N134)</f>
        <v>0</v>
      </c>
    </row>
    <row r="135" spans="1:15" x14ac:dyDescent="0.2">
      <c r="B135" s="2" t="s">
        <v>126</v>
      </c>
      <c r="C135" s="114">
        <v>0</v>
      </c>
      <c r="D135" s="114">
        <v>0.01</v>
      </c>
      <c r="E135" s="114">
        <v>0.02</v>
      </c>
      <c r="F135" s="114">
        <v>0.01</v>
      </c>
      <c r="G135" s="114">
        <v>0.01</v>
      </c>
      <c r="H135" s="114">
        <v>0</v>
      </c>
      <c r="I135" s="114">
        <v>0.03</v>
      </c>
      <c r="J135" s="114">
        <v>0</v>
      </c>
      <c r="K135" s="114">
        <v>0.01</v>
      </c>
      <c r="L135" s="114">
        <v>0.02</v>
      </c>
      <c r="M135" s="114">
        <v>0.02</v>
      </c>
      <c r="N135" s="114">
        <v>0.05</v>
      </c>
      <c r="O135" s="114">
        <f>SUM(C135:N135)</f>
        <v>0.18</v>
      </c>
    </row>
    <row r="136" spans="1:15" x14ac:dyDescent="0.2">
      <c r="C136" s="114"/>
      <c r="D136" s="114"/>
      <c r="E136" s="114"/>
      <c r="F136" s="114"/>
      <c r="G136" s="114"/>
      <c r="H136" s="114"/>
      <c r="I136" s="114"/>
      <c r="J136" s="114"/>
      <c r="K136" s="114"/>
      <c r="L136" s="114"/>
      <c r="M136" s="114"/>
      <c r="N136" s="114"/>
      <c r="O136" s="114"/>
    </row>
    <row r="137" spans="1:15" s="4" customFormat="1" ht="15" x14ac:dyDescent="0.25">
      <c r="A137" s="3" t="s">
        <v>128</v>
      </c>
      <c r="C137" s="19">
        <f t="shared" ref="C137:N137" si="20">SUM(C139:C140)</f>
        <v>13.3</v>
      </c>
      <c r="D137" s="19">
        <f t="shared" si="20"/>
        <v>7.9</v>
      </c>
      <c r="E137" s="19">
        <f t="shared" si="20"/>
        <v>11.18</v>
      </c>
      <c r="F137" s="19">
        <f t="shared" si="20"/>
        <v>7.6099999999999994</v>
      </c>
      <c r="G137" s="19">
        <f>SUM(G139:G140)</f>
        <v>9.93</v>
      </c>
      <c r="H137" s="19">
        <f t="shared" si="20"/>
        <v>9.0200000000000014</v>
      </c>
      <c r="I137" s="19">
        <f t="shared" si="20"/>
        <v>8.9499999999999993</v>
      </c>
      <c r="J137" s="19">
        <f t="shared" si="20"/>
        <v>8.84</v>
      </c>
      <c r="K137" s="19">
        <f t="shared" si="20"/>
        <v>10.050000000000001</v>
      </c>
      <c r="L137" s="19">
        <f t="shared" si="20"/>
        <v>19.490000000000002</v>
      </c>
      <c r="M137" s="19">
        <f t="shared" si="20"/>
        <v>9.49</v>
      </c>
      <c r="N137" s="19">
        <f t="shared" si="20"/>
        <v>6.27</v>
      </c>
      <c r="O137" s="19">
        <f>SUM(C137:N137)</f>
        <v>122.03</v>
      </c>
    </row>
    <row r="138" spans="1:15" x14ac:dyDescent="0.2">
      <c r="C138" s="114"/>
      <c r="D138" s="114"/>
      <c r="E138" s="114"/>
      <c r="F138" s="114"/>
      <c r="G138" s="114"/>
      <c r="H138" s="114"/>
      <c r="I138" s="114"/>
      <c r="J138" s="114"/>
      <c r="K138" s="114"/>
      <c r="L138" s="114"/>
      <c r="M138" s="114"/>
      <c r="N138" s="114"/>
      <c r="O138" s="114"/>
    </row>
    <row r="139" spans="1:15" x14ac:dyDescent="0.2">
      <c r="B139" s="2" t="s">
        <v>795</v>
      </c>
      <c r="C139" s="114">
        <v>11.59</v>
      </c>
      <c r="D139" s="114">
        <v>6.29</v>
      </c>
      <c r="E139" s="114">
        <v>10.01</v>
      </c>
      <c r="F139" s="114">
        <v>6.92</v>
      </c>
      <c r="G139" s="114">
        <v>9.11</v>
      </c>
      <c r="H139" s="114">
        <v>8.14</v>
      </c>
      <c r="I139" s="114">
        <v>8.36</v>
      </c>
      <c r="J139" s="114">
        <v>7.33</v>
      </c>
      <c r="K139" s="114">
        <v>5.28</v>
      </c>
      <c r="L139" s="114">
        <v>8.65</v>
      </c>
      <c r="M139" s="114">
        <v>8.34</v>
      </c>
      <c r="N139" s="114">
        <v>4.59</v>
      </c>
      <c r="O139" s="114">
        <f>SUM(C139:N139)</f>
        <v>94.610000000000014</v>
      </c>
    </row>
    <row r="140" spans="1:15" x14ac:dyDescent="0.2">
      <c r="B140" s="2" t="s">
        <v>131</v>
      </c>
      <c r="C140" s="114">
        <v>1.71</v>
      </c>
      <c r="D140" s="114">
        <v>1.61</v>
      </c>
      <c r="E140" s="114">
        <v>1.17</v>
      </c>
      <c r="F140" s="114">
        <v>0.69</v>
      </c>
      <c r="G140" s="114">
        <v>0.82</v>
      </c>
      <c r="H140" s="114">
        <v>0.88</v>
      </c>
      <c r="I140" s="114">
        <v>0.59</v>
      </c>
      <c r="J140" s="114">
        <v>1.51</v>
      </c>
      <c r="K140" s="114">
        <v>4.7699999999999996</v>
      </c>
      <c r="L140" s="114">
        <v>10.84</v>
      </c>
      <c r="M140" s="114">
        <v>1.1499999999999999</v>
      </c>
      <c r="N140" s="114">
        <v>1.68</v>
      </c>
      <c r="O140" s="114">
        <f>SUM(C140:N140)</f>
        <v>27.419999999999998</v>
      </c>
    </row>
    <row r="141" spans="1:15" x14ac:dyDescent="0.2">
      <c r="C141" s="114"/>
      <c r="D141" s="114"/>
      <c r="E141" s="114"/>
      <c r="F141" s="114"/>
      <c r="G141" s="114"/>
      <c r="H141" s="114"/>
      <c r="I141" s="114"/>
      <c r="J141" s="114"/>
      <c r="K141" s="114"/>
      <c r="L141" s="114"/>
      <c r="M141" s="114"/>
      <c r="N141" s="114"/>
      <c r="O141" s="114"/>
    </row>
    <row r="142" spans="1:15" s="4" customFormat="1" ht="15" x14ac:dyDescent="0.25">
      <c r="A142" s="3" t="s">
        <v>140</v>
      </c>
      <c r="C142" s="19">
        <f t="shared" ref="C142:N142" si="21">SUM(C144:C159)</f>
        <v>6.8299999999999992</v>
      </c>
      <c r="D142" s="19">
        <f t="shared" si="21"/>
        <v>5.82</v>
      </c>
      <c r="E142" s="19">
        <f t="shared" si="21"/>
        <v>8.879999999999999</v>
      </c>
      <c r="F142" s="19">
        <f t="shared" si="21"/>
        <v>4.99</v>
      </c>
      <c r="G142" s="19">
        <f t="shared" si="21"/>
        <v>6.14</v>
      </c>
      <c r="H142" s="19">
        <f t="shared" si="21"/>
        <v>5.4699999999999989</v>
      </c>
      <c r="I142" s="19">
        <f t="shared" si="21"/>
        <v>5.49</v>
      </c>
      <c r="J142" s="19">
        <f t="shared" si="21"/>
        <v>7.9699999999999989</v>
      </c>
      <c r="K142" s="19">
        <f t="shared" si="21"/>
        <v>6.36</v>
      </c>
      <c r="L142" s="19">
        <f t="shared" si="21"/>
        <v>8.09</v>
      </c>
      <c r="M142" s="19">
        <f t="shared" si="21"/>
        <v>6.5500000000000007</v>
      </c>
      <c r="N142" s="19">
        <f t="shared" si="21"/>
        <v>5.7499999999999991</v>
      </c>
      <c r="O142" s="19">
        <f>SUM(C142:N142)</f>
        <v>78.339999999999989</v>
      </c>
    </row>
    <row r="143" spans="1:15" ht="15" x14ac:dyDescent="0.25">
      <c r="A143" s="1"/>
      <c r="C143" s="175"/>
      <c r="D143" s="175"/>
      <c r="E143" s="175"/>
      <c r="F143" s="175"/>
      <c r="G143" s="175"/>
      <c r="H143" s="175"/>
      <c r="I143" s="175"/>
      <c r="J143" s="175"/>
      <c r="K143" s="175"/>
      <c r="L143" s="175"/>
      <c r="M143" s="175"/>
      <c r="N143" s="175"/>
      <c r="O143" s="175"/>
    </row>
    <row r="144" spans="1:15" x14ac:dyDescent="0.2">
      <c r="B144" s="2" t="s">
        <v>141</v>
      </c>
      <c r="C144" s="114">
        <v>0.67</v>
      </c>
      <c r="D144" s="114">
        <v>0.52</v>
      </c>
      <c r="E144" s="114">
        <v>0.61</v>
      </c>
      <c r="F144" s="114">
        <v>0.34</v>
      </c>
      <c r="G144" s="114">
        <v>0.41</v>
      </c>
      <c r="H144" s="114">
        <v>0.57999999999999996</v>
      </c>
      <c r="I144" s="114">
        <v>0.61</v>
      </c>
      <c r="J144" s="114">
        <v>0.4</v>
      </c>
      <c r="K144" s="114">
        <v>0.31</v>
      </c>
      <c r="L144" s="114">
        <v>0.44</v>
      </c>
      <c r="M144" s="114">
        <v>1.51</v>
      </c>
      <c r="N144" s="114">
        <v>0.34</v>
      </c>
      <c r="O144" s="114">
        <f t="shared" ref="O144:O159" si="22">SUM(C144:N144)</f>
        <v>6.7399999999999993</v>
      </c>
    </row>
    <row r="145" spans="2:15" x14ac:dyDescent="0.2">
      <c r="B145" s="2" t="s">
        <v>143</v>
      </c>
      <c r="C145" s="114">
        <v>0.14000000000000001</v>
      </c>
      <c r="D145" s="114">
        <v>0.09</v>
      </c>
      <c r="E145" s="114">
        <v>0.28999999999999998</v>
      </c>
      <c r="F145" s="114">
        <v>0.21</v>
      </c>
      <c r="G145" s="114">
        <v>0.08</v>
      </c>
      <c r="H145" s="114">
        <v>0.22</v>
      </c>
      <c r="I145" s="114">
        <v>0.1</v>
      </c>
      <c r="J145" s="114">
        <v>0.11</v>
      </c>
      <c r="K145" s="114">
        <v>0.1</v>
      </c>
      <c r="L145" s="114">
        <v>0.12</v>
      </c>
      <c r="M145" s="114">
        <v>0.08</v>
      </c>
      <c r="N145" s="114">
        <v>0.02</v>
      </c>
      <c r="O145" s="114">
        <f t="shared" si="22"/>
        <v>1.5600000000000005</v>
      </c>
    </row>
    <row r="146" spans="2:15" x14ac:dyDescent="0.2">
      <c r="B146" s="2" t="s">
        <v>144</v>
      </c>
      <c r="C146" s="114">
        <v>0.05</v>
      </c>
      <c r="D146" s="114">
        <v>0.28000000000000003</v>
      </c>
      <c r="E146" s="114">
        <v>0.08</v>
      </c>
      <c r="F146" s="114">
        <v>0.08</v>
      </c>
      <c r="G146" s="114">
        <v>0.05</v>
      </c>
      <c r="H146" s="114">
        <v>7.0000000000000007E-2</v>
      </c>
      <c r="I146" s="114">
        <v>7.0000000000000007E-2</v>
      </c>
      <c r="J146" s="114">
        <v>0.06</v>
      </c>
      <c r="K146" s="114">
        <v>0.1</v>
      </c>
      <c r="L146" s="114">
        <v>0.06</v>
      </c>
      <c r="M146" s="114">
        <v>0.04</v>
      </c>
      <c r="N146" s="114">
        <v>0.06</v>
      </c>
      <c r="O146" s="114">
        <f t="shared" si="22"/>
        <v>1.0000000000000002</v>
      </c>
    </row>
    <row r="147" spans="2:15" x14ac:dyDescent="0.2">
      <c r="B147" s="2" t="s">
        <v>145</v>
      </c>
      <c r="C147" s="114">
        <v>1.18</v>
      </c>
      <c r="D147" s="114">
        <v>0.71</v>
      </c>
      <c r="E147" s="114">
        <v>1.1299999999999999</v>
      </c>
      <c r="F147" s="114">
        <v>0.87</v>
      </c>
      <c r="G147" s="114">
        <v>1.03</v>
      </c>
      <c r="H147" s="114">
        <v>0.92</v>
      </c>
      <c r="I147" s="114">
        <v>0.77</v>
      </c>
      <c r="J147" s="114">
        <v>1.31</v>
      </c>
      <c r="K147" s="114">
        <v>1.02</v>
      </c>
      <c r="L147" s="114">
        <v>1.23</v>
      </c>
      <c r="M147" s="114">
        <v>0.81</v>
      </c>
      <c r="N147" s="114">
        <v>0.79</v>
      </c>
      <c r="O147" s="114">
        <f t="shared" si="22"/>
        <v>11.77</v>
      </c>
    </row>
    <row r="148" spans="2:15" x14ac:dyDescent="0.2">
      <c r="B148" s="2" t="s">
        <v>146</v>
      </c>
      <c r="C148" s="114">
        <v>2.14</v>
      </c>
      <c r="D148" s="114">
        <v>1.65</v>
      </c>
      <c r="E148" s="114">
        <v>2.84</v>
      </c>
      <c r="F148" s="114">
        <v>1.69</v>
      </c>
      <c r="G148" s="114">
        <v>2.71</v>
      </c>
      <c r="H148" s="114">
        <v>2.2000000000000002</v>
      </c>
      <c r="I148" s="114">
        <v>2.2400000000000002</v>
      </c>
      <c r="J148" s="114">
        <v>2.48</v>
      </c>
      <c r="K148" s="114">
        <v>2.09</v>
      </c>
      <c r="L148" s="114">
        <v>2.86</v>
      </c>
      <c r="M148" s="114">
        <v>1.93</v>
      </c>
      <c r="N148" s="114">
        <v>1.65</v>
      </c>
      <c r="O148" s="114">
        <f t="shared" si="22"/>
        <v>26.479999999999997</v>
      </c>
    </row>
    <row r="149" spans="2:15" x14ac:dyDescent="0.2">
      <c r="B149" s="2" t="s">
        <v>147</v>
      </c>
      <c r="C149" s="114">
        <v>0</v>
      </c>
      <c r="D149" s="114">
        <v>0.01</v>
      </c>
      <c r="E149" s="114">
        <v>0</v>
      </c>
      <c r="F149" s="114">
        <v>0</v>
      </c>
      <c r="G149" s="114">
        <v>0</v>
      </c>
      <c r="H149" s="114">
        <v>0</v>
      </c>
      <c r="I149" s="114">
        <v>0.02</v>
      </c>
      <c r="J149" s="114">
        <v>0.02</v>
      </c>
      <c r="K149" s="114">
        <v>0.06</v>
      </c>
      <c r="L149" s="114">
        <v>0.05</v>
      </c>
      <c r="M149" s="114">
        <v>0.08</v>
      </c>
      <c r="N149" s="114">
        <v>0.01</v>
      </c>
      <c r="O149" s="114">
        <f t="shared" si="22"/>
        <v>0.25</v>
      </c>
    </row>
    <row r="150" spans="2:15" ht="28.5" x14ac:dyDescent="0.2">
      <c r="B150" s="182" t="s">
        <v>796</v>
      </c>
      <c r="C150" s="114">
        <v>0.2</v>
      </c>
      <c r="D150" s="114">
        <v>0.2</v>
      </c>
      <c r="E150" s="114">
        <v>0.11</v>
      </c>
      <c r="F150" s="114">
        <v>0.11</v>
      </c>
      <c r="G150" s="114">
        <v>0.27</v>
      </c>
      <c r="H150" s="114">
        <v>0.1</v>
      </c>
      <c r="I150" s="114">
        <v>0.17</v>
      </c>
      <c r="J150" s="114">
        <v>1.27</v>
      </c>
      <c r="K150" s="114">
        <v>0.33</v>
      </c>
      <c r="L150" s="114">
        <v>0.22</v>
      </c>
      <c r="M150" s="114">
        <v>0.31</v>
      </c>
      <c r="N150" s="114">
        <v>0.74</v>
      </c>
      <c r="O150" s="114">
        <f t="shared" si="22"/>
        <v>4.03</v>
      </c>
    </row>
    <row r="151" spans="2:15" ht="28.5" x14ac:dyDescent="0.2">
      <c r="B151" s="125" t="s">
        <v>798</v>
      </c>
      <c r="C151" s="114">
        <v>0</v>
      </c>
      <c r="D151" s="114">
        <v>0.01</v>
      </c>
      <c r="E151" s="114">
        <v>0</v>
      </c>
      <c r="F151" s="114">
        <v>0</v>
      </c>
      <c r="G151" s="114">
        <v>0</v>
      </c>
      <c r="H151" s="114">
        <v>0</v>
      </c>
      <c r="I151" s="114">
        <v>0</v>
      </c>
      <c r="J151" s="114">
        <v>0.01</v>
      </c>
      <c r="K151" s="114">
        <v>0</v>
      </c>
      <c r="L151" s="114">
        <v>0</v>
      </c>
      <c r="M151" s="114">
        <v>0</v>
      </c>
      <c r="N151" s="114">
        <v>0</v>
      </c>
      <c r="O151" s="114">
        <f t="shared" si="22"/>
        <v>0.02</v>
      </c>
    </row>
    <row r="152" spans="2:15" x14ac:dyDescent="0.2">
      <c r="B152" s="2" t="s">
        <v>804</v>
      </c>
      <c r="C152" s="114">
        <v>0</v>
      </c>
      <c r="D152" s="114">
        <v>0</v>
      </c>
      <c r="E152" s="114">
        <v>0.95</v>
      </c>
      <c r="F152" s="114">
        <v>0</v>
      </c>
      <c r="G152" s="114">
        <v>0</v>
      </c>
      <c r="H152" s="114">
        <v>0</v>
      </c>
      <c r="I152" s="114">
        <v>0</v>
      </c>
      <c r="J152" s="114">
        <v>0.02</v>
      </c>
      <c r="K152" s="114">
        <v>0</v>
      </c>
      <c r="L152" s="114">
        <v>0.89</v>
      </c>
      <c r="M152" s="114">
        <v>0</v>
      </c>
      <c r="N152" s="114">
        <v>0.37</v>
      </c>
      <c r="O152" s="114">
        <f t="shared" si="22"/>
        <v>2.23</v>
      </c>
    </row>
    <row r="153" spans="2:15" x14ac:dyDescent="0.2">
      <c r="B153" s="2" t="s">
        <v>816</v>
      </c>
      <c r="C153" s="114">
        <v>0</v>
      </c>
      <c r="D153" s="114">
        <v>0</v>
      </c>
      <c r="E153" s="114">
        <v>0</v>
      </c>
      <c r="F153" s="114">
        <v>0</v>
      </c>
      <c r="G153" s="114">
        <v>0.02</v>
      </c>
      <c r="H153" s="114">
        <v>0</v>
      </c>
      <c r="I153" s="114">
        <v>0</v>
      </c>
      <c r="J153" s="114">
        <v>0.02</v>
      </c>
      <c r="K153" s="114">
        <v>0</v>
      </c>
      <c r="L153" s="114">
        <v>0.3</v>
      </c>
      <c r="M153" s="114">
        <v>0</v>
      </c>
      <c r="N153" s="114">
        <v>0</v>
      </c>
      <c r="O153" s="114">
        <f t="shared" si="22"/>
        <v>0.33999999999999997</v>
      </c>
    </row>
    <row r="154" spans="2:15" x14ac:dyDescent="0.2">
      <c r="B154" s="2" t="s">
        <v>817</v>
      </c>
      <c r="C154" s="114">
        <v>0.04</v>
      </c>
      <c r="D154" s="114">
        <v>0.02</v>
      </c>
      <c r="E154" s="114">
        <v>0.02</v>
      </c>
      <c r="F154" s="114">
        <v>0.05</v>
      </c>
      <c r="G154" s="114">
        <v>0.01</v>
      </c>
      <c r="H154" s="114">
        <v>0.02</v>
      </c>
      <c r="I154" s="114">
        <v>0.02</v>
      </c>
      <c r="J154" s="114">
        <v>0.03</v>
      </c>
      <c r="K154" s="114">
        <v>0.03</v>
      </c>
      <c r="L154" s="114">
        <v>0.03</v>
      </c>
      <c r="M154" s="114">
        <v>0.03</v>
      </c>
      <c r="N154" s="114">
        <v>0.02</v>
      </c>
      <c r="O154" s="114">
        <f t="shared" si="22"/>
        <v>0.32000000000000006</v>
      </c>
    </row>
    <row r="155" spans="2:15" x14ac:dyDescent="0.2">
      <c r="B155" s="2" t="s">
        <v>802</v>
      </c>
      <c r="C155" s="114">
        <v>2.0099999999999998</v>
      </c>
      <c r="D155" s="114">
        <v>2</v>
      </c>
      <c r="E155" s="114">
        <v>2.61</v>
      </c>
      <c r="F155" s="114">
        <v>1.53</v>
      </c>
      <c r="G155" s="114">
        <v>1.43</v>
      </c>
      <c r="H155" s="114">
        <v>1.18</v>
      </c>
      <c r="I155" s="114">
        <v>1.28</v>
      </c>
      <c r="J155" s="114">
        <v>1.43</v>
      </c>
      <c r="K155" s="114">
        <v>0.95</v>
      </c>
      <c r="L155" s="114">
        <v>1.23</v>
      </c>
      <c r="M155" s="114">
        <v>1</v>
      </c>
      <c r="N155" s="114">
        <v>0.78</v>
      </c>
      <c r="O155" s="114">
        <f t="shared" si="22"/>
        <v>17.43</v>
      </c>
    </row>
    <row r="156" spans="2:15" x14ac:dyDescent="0.2">
      <c r="B156" s="2" t="s">
        <v>801</v>
      </c>
      <c r="C156" s="114">
        <v>0.14000000000000001</v>
      </c>
      <c r="D156" s="114">
        <v>0.15</v>
      </c>
      <c r="E156" s="114">
        <v>0.21</v>
      </c>
      <c r="F156" s="114">
        <v>0.11</v>
      </c>
      <c r="G156" s="114">
        <v>0.12</v>
      </c>
      <c r="H156" s="114">
        <v>0.16</v>
      </c>
      <c r="I156" s="114">
        <v>0.14000000000000001</v>
      </c>
      <c r="J156" s="114">
        <v>0.15</v>
      </c>
      <c r="K156" s="114">
        <v>0.25</v>
      </c>
      <c r="L156" s="114">
        <v>0.21</v>
      </c>
      <c r="M156" s="114">
        <v>0.2</v>
      </c>
      <c r="N156" s="114">
        <v>0.11</v>
      </c>
      <c r="O156" s="114">
        <f t="shared" si="22"/>
        <v>1.95</v>
      </c>
    </row>
    <row r="157" spans="2:15" x14ac:dyDescent="0.2">
      <c r="B157" s="2" t="s">
        <v>158</v>
      </c>
      <c r="C157" s="114">
        <v>0</v>
      </c>
      <c r="D157" s="114">
        <v>0.01</v>
      </c>
      <c r="E157" s="114">
        <v>0.01</v>
      </c>
      <c r="F157" s="114">
        <v>0</v>
      </c>
      <c r="G157" s="114">
        <v>0</v>
      </c>
      <c r="H157" s="114">
        <v>0</v>
      </c>
      <c r="I157" s="114">
        <v>0</v>
      </c>
      <c r="J157" s="114">
        <v>0.02</v>
      </c>
      <c r="K157" s="114">
        <v>0.04</v>
      </c>
      <c r="L157" s="114">
        <v>0</v>
      </c>
      <c r="M157" s="114">
        <v>0</v>
      </c>
      <c r="N157" s="114">
        <v>0.01</v>
      </c>
      <c r="O157" s="114">
        <f t="shared" si="22"/>
        <v>0.09</v>
      </c>
    </row>
    <row r="158" spans="2:15" x14ac:dyDescent="0.2">
      <c r="B158" s="2" t="s">
        <v>152</v>
      </c>
      <c r="C158" s="114">
        <v>0.26</v>
      </c>
      <c r="D158" s="114">
        <v>0.17</v>
      </c>
      <c r="E158" s="114">
        <v>0.02</v>
      </c>
      <c r="F158" s="114">
        <v>0</v>
      </c>
      <c r="G158" s="114">
        <v>0.01</v>
      </c>
      <c r="H158" s="114">
        <v>0.02</v>
      </c>
      <c r="I158" s="114">
        <v>7.0000000000000007E-2</v>
      </c>
      <c r="J158" s="114">
        <v>0</v>
      </c>
      <c r="K158" s="114">
        <v>0</v>
      </c>
      <c r="L158" s="114">
        <v>0.01</v>
      </c>
      <c r="M158" s="114">
        <v>0.15</v>
      </c>
      <c r="N158" s="114">
        <v>0.1</v>
      </c>
      <c r="O158" s="114">
        <f t="shared" si="22"/>
        <v>0.81</v>
      </c>
    </row>
    <row r="159" spans="2:15" x14ac:dyDescent="0.2">
      <c r="B159" s="2" t="s">
        <v>524</v>
      </c>
      <c r="C159" s="114">
        <v>0</v>
      </c>
      <c r="D159" s="114">
        <v>0</v>
      </c>
      <c r="E159" s="114">
        <v>0</v>
      </c>
      <c r="F159" s="114">
        <v>0</v>
      </c>
      <c r="G159" s="114">
        <v>0</v>
      </c>
      <c r="H159" s="114">
        <v>0</v>
      </c>
      <c r="I159" s="114">
        <v>0</v>
      </c>
      <c r="J159" s="114">
        <v>0.64</v>
      </c>
      <c r="K159" s="114">
        <v>1.08</v>
      </c>
      <c r="L159" s="114">
        <v>0.44</v>
      </c>
      <c r="M159" s="114">
        <v>0.41</v>
      </c>
      <c r="N159" s="114">
        <v>0.75</v>
      </c>
      <c r="O159" s="114">
        <f t="shared" si="22"/>
        <v>3.3200000000000003</v>
      </c>
    </row>
    <row r="160" spans="2:15" x14ac:dyDescent="0.2">
      <c r="C160" s="114"/>
      <c r="D160" s="114"/>
      <c r="E160" s="114"/>
      <c r="F160" s="114"/>
      <c r="G160" s="114"/>
      <c r="H160" s="114"/>
      <c r="I160" s="114"/>
      <c r="J160" s="114"/>
      <c r="K160" s="114"/>
      <c r="L160" s="114"/>
      <c r="M160" s="114"/>
      <c r="N160" s="114"/>
      <c r="O160" s="114"/>
    </row>
    <row r="161" spans="1:15" s="4" customFormat="1" ht="15" x14ac:dyDescent="0.25">
      <c r="A161" s="3" t="s">
        <v>159</v>
      </c>
      <c r="C161" s="19">
        <f t="shared" ref="C161:N161" si="23">SUM(C163:C164)</f>
        <v>1.03</v>
      </c>
      <c r="D161" s="19">
        <f t="shared" si="23"/>
        <v>1.0900000000000001</v>
      </c>
      <c r="E161" s="19">
        <f t="shared" si="23"/>
        <v>2.21</v>
      </c>
      <c r="F161" s="19">
        <f t="shared" si="23"/>
        <v>1.65</v>
      </c>
      <c r="G161" s="19">
        <f>SUM(G163:G164)</f>
        <v>1.87</v>
      </c>
      <c r="H161" s="19">
        <f t="shared" si="23"/>
        <v>0.5</v>
      </c>
      <c r="I161" s="19">
        <f t="shared" si="23"/>
        <v>0.54</v>
      </c>
      <c r="J161" s="19">
        <f t="shared" si="23"/>
        <v>0.46</v>
      </c>
      <c r="K161" s="19">
        <f t="shared" si="23"/>
        <v>0.33</v>
      </c>
      <c r="L161" s="19">
        <f t="shared" si="23"/>
        <v>0.54</v>
      </c>
      <c r="M161" s="19">
        <f t="shared" si="23"/>
        <v>0.51</v>
      </c>
      <c r="N161" s="19">
        <f t="shared" si="23"/>
        <v>0.52</v>
      </c>
      <c r="O161" s="19">
        <f>SUM(C161:N161)</f>
        <v>11.250000000000002</v>
      </c>
    </row>
    <row r="162" spans="1:15" x14ac:dyDescent="0.2">
      <c r="C162" s="114"/>
      <c r="D162" s="114"/>
      <c r="E162" s="114"/>
      <c r="F162" s="114"/>
      <c r="G162" s="114"/>
      <c r="H162" s="114"/>
      <c r="I162" s="114"/>
      <c r="J162" s="114"/>
      <c r="K162" s="114"/>
      <c r="L162" s="114"/>
      <c r="M162" s="114"/>
      <c r="N162" s="114"/>
      <c r="O162" s="114"/>
    </row>
    <row r="163" spans="1:15" x14ac:dyDescent="0.2">
      <c r="B163" s="2" t="s">
        <v>363</v>
      </c>
      <c r="C163" s="114">
        <v>1.02</v>
      </c>
      <c r="D163" s="114">
        <v>1.0900000000000001</v>
      </c>
      <c r="E163" s="114">
        <v>2.21</v>
      </c>
      <c r="F163" s="114">
        <v>1.65</v>
      </c>
      <c r="G163" s="114">
        <v>1.87</v>
      </c>
      <c r="H163" s="114">
        <v>0.5</v>
      </c>
      <c r="I163" s="114">
        <v>0.54</v>
      </c>
      <c r="J163" s="114">
        <v>0.46</v>
      </c>
      <c r="K163" s="114">
        <v>0.33</v>
      </c>
      <c r="L163" s="114">
        <v>0.52</v>
      </c>
      <c r="M163" s="114">
        <v>0.51</v>
      </c>
      <c r="N163" s="114">
        <v>0.52</v>
      </c>
      <c r="O163" s="114">
        <f>SUM(C163:N163)</f>
        <v>11.219999999999999</v>
      </c>
    </row>
    <row r="164" spans="1:15" x14ac:dyDescent="0.2">
      <c r="B164" s="2" t="s">
        <v>591</v>
      </c>
      <c r="C164" s="114">
        <v>0.01</v>
      </c>
      <c r="D164" s="114">
        <v>0</v>
      </c>
      <c r="E164" s="114">
        <v>0</v>
      </c>
      <c r="F164" s="114">
        <v>0</v>
      </c>
      <c r="G164" s="114">
        <v>0</v>
      </c>
      <c r="H164" s="114">
        <v>0</v>
      </c>
      <c r="I164" s="114">
        <v>0</v>
      </c>
      <c r="J164" s="114">
        <v>0</v>
      </c>
      <c r="K164" s="114">
        <v>0</v>
      </c>
      <c r="L164" s="114">
        <v>0.02</v>
      </c>
      <c r="M164" s="114">
        <v>0</v>
      </c>
      <c r="N164" s="114">
        <v>0</v>
      </c>
      <c r="O164" s="114">
        <f>SUM(C164:N164)</f>
        <v>0.03</v>
      </c>
    </row>
    <row r="165" spans="1:15" x14ac:dyDescent="0.2">
      <c r="C165" s="114"/>
      <c r="D165" s="114"/>
      <c r="E165" s="114"/>
      <c r="F165" s="114"/>
      <c r="G165" s="114"/>
      <c r="H165" s="114"/>
      <c r="I165" s="114"/>
      <c r="J165" s="114"/>
      <c r="K165" s="114"/>
      <c r="L165" s="114"/>
      <c r="M165" s="114"/>
      <c r="N165" s="114"/>
      <c r="O165" s="114"/>
    </row>
    <row r="166" spans="1:15" s="4" customFormat="1" ht="15" x14ac:dyDescent="0.25">
      <c r="A166" s="3" t="s">
        <v>161</v>
      </c>
      <c r="C166" s="19">
        <f t="shared" ref="C166:N166" si="24">SUM(C168:C170)</f>
        <v>5.51</v>
      </c>
      <c r="D166" s="19">
        <f t="shared" si="24"/>
        <v>2.2599999999999998</v>
      </c>
      <c r="E166" s="19">
        <f t="shared" si="24"/>
        <v>3.1100000000000003</v>
      </c>
      <c r="F166" s="19">
        <f t="shared" si="24"/>
        <v>2.25</v>
      </c>
      <c r="G166" s="19">
        <f>SUM(G168:G170)</f>
        <v>1.99</v>
      </c>
      <c r="H166" s="19">
        <f t="shared" si="24"/>
        <v>2.4899999999999998</v>
      </c>
      <c r="I166" s="19">
        <f t="shared" si="24"/>
        <v>1.76</v>
      </c>
      <c r="J166" s="19">
        <f t="shared" si="24"/>
        <v>2</v>
      </c>
      <c r="K166" s="19">
        <f t="shared" si="24"/>
        <v>1.52</v>
      </c>
      <c r="L166" s="19">
        <f t="shared" si="24"/>
        <v>2.2800000000000002</v>
      </c>
      <c r="M166" s="19">
        <f t="shared" si="24"/>
        <v>1.94</v>
      </c>
      <c r="N166" s="19">
        <f t="shared" si="24"/>
        <v>2.15</v>
      </c>
      <c r="O166" s="19">
        <f>SUM(C166:N166)</f>
        <v>29.26</v>
      </c>
    </row>
    <row r="167" spans="1:15" x14ac:dyDescent="0.2">
      <c r="C167" s="114"/>
      <c r="D167" s="114"/>
      <c r="E167" s="114"/>
      <c r="F167" s="114"/>
      <c r="G167" s="114"/>
      <c r="H167" s="114"/>
      <c r="I167" s="114"/>
      <c r="J167" s="114"/>
      <c r="K167" s="114"/>
      <c r="L167" s="114"/>
      <c r="M167" s="114"/>
      <c r="N167" s="114"/>
      <c r="O167" s="114"/>
    </row>
    <row r="168" spans="1:15" x14ac:dyDescent="0.2">
      <c r="B168" s="2" t="s">
        <v>365</v>
      </c>
      <c r="C168" s="114">
        <v>0.05</v>
      </c>
      <c r="D168" s="114">
        <v>0</v>
      </c>
      <c r="E168" s="114">
        <v>0</v>
      </c>
      <c r="F168" s="114">
        <v>0</v>
      </c>
      <c r="G168" s="114">
        <v>0</v>
      </c>
      <c r="H168" s="114">
        <v>0.01</v>
      </c>
      <c r="I168" s="114">
        <v>0.01</v>
      </c>
      <c r="J168" s="114">
        <v>0</v>
      </c>
      <c r="K168" s="114">
        <v>0</v>
      </c>
      <c r="L168" s="114">
        <v>0</v>
      </c>
      <c r="M168" s="114">
        <v>0.01</v>
      </c>
      <c r="N168" s="114">
        <v>0</v>
      </c>
      <c r="O168" s="114">
        <f>SUM(C168:N168)</f>
        <v>0.08</v>
      </c>
    </row>
    <row r="169" spans="1:15" x14ac:dyDescent="0.2">
      <c r="B169" s="2" t="s">
        <v>366</v>
      </c>
      <c r="C169" s="114">
        <v>4.84</v>
      </c>
      <c r="D169" s="114">
        <v>1.71</v>
      </c>
      <c r="E169" s="114">
        <v>2.72</v>
      </c>
      <c r="F169" s="114">
        <v>2.08</v>
      </c>
      <c r="G169" s="114">
        <v>1.8</v>
      </c>
      <c r="H169" s="114">
        <v>2.15</v>
      </c>
      <c r="I169" s="114">
        <v>1.57</v>
      </c>
      <c r="J169" s="114">
        <v>1.82</v>
      </c>
      <c r="K169" s="114">
        <v>1.35</v>
      </c>
      <c r="L169" s="114">
        <v>1.51</v>
      </c>
      <c r="M169" s="114">
        <v>1.73</v>
      </c>
      <c r="N169" s="114">
        <v>2</v>
      </c>
      <c r="O169" s="114">
        <f>SUM(C169:N169)</f>
        <v>25.280000000000005</v>
      </c>
    </row>
    <row r="170" spans="1:15" x14ac:dyDescent="0.2">
      <c r="B170" s="2" t="s">
        <v>364</v>
      </c>
      <c r="C170" s="114">
        <v>0.62</v>
      </c>
      <c r="D170" s="114">
        <v>0.55000000000000004</v>
      </c>
      <c r="E170" s="114">
        <v>0.39</v>
      </c>
      <c r="F170" s="114">
        <v>0.17</v>
      </c>
      <c r="G170" s="114">
        <v>0.19</v>
      </c>
      <c r="H170" s="114">
        <v>0.33</v>
      </c>
      <c r="I170" s="114">
        <v>0.18</v>
      </c>
      <c r="J170" s="114">
        <v>0.18</v>
      </c>
      <c r="K170" s="114">
        <v>0.17</v>
      </c>
      <c r="L170" s="114">
        <v>0.77</v>
      </c>
      <c r="M170" s="114">
        <v>0.2</v>
      </c>
      <c r="N170" s="114">
        <v>0.15</v>
      </c>
      <c r="O170" s="114">
        <f>SUM(C170:N170)</f>
        <v>3.9000000000000004</v>
      </c>
    </row>
    <row r="171" spans="1:15" x14ac:dyDescent="0.2">
      <c r="C171" s="114"/>
      <c r="D171" s="114"/>
      <c r="E171" s="114"/>
      <c r="F171" s="114"/>
      <c r="G171" s="114"/>
      <c r="H171" s="114"/>
      <c r="I171" s="114"/>
      <c r="J171" s="114"/>
      <c r="K171" s="114"/>
      <c r="L171" s="114"/>
      <c r="M171" s="114"/>
      <c r="N171" s="114"/>
      <c r="O171" s="114"/>
    </row>
    <row r="172" spans="1:15" s="4" customFormat="1" ht="15" x14ac:dyDescent="0.25">
      <c r="A172" s="3" t="s">
        <v>166</v>
      </c>
      <c r="C172" s="19">
        <f t="shared" ref="C172:N172" si="25">SUM(C174:C180)</f>
        <v>23.090000000000003</v>
      </c>
      <c r="D172" s="19">
        <f t="shared" si="25"/>
        <v>23.610000000000007</v>
      </c>
      <c r="E172" s="19">
        <f t="shared" si="25"/>
        <v>28.630000000000003</v>
      </c>
      <c r="F172" s="19">
        <f t="shared" si="25"/>
        <v>14.77</v>
      </c>
      <c r="G172" s="19">
        <f t="shared" si="25"/>
        <v>21.12</v>
      </c>
      <c r="H172" s="19">
        <f t="shared" si="25"/>
        <v>17.690000000000001</v>
      </c>
      <c r="I172" s="19">
        <f t="shared" si="25"/>
        <v>17.41</v>
      </c>
      <c r="J172" s="19">
        <f t="shared" si="25"/>
        <v>19.920000000000002</v>
      </c>
      <c r="K172" s="19">
        <f t="shared" si="25"/>
        <v>17.820000000000004</v>
      </c>
      <c r="L172" s="19">
        <f t="shared" si="25"/>
        <v>20.16</v>
      </c>
      <c r="M172" s="19">
        <f t="shared" si="25"/>
        <v>15.540000000000001</v>
      </c>
      <c r="N172" s="19">
        <f t="shared" si="25"/>
        <v>16.64</v>
      </c>
      <c r="O172" s="19">
        <f>SUM(C172:N172)</f>
        <v>236.39999999999998</v>
      </c>
    </row>
    <row r="173" spans="1:15" x14ac:dyDescent="0.2">
      <c r="C173" s="114"/>
      <c r="D173" s="114"/>
      <c r="E173" s="114"/>
      <c r="F173" s="114"/>
      <c r="G173" s="114"/>
      <c r="H173" s="114"/>
      <c r="I173" s="114"/>
      <c r="J173" s="114"/>
      <c r="K173" s="114"/>
      <c r="L173" s="114"/>
      <c r="M173" s="114"/>
      <c r="N173" s="114"/>
      <c r="O173" s="114"/>
    </row>
    <row r="174" spans="1:15" x14ac:dyDescent="0.2">
      <c r="B174" s="2" t="s">
        <v>368</v>
      </c>
      <c r="C174" s="114">
        <v>2.4900000000000002</v>
      </c>
      <c r="D174" s="114">
        <v>2.13</v>
      </c>
      <c r="E174" s="114">
        <v>3.34</v>
      </c>
      <c r="F174" s="114">
        <v>2.2799999999999998</v>
      </c>
      <c r="G174" s="114">
        <v>5.85</v>
      </c>
      <c r="H174" s="114">
        <v>2.36</v>
      </c>
      <c r="I174" s="114">
        <v>2.9</v>
      </c>
      <c r="J174" s="114">
        <v>3.92</v>
      </c>
      <c r="K174" s="114">
        <v>4.28</v>
      </c>
      <c r="L174" s="114">
        <v>5.57</v>
      </c>
      <c r="M174" s="114">
        <v>3.55</v>
      </c>
      <c r="N174" s="114">
        <v>5.77</v>
      </c>
      <c r="O174" s="114">
        <f t="shared" ref="O174:O180" si="26">SUM(C174:N174)</f>
        <v>44.44</v>
      </c>
    </row>
    <row r="175" spans="1:15" x14ac:dyDescent="0.2">
      <c r="B175" s="2" t="s">
        <v>369</v>
      </c>
      <c r="C175" s="114">
        <v>0.18</v>
      </c>
      <c r="D175" s="114">
        <v>0.13</v>
      </c>
      <c r="E175" s="114">
        <v>0.09</v>
      </c>
      <c r="F175" s="114">
        <v>0.04</v>
      </c>
      <c r="G175" s="114">
        <v>0.06</v>
      </c>
      <c r="H175" s="114">
        <v>0.06</v>
      </c>
      <c r="I175" s="114">
        <v>7.0000000000000007E-2</v>
      </c>
      <c r="J175" s="114">
        <v>0.05</v>
      </c>
      <c r="K175" s="114">
        <v>0.03</v>
      </c>
      <c r="L175" s="114">
        <v>0.06</v>
      </c>
      <c r="M175" s="114">
        <v>0.03</v>
      </c>
      <c r="N175" s="114">
        <v>0.04</v>
      </c>
      <c r="O175" s="114">
        <f t="shared" si="26"/>
        <v>0.8400000000000003</v>
      </c>
    </row>
    <row r="176" spans="1:15" x14ac:dyDescent="0.2">
      <c r="B176" s="2" t="s">
        <v>370</v>
      </c>
      <c r="C176" s="114">
        <v>0</v>
      </c>
      <c r="D176" s="114">
        <v>0</v>
      </c>
      <c r="E176" s="114">
        <v>0</v>
      </c>
      <c r="F176" s="114">
        <v>0</v>
      </c>
      <c r="G176" s="114">
        <v>0</v>
      </c>
      <c r="H176" s="114">
        <v>0.18</v>
      </c>
      <c r="I176" s="114">
        <v>0</v>
      </c>
      <c r="J176" s="114">
        <v>0</v>
      </c>
      <c r="K176" s="114">
        <v>0</v>
      </c>
      <c r="L176" s="114">
        <v>0</v>
      </c>
      <c r="M176" s="114">
        <v>0</v>
      </c>
      <c r="N176" s="114">
        <v>0</v>
      </c>
      <c r="O176" s="114">
        <f t="shared" si="26"/>
        <v>0.18</v>
      </c>
    </row>
    <row r="177" spans="1:15" x14ac:dyDescent="0.2">
      <c r="B177" s="2" t="s">
        <v>367</v>
      </c>
      <c r="C177" s="114">
        <v>19.04</v>
      </c>
      <c r="D177" s="114">
        <v>18.62</v>
      </c>
      <c r="E177" s="114">
        <v>23.33</v>
      </c>
      <c r="F177" s="114">
        <v>11.76</v>
      </c>
      <c r="G177" s="114">
        <v>13.65</v>
      </c>
      <c r="H177" s="114">
        <v>13.49</v>
      </c>
      <c r="I177" s="114">
        <v>12.62</v>
      </c>
      <c r="J177" s="114">
        <v>14.06</v>
      </c>
      <c r="K177" s="114">
        <v>11.93</v>
      </c>
      <c r="L177" s="114">
        <v>12.88</v>
      </c>
      <c r="M177" s="114">
        <v>10.55</v>
      </c>
      <c r="N177" s="114">
        <v>8.75</v>
      </c>
      <c r="O177" s="114">
        <f t="shared" si="26"/>
        <v>170.68</v>
      </c>
    </row>
    <row r="178" spans="1:15" x14ac:dyDescent="0.2">
      <c r="B178" s="2" t="s">
        <v>596</v>
      </c>
      <c r="C178" s="114">
        <v>0.01</v>
      </c>
      <c r="D178" s="114">
        <v>0.01</v>
      </c>
      <c r="E178" s="114">
        <v>0.01</v>
      </c>
      <c r="F178" s="114">
        <v>0.01</v>
      </c>
      <c r="G178" s="114">
        <v>0.01</v>
      </c>
      <c r="H178" s="114">
        <v>0.01</v>
      </c>
      <c r="I178" s="114">
        <v>0.01</v>
      </c>
      <c r="J178" s="114">
        <v>0.01</v>
      </c>
      <c r="K178" s="114">
        <v>0.01</v>
      </c>
      <c r="L178" s="114">
        <v>0</v>
      </c>
      <c r="M178" s="114">
        <v>0</v>
      </c>
      <c r="N178" s="114">
        <v>0</v>
      </c>
      <c r="O178" s="114">
        <f t="shared" si="26"/>
        <v>0.09</v>
      </c>
    </row>
    <row r="179" spans="1:15" x14ac:dyDescent="0.2">
      <c r="B179" s="2" t="s">
        <v>372</v>
      </c>
      <c r="C179" s="114">
        <v>1.33</v>
      </c>
      <c r="D179" s="114">
        <v>2.71</v>
      </c>
      <c r="E179" s="114">
        <v>1.85</v>
      </c>
      <c r="F179" s="114">
        <v>0.67</v>
      </c>
      <c r="G179" s="114">
        <v>1.54</v>
      </c>
      <c r="H179" s="114">
        <v>1.59</v>
      </c>
      <c r="I179" s="114">
        <v>1.79</v>
      </c>
      <c r="J179" s="114">
        <v>1.57</v>
      </c>
      <c r="K179" s="114">
        <v>1.55</v>
      </c>
      <c r="L179" s="114">
        <v>1.63</v>
      </c>
      <c r="M179" s="114">
        <v>1.4</v>
      </c>
      <c r="N179" s="114">
        <v>2.08</v>
      </c>
      <c r="O179" s="114">
        <f t="shared" si="26"/>
        <v>19.71</v>
      </c>
    </row>
    <row r="180" spans="1:15" x14ac:dyDescent="0.2">
      <c r="B180" s="2" t="s">
        <v>806</v>
      </c>
      <c r="C180" s="114">
        <v>0.04</v>
      </c>
      <c r="D180" s="114">
        <v>0.01</v>
      </c>
      <c r="E180" s="114">
        <v>0.01</v>
      </c>
      <c r="F180" s="114">
        <v>0.01</v>
      </c>
      <c r="G180" s="114">
        <v>0.01</v>
      </c>
      <c r="H180" s="114">
        <v>0</v>
      </c>
      <c r="I180" s="114">
        <v>0.02</v>
      </c>
      <c r="J180" s="114">
        <v>0.31</v>
      </c>
      <c r="K180" s="114">
        <v>0.02</v>
      </c>
      <c r="L180" s="114">
        <v>0.02</v>
      </c>
      <c r="M180" s="114">
        <v>0.01</v>
      </c>
      <c r="N180" s="114">
        <v>0</v>
      </c>
      <c r="O180" s="114">
        <f t="shared" si="26"/>
        <v>0.46000000000000008</v>
      </c>
    </row>
    <row r="181" spans="1:15" x14ac:dyDescent="0.2">
      <c r="C181" s="114"/>
      <c r="D181" s="114"/>
      <c r="E181" s="114"/>
      <c r="F181" s="114"/>
      <c r="G181" s="114"/>
      <c r="H181" s="114"/>
      <c r="I181" s="114"/>
      <c r="J181" s="114"/>
      <c r="K181" s="114"/>
      <c r="L181" s="114"/>
      <c r="M181" s="114"/>
      <c r="N181" s="114"/>
      <c r="O181" s="114"/>
    </row>
    <row r="182" spans="1:15" s="4" customFormat="1" ht="15" x14ac:dyDescent="0.25">
      <c r="A182" s="3" t="s">
        <v>174</v>
      </c>
      <c r="C182" s="19">
        <f>SUM(C184:C191)</f>
        <v>530.66999999999996</v>
      </c>
      <c r="D182" s="19">
        <f t="shared" ref="D182:O182" si="27">SUM(D184:D191)</f>
        <v>418.51</v>
      </c>
      <c r="E182" s="19">
        <f t="shared" si="27"/>
        <v>700.63000000000011</v>
      </c>
      <c r="F182" s="19">
        <f t="shared" si="27"/>
        <v>330.55000000000007</v>
      </c>
      <c r="G182" s="19">
        <f>SUM(G184:G191)</f>
        <v>451.55999999999995</v>
      </c>
      <c r="H182" s="19">
        <f t="shared" si="27"/>
        <v>393.21</v>
      </c>
      <c r="I182" s="19">
        <f t="shared" si="27"/>
        <v>346.39</v>
      </c>
      <c r="J182" s="19">
        <f t="shared" si="27"/>
        <v>407.04999999999995</v>
      </c>
      <c r="K182" s="19">
        <f t="shared" si="27"/>
        <v>339.75</v>
      </c>
      <c r="L182" s="19">
        <f t="shared" si="27"/>
        <v>488.78000000000003</v>
      </c>
      <c r="M182" s="19">
        <f t="shared" si="27"/>
        <v>382.32</v>
      </c>
      <c r="N182" s="19">
        <f t="shared" si="27"/>
        <v>240.98000000000002</v>
      </c>
      <c r="O182" s="19">
        <f t="shared" si="27"/>
        <v>5030.3999999999996</v>
      </c>
    </row>
    <row r="183" spans="1:15" x14ac:dyDescent="0.2">
      <c r="C183" s="114"/>
      <c r="D183" s="114"/>
      <c r="E183" s="114"/>
      <c r="F183" s="114"/>
      <c r="G183" s="114"/>
      <c r="H183" s="114"/>
      <c r="I183" s="114"/>
      <c r="J183" s="114"/>
      <c r="K183" s="114"/>
      <c r="L183" s="114"/>
      <c r="M183" s="114"/>
      <c r="N183" s="114"/>
      <c r="O183" s="114"/>
    </row>
    <row r="184" spans="1:15" x14ac:dyDescent="0.2">
      <c r="B184" s="2" t="s">
        <v>377</v>
      </c>
      <c r="C184" s="114">
        <v>270.22000000000003</v>
      </c>
      <c r="D184" s="114">
        <v>168.85</v>
      </c>
      <c r="E184" s="114">
        <v>386.4</v>
      </c>
      <c r="F184" s="114">
        <v>122.66</v>
      </c>
      <c r="G184" s="114">
        <v>211.93</v>
      </c>
      <c r="H184" s="114">
        <v>156.63</v>
      </c>
      <c r="I184" s="114">
        <v>135.81</v>
      </c>
      <c r="J184" s="114">
        <v>178.67</v>
      </c>
      <c r="K184" s="114">
        <v>144.22999999999999</v>
      </c>
      <c r="L184" s="114">
        <v>243.08</v>
      </c>
      <c r="M184" s="114">
        <v>199.06</v>
      </c>
      <c r="N184" s="114">
        <v>89.85</v>
      </c>
      <c r="O184" s="114">
        <f t="shared" ref="O184:O191" si="28">SUM(C184:N184)</f>
        <v>2307.39</v>
      </c>
    </row>
    <row r="185" spans="1:15" x14ac:dyDescent="0.2">
      <c r="B185" s="2" t="s">
        <v>602</v>
      </c>
      <c r="C185" s="114">
        <v>1.0900000000000001</v>
      </c>
      <c r="D185" s="114">
        <v>1.32</v>
      </c>
      <c r="E185" s="114">
        <v>1.6</v>
      </c>
      <c r="F185" s="114">
        <v>1.58</v>
      </c>
      <c r="G185" s="114">
        <v>2.23</v>
      </c>
      <c r="H185" s="114">
        <v>2.64</v>
      </c>
      <c r="I185" s="114">
        <v>1.01</v>
      </c>
      <c r="J185" s="114">
        <v>1.58</v>
      </c>
      <c r="K185" s="114">
        <v>2.09</v>
      </c>
      <c r="L185" s="114">
        <v>1.0900000000000001</v>
      </c>
      <c r="M185" s="114">
        <v>1.04</v>
      </c>
      <c r="N185" s="114">
        <v>1.71</v>
      </c>
      <c r="O185" s="114">
        <f t="shared" si="28"/>
        <v>18.98</v>
      </c>
    </row>
    <row r="186" spans="1:15" x14ac:dyDescent="0.2">
      <c r="B186" s="2" t="s">
        <v>374</v>
      </c>
      <c r="C186" s="114">
        <v>9.33</v>
      </c>
      <c r="D186" s="114">
        <v>6.29</v>
      </c>
      <c r="E186" s="114">
        <v>8.23</v>
      </c>
      <c r="F186" s="114">
        <v>6.89</v>
      </c>
      <c r="G186" s="114">
        <v>9.89</v>
      </c>
      <c r="H186" s="114">
        <v>6.25</v>
      </c>
      <c r="I186" s="114">
        <v>5.19</v>
      </c>
      <c r="J186" s="114">
        <v>6.24</v>
      </c>
      <c r="K186" s="114">
        <v>6.25</v>
      </c>
      <c r="L186" s="114">
        <v>12.39</v>
      </c>
      <c r="M186" s="114">
        <v>5.79</v>
      </c>
      <c r="N186" s="114">
        <v>3.5</v>
      </c>
      <c r="O186" s="114">
        <f t="shared" si="28"/>
        <v>86.240000000000009</v>
      </c>
    </row>
    <row r="187" spans="1:15" x14ac:dyDescent="0.2">
      <c r="B187" s="2" t="s">
        <v>815</v>
      </c>
      <c r="C187" s="114">
        <v>26.48</v>
      </c>
      <c r="D187" s="114">
        <v>27.17</v>
      </c>
      <c r="E187" s="114">
        <v>34.79</v>
      </c>
      <c r="F187" s="114">
        <v>20.309999999999999</v>
      </c>
      <c r="G187" s="114">
        <v>23.36</v>
      </c>
      <c r="H187" s="114">
        <v>24.33</v>
      </c>
      <c r="I187" s="114">
        <v>25.76</v>
      </c>
      <c r="J187" s="114">
        <v>26.26</v>
      </c>
      <c r="K187" s="114">
        <v>23.83</v>
      </c>
      <c r="L187" s="114">
        <v>23.48</v>
      </c>
      <c r="M187" s="114">
        <v>24.67</v>
      </c>
      <c r="N187" s="114">
        <v>14.22</v>
      </c>
      <c r="O187" s="114">
        <f t="shared" si="28"/>
        <v>294.65999999999997</v>
      </c>
    </row>
    <row r="188" spans="1:15" x14ac:dyDescent="0.2">
      <c r="B188" s="2" t="s">
        <v>808</v>
      </c>
      <c r="C188" s="114">
        <v>40.119999999999997</v>
      </c>
      <c r="D188" s="114">
        <v>47.37</v>
      </c>
      <c r="E188" s="114">
        <v>54.5</v>
      </c>
      <c r="F188" s="114">
        <v>39.42</v>
      </c>
      <c r="G188" s="114">
        <v>49.95</v>
      </c>
      <c r="H188" s="114">
        <v>54.26</v>
      </c>
      <c r="I188" s="114">
        <v>49.6</v>
      </c>
      <c r="J188" s="114">
        <v>49.14</v>
      </c>
      <c r="K188" s="114">
        <v>46.3</v>
      </c>
      <c r="L188" s="114">
        <v>72.27</v>
      </c>
      <c r="M188" s="114">
        <v>34.94</v>
      </c>
      <c r="N188" s="114">
        <v>26.19</v>
      </c>
      <c r="O188" s="114">
        <f t="shared" si="28"/>
        <v>564.06000000000006</v>
      </c>
    </row>
    <row r="189" spans="1:15" x14ac:dyDescent="0.2">
      <c r="B189" s="2" t="s">
        <v>376</v>
      </c>
      <c r="C189" s="114">
        <v>165.67</v>
      </c>
      <c r="D189" s="114">
        <v>152.15</v>
      </c>
      <c r="E189" s="114">
        <v>193.13</v>
      </c>
      <c r="F189" s="114">
        <v>124.47</v>
      </c>
      <c r="G189" s="114">
        <v>137.41999999999999</v>
      </c>
      <c r="H189" s="114">
        <v>131.4</v>
      </c>
      <c r="I189" s="114">
        <v>112.66</v>
      </c>
      <c r="J189" s="114">
        <v>125.14</v>
      </c>
      <c r="K189" s="114">
        <v>101.99</v>
      </c>
      <c r="L189" s="114">
        <v>111.53</v>
      </c>
      <c r="M189" s="114">
        <v>101.73</v>
      </c>
      <c r="N189" s="114">
        <v>89.96</v>
      </c>
      <c r="O189" s="114">
        <f t="shared" si="28"/>
        <v>1547.25</v>
      </c>
    </row>
    <row r="190" spans="1:15" x14ac:dyDescent="0.2">
      <c r="B190" s="2" t="s">
        <v>378</v>
      </c>
      <c r="C190" s="114">
        <v>17.760000000000002</v>
      </c>
      <c r="D190" s="114">
        <v>15.36</v>
      </c>
      <c r="E190" s="114">
        <v>21.98</v>
      </c>
      <c r="F190" s="114">
        <v>15.22</v>
      </c>
      <c r="G190" s="114">
        <v>16.77</v>
      </c>
      <c r="H190" s="114">
        <v>17.68</v>
      </c>
      <c r="I190" s="114">
        <v>16.36</v>
      </c>
      <c r="J190" s="114">
        <v>20.02</v>
      </c>
      <c r="K190" s="114">
        <v>15.06</v>
      </c>
      <c r="L190" s="114">
        <v>24.94</v>
      </c>
      <c r="M190" s="114">
        <v>15.09</v>
      </c>
      <c r="N190" s="114">
        <v>15.55</v>
      </c>
      <c r="O190" s="114">
        <f t="shared" si="28"/>
        <v>211.79000000000002</v>
      </c>
    </row>
    <row r="191" spans="1:15" x14ac:dyDescent="0.2">
      <c r="B191" s="2" t="s">
        <v>379</v>
      </c>
      <c r="C191" s="114">
        <v>0</v>
      </c>
      <c r="D191" s="114">
        <v>0</v>
      </c>
      <c r="E191" s="114">
        <v>0</v>
      </c>
      <c r="F191" s="114">
        <v>0</v>
      </c>
      <c r="G191" s="114">
        <v>0.01</v>
      </c>
      <c r="H191" s="114">
        <v>0.02</v>
      </c>
      <c r="I191" s="114">
        <v>0</v>
      </c>
      <c r="J191" s="114">
        <v>0</v>
      </c>
      <c r="K191" s="114">
        <v>0</v>
      </c>
      <c r="L191" s="114">
        <v>0</v>
      </c>
      <c r="M191" s="114">
        <v>0</v>
      </c>
      <c r="N191" s="114">
        <v>0</v>
      </c>
      <c r="O191" s="114">
        <f t="shared" si="28"/>
        <v>0.03</v>
      </c>
    </row>
    <row r="192" spans="1:15" x14ac:dyDescent="0.2">
      <c r="C192" s="114"/>
      <c r="D192" s="114"/>
      <c r="E192" s="114"/>
      <c r="F192" s="114"/>
      <c r="G192" s="114"/>
      <c r="H192" s="114"/>
      <c r="I192" s="114"/>
      <c r="J192" s="114"/>
      <c r="K192" s="114"/>
      <c r="L192" s="114"/>
      <c r="M192" s="114"/>
      <c r="N192" s="114"/>
      <c r="O192" s="114"/>
    </row>
    <row r="193" spans="1:15" s="4" customFormat="1" ht="15" x14ac:dyDescent="0.25">
      <c r="A193" s="3" t="s">
        <v>182</v>
      </c>
      <c r="C193" s="19">
        <f>SUM(C195:C209)</f>
        <v>58.589999999999996</v>
      </c>
      <c r="D193" s="19">
        <f t="shared" ref="D193:O193" si="29">SUM(D195:D209)</f>
        <v>4.8099999999999987</v>
      </c>
      <c r="E193" s="19">
        <f t="shared" si="29"/>
        <v>4.7699999999999996</v>
      </c>
      <c r="F193" s="19">
        <f t="shared" si="29"/>
        <v>3.8599999999999994</v>
      </c>
      <c r="G193" s="19">
        <f>SUM(G195:G209)</f>
        <v>38.15</v>
      </c>
      <c r="H193" s="19">
        <f t="shared" si="29"/>
        <v>13.830000000000002</v>
      </c>
      <c r="I193" s="19">
        <f t="shared" si="29"/>
        <v>9.6</v>
      </c>
      <c r="J193" s="19">
        <f t="shared" si="29"/>
        <v>32.070000000000007</v>
      </c>
      <c r="K193" s="19">
        <f t="shared" si="29"/>
        <v>109.85</v>
      </c>
      <c r="L193" s="19">
        <f t="shared" si="29"/>
        <v>11.2</v>
      </c>
      <c r="M193" s="19">
        <f t="shared" si="29"/>
        <v>54.49</v>
      </c>
      <c r="N193" s="19">
        <f t="shared" si="29"/>
        <v>21.240000000000006</v>
      </c>
      <c r="O193" s="19">
        <f t="shared" si="29"/>
        <v>362.45999999999992</v>
      </c>
    </row>
    <row r="194" spans="1:15" ht="15" x14ac:dyDescent="0.25">
      <c r="A194" s="1"/>
      <c r="C194" s="175"/>
      <c r="D194" s="175"/>
      <c r="E194" s="175"/>
      <c r="F194" s="175"/>
      <c r="G194" s="175"/>
      <c r="H194" s="175"/>
      <c r="I194" s="175"/>
      <c r="J194" s="175"/>
      <c r="K194" s="175"/>
      <c r="L194" s="175"/>
      <c r="M194" s="175"/>
      <c r="N194" s="175"/>
      <c r="O194" s="175"/>
    </row>
    <row r="195" spans="1:15" x14ac:dyDescent="0.2">
      <c r="B195" s="2" t="s">
        <v>383</v>
      </c>
      <c r="C195" s="114">
        <v>55.82</v>
      </c>
      <c r="D195" s="114">
        <v>1.84</v>
      </c>
      <c r="E195" s="114">
        <v>2.21</v>
      </c>
      <c r="F195" s="114">
        <v>1.56</v>
      </c>
      <c r="G195" s="114">
        <v>36</v>
      </c>
      <c r="H195" s="114">
        <v>9.2200000000000006</v>
      </c>
      <c r="I195" s="114">
        <v>5.22</v>
      </c>
      <c r="J195" s="114">
        <v>27.94</v>
      </c>
      <c r="K195" s="114">
        <v>105.66</v>
      </c>
      <c r="L195" s="114">
        <v>6.61</v>
      </c>
      <c r="M195" s="114">
        <v>51.01</v>
      </c>
      <c r="N195" s="114">
        <v>19.010000000000002</v>
      </c>
      <c r="O195" s="114">
        <f t="shared" ref="O195:O209" si="30">SUM(C195:N195)</f>
        <v>322.10000000000002</v>
      </c>
    </row>
    <row r="196" spans="1:15" x14ac:dyDescent="0.2">
      <c r="B196" s="2" t="s">
        <v>385</v>
      </c>
      <c r="C196" s="114">
        <v>0</v>
      </c>
      <c r="D196" s="114">
        <v>0</v>
      </c>
      <c r="E196" s="114">
        <v>0.01</v>
      </c>
      <c r="F196" s="114">
        <v>0</v>
      </c>
      <c r="G196" s="114">
        <v>0</v>
      </c>
      <c r="H196" s="114">
        <v>0</v>
      </c>
      <c r="I196" s="114">
        <v>0.01</v>
      </c>
      <c r="J196" s="114">
        <v>0</v>
      </c>
      <c r="K196" s="114">
        <v>0.01</v>
      </c>
      <c r="L196" s="114">
        <v>0</v>
      </c>
      <c r="M196" s="114">
        <v>0.02</v>
      </c>
      <c r="N196" s="114">
        <v>0</v>
      </c>
      <c r="O196" s="114">
        <f t="shared" si="30"/>
        <v>0.05</v>
      </c>
    </row>
    <row r="197" spans="1:15" x14ac:dyDescent="0.2">
      <c r="B197" s="2" t="s">
        <v>388</v>
      </c>
      <c r="C197" s="114">
        <v>1.66</v>
      </c>
      <c r="D197" s="114">
        <v>1.61</v>
      </c>
      <c r="E197" s="114">
        <v>1.51</v>
      </c>
      <c r="F197" s="114">
        <v>1.62</v>
      </c>
      <c r="G197" s="114">
        <v>1.56</v>
      </c>
      <c r="H197" s="114">
        <v>3.04</v>
      </c>
      <c r="I197" s="114">
        <v>2.96</v>
      </c>
      <c r="J197" s="114">
        <v>3.1</v>
      </c>
      <c r="K197" s="114">
        <v>3.22</v>
      </c>
      <c r="L197" s="114">
        <v>2.87</v>
      </c>
      <c r="M197" s="114">
        <v>2.23</v>
      </c>
      <c r="N197" s="114">
        <v>1.62</v>
      </c>
      <c r="O197" s="114">
        <f t="shared" si="30"/>
        <v>27.000000000000004</v>
      </c>
    </row>
    <row r="198" spans="1:15" x14ac:dyDescent="0.2">
      <c r="B198" s="2" t="s">
        <v>409</v>
      </c>
      <c r="C198" s="123">
        <v>0.03</v>
      </c>
      <c r="D198" s="123">
        <v>0</v>
      </c>
      <c r="E198" s="123">
        <v>0.01</v>
      </c>
      <c r="F198" s="123">
        <v>0</v>
      </c>
      <c r="G198" s="123">
        <v>0</v>
      </c>
      <c r="H198" s="123">
        <v>0</v>
      </c>
      <c r="I198" s="123">
        <v>0</v>
      </c>
      <c r="J198" s="123">
        <v>0</v>
      </c>
      <c r="K198" s="123">
        <v>0</v>
      </c>
      <c r="L198" s="123">
        <v>0</v>
      </c>
      <c r="M198" s="123">
        <v>0</v>
      </c>
      <c r="N198" s="123">
        <v>0.01</v>
      </c>
      <c r="O198" s="114">
        <f t="shared" si="30"/>
        <v>0.05</v>
      </c>
    </row>
    <row r="199" spans="1:15" x14ac:dyDescent="0.2">
      <c r="B199" s="2" t="s">
        <v>403</v>
      </c>
      <c r="C199" s="123">
        <v>0</v>
      </c>
      <c r="D199" s="123">
        <v>0</v>
      </c>
      <c r="E199" s="123">
        <v>0.02</v>
      </c>
      <c r="F199" s="123">
        <v>0</v>
      </c>
      <c r="G199" s="123">
        <v>0</v>
      </c>
      <c r="H199" s="123">
        <v>0</v>
      </c>
      <c r="I199" s="123">
        <v>0</v>
      </c>
      <c r="J199" s="123">
        <v>0</v>
      </c>
      <c r="K199" s="123">
        <v>0</v>
      </c>
      <c r="L199" s="123">
        <v>0</v>
      </c>
      <c r="M199" s="123">
        <v>0.01</v>
      </c>
      <c r="N199" s="123">
        <v>0</v>
      </c>
      <c r="O199" s="114">
        <f t="shared" si="30"/>
        <v>0.03</v>
      </c>
    </row>
    <row r="200" spans="1:15" x14ac:dyDescent="0.2">
      <c r="B200" s="2" t="s">
        <v>622</v>
      </c>
      <c r="C200" s="123">
        <v>0</v>
      </c>
      <c r="D200" s="123">
        <v>0.04</v>
      </c>
      <c r="E200" s="123">
        <v>0.06</v>
      </c>
      <c r="F200" s="123">
        <v>0.01</v>
      </c>
      <c r="G200" s="123">
        <v>0.02</v>
      </c>
      <c r="H200" s="123">
        <v>0.04</v>
      </c>
      <c r="I200" s="123">
        <v>0.02</v>
      </c>
      <c r="J200" s="123">
        <v>0.03</v>
      </c>
      <c r="K200" s="123">
        <v>0.01</v>
      </c>
      <c r="L200" s="123">
        <v>0.02</v>
      </c>
      <c r="M200" s="123">
        <v>0.03</v>
      </c>
      <c r="N200" s="123">
        <v>0.05</v>
      </c>
      <c r="O200" s="114">
        <f t="shared" si="30"/>
        <v>0.33</v>
      </c>
    </row>
    <row r="201" spans="1:15" x14ac:dyDescent="0.2">
      <c r="B201" s="2" t="s">
        <v>394</v>
      </c>
      <c r="C201" s="123">
        <v>7.0000000000000007E-2</v>
      </c>
      <c r="D201" s="123">
        <v>0.05</v>
      </c>
      <c r="E201" s="123">
        <v>0.04</v>
      </c>
      <c r="F201" s="123">
        <v>0.08</v>
      </c>
      <c r="G201" s="123">
        <v>0.04</v>
      </c>
      <c r="H201" s="123">
        <v>0.31</v>
      </c>
      <c r="I201" s="123">
        <v>0.04</v>
      </c>
      <c r="J201" s="123">
        <v>0.09</v>
      </c>
      <c r="K201" s="123">
        <v>0.03</v>
      </c>
      <c r="L201" s="123">
        <v>0.08</v>
      </c>
      <c r="M201" s="123">
        <v>0.22</v>
      </c>
      <c r="N201" s="123">
        <v>0.04</v>
      </c>
      <c r="O201" s="114">
        <f t="shared" si="30"/>
        <v>1.0900000000000001</v>
      </c>
    </row>
    <row r="202" spans="1:15" x14ac:dyDescent="0.2">
      <c r="B202" s="2" t="s">
        <v>384</v>
      </c>
      <c r="C202" s="114">
        <v>0.01</v>
      </c>
      <c r="D202" s="114">
        <v>0</v>
      </c>
      <c r="E202" s="114">
        <v>0</v>
      </c>
      <c r="F202" s="114">
        <v>0</v>
      </c>
      <c r="G202" s="114">
        <v>0</v>
      </c>
      <c r="H202" s="114">
        <v>0</v>
      </c>
      <c r="I202" s="114">
        <v>0</v>
      </c>
      <c r="J202" s="114">
        <v>0</v>
      </c>
      <c r="K202" s="114">
        <v>0</v>
      </c>
      <c r="L202" s="114">
        <v>0</v>
      </c>
      <c r="M202" s="114">
        <v>0</v>
      </c>
      <c r="N202" s="114">
        <v>0</v>
      </c>
      <c r="O202" s="114">
        <f t="shared" si="30"/>
        <v>0.01</v>
      </c>
    </row>
    <row r="203" spans="1:15" x14ac:dyDescent="0.2">
      <c r="B203" s="2" t="s">
        <v>616</v>
      </c>
      <c r="C203" s="123">
        <v>0.18</v>
      </c>
      <c r="D203" s="123">
        <v>0.05</v>
      </c>
      <c r="E203" s="123">
        <v>0.02</v>
      </c>
      <c r="F203" s="123">
        <v>0</v>
      </c>
      <c r="G203" s="123">
        <v>0</v>
      </c>
      <c r="H203" s="123">
        <v>0</v>
      </c>
      <c r="I203" s="123">
        <v>0</v>
      </c>
      <c r="J203" s="123">
        <v>0.02</v>
      </c>
      <c r="K203" s="123">
        <v>0</v>
      </c>
      <c r="L203" s="123">
        <v>0.01</v>
      </c>
      <c r="M203" s="123">
        <v>0</v>
      </c>
      <c r="N203" s="123">
        <v>0</v>
      </c>
      <c r="O203" s="114">
        <f t="shared" si="30"/>
        <v>0.27999999999999997</v>
      </c>
    </row>
    <row r="204" spans="1:15" x14ac:dyDescent="0.2">
      <c r="B204" s="2" t="s">
        <v>625</v>
      </c>
      <c r="C204" s="114">
        <v>0.06</v>
      </c>
      <c r="D204" s="114">
        <v>0.15</v>
      </c>
      <c r="E204" s="114">
        <v>0.04</v>
      </c>
      <c r="F204" s="114">
        <v>0.06</v>
      </c>
      <c r="G204" s="114">
        <v>0</v>
      </c>
      <c r="H204" s="114">
        <v>0</v>
      </c>
      <c r="I204" s="114">
        <v>0.06</v>
      </c>
      <c r="J204" s="114">
        <v>0</v>
      </c>
      <c r="K204" s="114">
        <v>0</v>
      </c>
      <c r="L204" s="114">
        <v>0</v>
      </c>
      <c r="M204" s="114">
        <v>0</v>
      </c>
      <c r="N204" s="114">
        <v>0</v>
      </c>
      <c r="O204" s="114">
        <f t="shared" si="30"/>
        <v>0.37</v>
      </c>
    </row>
    <row r="205" spans="1:15" x14ac:dyDescent="0.2">
      <c r="B205" s="2" t="s">
        <v>613</v>
      </c>
      <c r="C205" s="123">
        <v>0.16</v>
      </c>
      <c r="D205" s="123">
        <v>0.22</v>
      </c>
      <c r="E205" s="123">
        <v>0.03</v>
      </c>
      <c r="F205" s="123">
        <v>0.05</v>
      </c>
      <c r="G205" s="123">
        <v>0.04</v>
      </c>
      <c r="H205" s="123">
        <v>0.04</v>
      </c>
      <c r="I205" s="123">
        <v>0.06</v>
      </c>
      <c r="J205" s="123">
        <v>0.14000000000000001</v>
      </c>
      <c r="K205" s="123">
        <v>0</v>
      </c>
      <c r="L205" s="123">
        <v>0.06</v>
      </c>
      <c r="M205" s="123">
        <v>7.0000000000000007E-2</v>
      </c>
      <c r="N205" s="123">
        <v>0</v>
      </c>
      <c r="O205" s="114">
        <f t="shared" si="30"/>
        <v>0.87000000000000011</v>
      </c>
    </row>
    <row r="206" spans="1:15" x14ac:dyDescent="0.2">
      <c r="B206" s="2" t="s">
        <v>381</v>
      </c>
      <c r="C206" s="114">
        <v>0.11</v>
      </c>
      <c r="D206" s="114">
        <v>0.05</v>
      </c>
      <c r="E206" s="114">
        <v>0.33</v>
      </c>
      <c r="F206" s="114">
        <v>0.18</v>
      </c>
      <c r="G206" s="114">
        <v>0.11</v>
      </c>
      <c r="H206" s="114">
        <v>7.0000000000000007E-2</v>
      </c>
      <c r="I206" s="114">
        <v>0.36</v>
      </c>
      <c r="J206" s="114">
        <v>0.14000000000000001</v>
      </c>
      <c r="K206" s="114">
        <v>0.21</v>
      </c>
      <c r="L206" s="114">
        <v>0.18</v>
      </c>
      <c r="M206" s="114">
        <v>7.0000000000000007E-2</v>
      </c>
      <c r="N206" s="114">
        <v>0.09</v>
      </c>
      <c r="O206" s="114">
        <f t="shared" si="30"/>
        <v>1.9000000000000001</v>
      </c>
    </row>
    <row r="207" spans="1:15" x14ac:dyDescent="0.2">
      <c r="B207" s="2" t="s">
        <v>393</v>
      </c>
      <c r="C207" s="123">
        <v>0.02</v>
      </c>
      <c r="D207" s="123">
        <v>0.02</v>
      </c>
      <c r="E207" s="123">
        <v>0.02</v>
      </c>
      <c r="F207" s="123">
        <v>0.01</v>
      </c>
      <c r="G207" s="123">
        <v>0.01</v>
      </c>
      <c r="H207" s="123">
        <v>0.01</v>
      </c>
      <c r="I207" s="123">
        <v>0.01</v>
      </c>
      <c r="J207" s="123">
        <v>0.02</v>
      </c>
      <c r="K207" s="123">
        <v>0.02</v>
      </c>
      <c r="L207" s="123">
        <v>0.01</v>
      </c>
      <c r="M207" s="123">
        <v>0.03</v>
      </c>
      <c r="N207" s="123">
        <v>0.01</v>
      </c>
      <c r="O207" s="114">
        <f t="shared" si="30"/>
        <v>0.19</v>
      </c>
    </row>
    <row r="208" spans="1:15" x14ac:dyDescent="0.2">
      <c r="B208" s="2" t="s">
        <v>410</v>
      </c>
      <c r="C208" s="123">
        <v>0.05</v>
      </c>
      <c r="D208" s="123">
        <v>0.02</v>
      </c>
      <c r="E208" s="123">
        <v>0.03</v>
      </c>
      <c r="F208" s="123">
        <v>0.05</v>
      </c>
      <c r="G208" s="123">
        <v>0.12</v>
      </c>
      <c r="H208" s="123">
        <v>0.31</v>
      </c>
      <c r="I208" s="123">
        <v>0.06</v>
      </c>
      <c r="J208" s="123">
        <v>0.01</v>
      </c>
      <c r="K208" s="123">
        <v>0.31</v>
      </c>
      <c r="L208" s="123">
        <v>0.09</v>
      </c>
      <c r="M208" s="123">
        <v>0.02</v>
      </c>
      <c r="N208" s="123">
        <v>0.05</v>
      </c>
      <c r="O208" s="114">
        <f t="shared" si="30"/>
        <v>1.1200000000000003</v>
      </c>
    </row>
    <row r="209" spans="2:15" x14ac:dyDescent="0.2">
      <c r="B209" s="2" t="s">
        <v>380</v>
      </c>
      <c r="C209" s="114">
        <v>0.42</v>
      </c>
      <c r="D209" s="114">
        <v>0.76</v>
      </c>
      <c r="E209" s="114">
        <v>0.44</v>
      </c>
      <c r="F209" s="114">
        <v>0.24</v>
      </c>
      <c r="G209" s="114">
        <v>0.25</v>
      </c>
      <c r="H209" s="114">
        <v>0.79</v>
      </c>
      <c r="I209" s="114">
        <v>0.8</v>
      </c>
      <c r="J209" s="114">
        <v>0.57999999999999996</v>
      </c>
      <c r="K209" s="114">
        <v>0.38</v>
      </c>
      <c r="L209" s="114">
        <v>1.27</v>
      </c>
      <c r="M209" s="114">
        <v>0.78</v>
      </c>
      <c r="N209" s="114">
        <v>0.36</v>
      </c>
      <c r="O209" s="114">
        <f t="shared" si="30"/>
        <v>7.07</v>
      </c>
    </row>
    <row r="210" spans="2:15" x14ac:dyDescent="0.2">
      <c r="C210" s="123"/>
      <c r="D210" s="123"/>
      <c r="E210" s="123"/>
      <c r="F210" s="123"/>
      <c r="G210" s="114"/>
      <c r="H210" s="114"/>
      <c r="I210" s="114"/>
      <c r="J210" s="114"/>
      <c r="K210" s="114"/>
      <c r="L210" s="114"/>
      <c r="M210" s="114"/>
      <c r="N210" s="114"/>
      <c r="O210" s="114"/>
    </row>
    <row r="211" spans="2:15" x14ac:dyDescent="0.2">
      <c r="C211" s="114"/>
      <c r="D211" s="114"/>
      <c r="E211" s="114"/>
      <c r="F211" s="114"/>
      <c r="G211" s="114"/>
      <c r="H211" s="114"/>
      <c r="I211" s="114"/>
      <c r="J211" s="114"/>
      <c r="K211" s="114"/>
      <c r="L211" s="114"/>
      <c r="M211" s="114"/>
      <c r="N211" s="114"/>
      <c r="O211" s="114"/>
    </row>
    <row r="212" spans="2:15" ht="15" x14ac:dyDescent="0.25">
      <c r="B212" s="1" t="s">
        <v>552</v>
      </c>
      <c r="C212" s="16">
        <f t="shared" ref="C212:O212" si="31">C8+C31+C39+C55+C59+C64+C68+C79+C86+C91+C98+C104+C112+C120+C125+C130+C137+C142+C161+C166+C172+C182+C193</f>
        <v>1875.6199999999997</v>
      </c>
      <c r="D212" s="16">
        <f t="shared" si="31"/>
        <v>1536.26</v>
      </c>
      <c r="E212" s="16">
        <f t="shared" si="31"/>
        <v>1667.02</v>
      </c>
      <c r="F212" s="16">
        <f t="shared" si="31"/>
        <v>1045.6600000000001</v>
      </c>
      <c r="G212" s="16">
        <f t="shared" si="31"/>
        <v>1354.37</v>
      </c>
      <c r="H212" s="16">
        <f t="shared" si="31"/>
        <v>1228.5999999999999</v>
      </c>
      <c r="I212" s="16">
        <f t="shared" si="31"/>
        <v>1054.02</v>
      </c>
      <c r="J212" s="16">
        <f t="shared" si="31"/>
        <v>1364.1899999999998</v>
      </c>
      <c r="K212" s="16">
        <f t="shared" si="31"/>
        <v>1177.2999999999997</v>
      </c>
      <c r="L212" s="16">
        <f t="shared" si="31"/>
        <v>2318.0899999999997</v>
      </c>
      <c r="M212" s="16">
        <f t="shared" si="31"/>
        <v>1221.07</v>
      </c>
      <c r="N212" s="16">
        <f t="shared" si="31"/>
        <v>917.46</v>
      </c>
      <c r="O212" s="16">
        <f t="shared" si="31"/>
        <v>16759.660000000003</v>
      </c>
    </row>
    <row r="215" spans="2:15" x14ac:dyDescent="0.2">
      <c r="B215" s="2" t="s">
        <v>709</v>
      </c>
    </row>
  </sheetData>
  <sortState xmlns:xlrd2="http://schemas.microsoft.com/office/spreadsheetml/2017/richdata2" ref="B144:O159">
    <sortCondition ref="B144"/>
  </sortState>
  <mergeCells count="2">
    <mergeCell ref="A3:O3"/>
    <mergeCell ref="A6:B6"/>
  </mergeCells>
  <printOptions horizontalCentered="1"/>
  <pageMargins left="0" right="0" top="0.59055118110236227" bottom="0.59055118110236227" header="0" footer="0"/>
  <pageSetup paperSize="9" scale="51" orientation="portrait" r:id="rId1"/>
  <headerFooter alignWithMargins="0">
    <oddHeader>Page &amp;P</oddHeader>
  </headerFooter>
  <rowBreaks count="2" manualBreakCount="2">
    <brk id="102" max="14" man="1"/>
    <brk id="19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84"/>
  <sheetViews>
    <sheetView topLeftCell="A201" zoomScaleNormal="100" workbookViewId="0">
      <selection activeCell="A285" sqref="A285:XFD285"/>
    </sheetView>
  </sheetViews>
  <sheetFormatPr defaultColWidth="8.85546875" defaultRowHeight="14.25" x14ac:dyDescent="0.2"/>
  <cols>
    <col min="1" max="1" width="2.42578125" style="2" customWidth="1"/>
    <col min="2" max="2" width="60.140625" style="2" customWidth="1"/>
    <col min="3" max="3" width="0.140625" style="2" customWidth="1"/>
    <col min="4" max="15" width="11.42578125" style="2" bestFit="1" customWidth="1"/>
    <col min="16" max="16" width="12.85546875" style="2" bestFit="1" customWidth="1"/>
    <col min="17" max="17" width="5.28515625" style="2" customWidth="1"/>
    <col min="18" max="255" width="9.140625" style="2"/>
    <col min="256" max="256" width="2.42578125" style="2" customWidth="1"/>
    <col min="257" max="257" width="4" style="2" customWidth="1"/>
    <col min="258" max="258" width="47.7109375" style="2" customWidth="1"/>
    <col min="259" max="259" width="0.140625" style="2" customWidth="1"/>
    <col min="260" max="260" width="7.28515625" style="2" customWidth="1"/>
    <col min="261" max="261" width="7.42578125" style="2" bestFit="1" customWidth="1"/>
    <col min="262" max="266" width="7.28515625" style="2" customWidth="1"/>
    <col min="267" max="268" width="7.42578125" style="2" bestFit="1" customWidth="1"/>
    <col min="269" max="271" width="7.28515625" style="2" customWidth="1"/>
    <col min="272" max="272" width="8.28515625" style="2" customWidth="1"/>
    <col min="273" max="273" width="5.28515625" style="2" customWidth="1"/>
    <col min="274" max="511" width="9.140625" style="2"/>
    <col min="512" max="512" width="2.42578125" style="2" customWidth="1"/>
    <col min="513" max="513" width="4" style="2" customWidth="1"/>
    <col min="514" max="514" width="47.7109375" style="2" customWidth="1"/>
    <col min="515" max="515" width="0.140625" style="2" customWidth="1"/>
    <col min="516" max="516" width="7.28515625" style="2" customWidth="1"/>
    <col min="517" max="517" width="7.42578125" style="2" bestFit="1" customWidth="1"/>
    <col min="518" max="522" width="7.28515625" style="2" customWidth="1"/>
    <col min="523" max="524" width="7.42578125" style="2" bestFit="1" customWidth="1"/>
    <col min="525" max="527" width="7.28515625" style="2" customWidth="1"/>
    <col min="528" max="528" width="8.28515625" style="2" customWidth="1"/>
    <col min="529" max="529" width="5.28515625" style="2" customWidth="1"/>
    <col min="530" max="767" width="9.140625" style="2"/>
    <col min="768" max="768" width="2.42578125" style="2" customWidth="1"/>
    <col min="769" max="769" width="4" style="2" customWidth="1"/>
    <col min="770" max="770" width="47.7109375" style="2" customWidth="1"/>
    <col min="771" max="771" width="0.140625" style="2" customWidth="1"/>
    <col min="772" max="772" width="7.28515625" style="2" customWidth="1"/>
    <col min="773" max="773" width="7.42578125" style="2" bestFit="1" customWidth="1"/>
    <col min="774" max="778" width="7.28515625" style="2" customWidth="1"/>
    <col min="779" max="780" width="7.42578125" style="2" bestFit="1" customWidth="1"/>
    <col min="781" max="783" width="7.28515625" style="2" customWidth="1"/>
    <col min="784" max="784" width="8.28515625" style="2" customWidth="1"/>
    <col min="785" max="785" width="5.28515625" style="2" customWidth="1"/>
    <col min="786" max="1023" width="9.140625" style="2"/>
    <col min="1024" max="1024" width="2.42578125" style="2" customWidth="1"/>
    <col min="1025" max="1025" width="4" style="2" customWidth="1"/>
    <col min="1026" max="1026" width="47.7109375" style="2" customWidth="1"/>
    <col min="1027" max="1027" width="0.140625" style="2" customWidth="1"/>
    <col min="1028" max="1028" width="7.28515625" style="2" customWidth="1"/>
    <col min="1029" max="1029" width="7.42578125" style="2" bestFit="1" customWidth="1"/>
    <col min="1030" max="1034" width="7.28515625" style="2" customWidth="1"/>
    <col min="1035" max="1036" width="7.42578125" style="2" bestFit="1" customWidth="1"/>
    <col min="1037" max="1039" width="7.28515625" style="2" customWidth="1"/>
    <col min="1040" max="1040" width="8.28515625" style="2" customWidth="1"/>
    <col min="1041" max="1041" width="5.28515625" style="2" customWidth="1"/>
    <col min="1042" max="1279" width="9.140625" style="2"/>
    <col min="1280" max="1280" width="2.42578125" style="2" customWidth="1"/>
    <col min="1281" max="1281" width="4" style="2" customWidth="1"/>
    <col min="1282" max="1282" width="47.7109375" style="2" customWidth="1"/>
    <col min="1283" max="1283" width="0.140625" style="2" customWidth="1"/>
    <col min="1284" max="1284" width="7.28515625" style="2" customWidth="1"/>
    <col min="1285" max="1285" width="7.42578125" style="2" bestFit="1" customWidth="1"/>
    <col min="1286" max="1290" width="7.28515625" style="2" customWidth="1"/>
    <col min="1291" max="1292" width="7.42578125" style="2" bestFit="1" customWidth="1"/>
    <col min="1293" max="1295" width="7.28515625" style="2" customWidth="1"/>
    <col min="1296" max="1296" width="8.28515625" style="2" customWidth="1"/>
    <col min="1297" max="1297" width="5.28515625" style="2" customWidth="1"/>
    <col min="1298" max="1535" width="9.140625" style="2"/>
    <col min="1536" max="1536" width="2.42578125" style="2" customWidth="1"/>
    <col min="1537" max="1537" width="4" style="2" customWidth="1"/>
    <col min="1538" max="1538" width="47.7109375" style="2" customWidth="1"/>
    <col min="1539" max="1539" width="0.140625" style="2" customWidth="1"/>
    <col min="1540" max="1540" width="7.28515625" style="2" customWidth="1"/>
    <col min="1541" max="1541" width="7.42578125" style="2" bestFit="1" customWidth="1"/>
    <col min="1542" max="1546" width="7.28515625" style="2" customWidth="1"/>
    <col min="1547" max="1548" width="7.42578125" style="2" bestFit="1" customWidth="1"/>
    <col min="1549" max="1551" width="7.28515625" style="2" customWidth="1"/>
    <col min="1552" max="1552" width="8.28515625" style="2" customWidth="1"/>
    <col min="1553" max="1553" width="5.28515625" style="2" customWidth="1"/>
    <col min="1554" max="1791" width="9.140625" style="2"/>
    <col min="1792" max="1792" width="2.42578125" style="2" customWidth="1"/>
    <col min="1793" max="1793" width="4" style="2" customWidth="1"/>
    <col min="1794" max="1794" width="47.7109375" style="2" customWidth="1"/>
    <col min="1795" max="1795" width="0.140625" style="2" customWidth="1"/>
    <col min="1796" max="1796" width="7.28515625" style="2" customWidth="1"/>
    <col min="1797" max="1797" width="7.42578125" style="2" bestFit="1" customWidth="1"/>
    <col min="1798" max="1802" width="7.28515625" style="2" customWidth="1"/>
    <col min="1803" max="1804" width="7.42578125" style="2" bestFit="1" customWidth="1"/>
    <col min="1805" max="1807" width="7.28515625" style="2" customWidth="1"/>
    <col min="1808" max="1808" width="8.28515625" style="2" customWidth="1"/>
    <col min="1809" max="1809" width="5.28515625" style="2" customWidth="1"/>
    <col min="1810" max="2047" width="9.140625" style="2"/>
    <col min="2048" max="2048" width="2.42578125" style="2" customWidth="1"/>
    <col min="2049" max="2049" width="4" style="2" customWidth="1"/>
    <col min="2050" max="2050" width="47.7109375" style="2" customWidth="1"/>
    <col min="2051" max="2051" width="0.140625" style="2" customWidth="1"/>
    <col min="2052" max="2052" width="7.28515625" style="2" customWidth="1"/>
    <col min="2053" max="2053" width="7.42578125" style="2" bestFit="1" customWidth="1"/>
    <col min="2054" max="2058" width="7.28515625" style="2" customWidth="1"/>
    <col min="2059" max="2060" width="7.42578125" style="2" bestFit="1" customWidth="1"/>
    <col min="2061" max="2063" width="7.28515625" style="2" customWidth="1"/>
    <col min="2064" max="2064" width="8.28515625" style="2" customWidth="1"/>
    <col min="2065" max="2065" width="5.28515625" style="2" customWidth="1"/>
    <col min="2066" max="2303" width="9.140625" style="2"/>
    <col min="2304" max="2304" width="2.42578125" style="2" customWidth="1"/>
    <col min="2305" max="2305" width="4" style="2" customWidth="1"/>
    <col min="2306" max="2306" width="47.7109375" style="2" customWidth="1"/>
    <col min="2307" max="2307" width="0.140625" style="2" customWidth="1"/>
    <col min="2308" max="2308" width="7.28515625" style="2" customWidth="1"/>
    <col min="2309" max="2309" width="7.42578125" style="2" bestFit="1" customWidth="1"/>
    <col min="2310" max="2314" width="7.28515625" style="2" customWidth="1"/>
    <col min="2315" max="2316" width="7.42578125" style="2" bestFit="1" customWidth="1"/>
    <col min="2317" max="2319" width="7.28515625" style="2" customWidth="1"/>
    <col min="2320" max="2320" width="8.28515625" style="2" customWidth="1"/>
    <col min="2321" max="2321" width="5.28515625" style="2" customWidth="1"/>
    <col min="2322" max="2559" width="9.140625" style="2"/>
    <col min="2560" max="2560" width="2.42578125" style="2" customWidth="1"/>
    <col min="2561" max="2561" width="4" style="2" customWidth="1"/>
    <col min="2562" max="2562" width="47.7109375" style="2" customWidth="1"/>
    <col min="2563" max="2563" width="0.140625" style="2" customWidth="1"/>
    <col min="2564" max="2564" width="7.28515625" style="2" customWidth="1"/>
    <col min="2565" max="2565" width="7.42578125" style="2" bestFit="1" customWidth="1"/>
    <col min="2566" max="2570" width="7.28515625" style="2" customWidth="1"/>
    <col min="2571" max="2572" width="7.42578125" style="2" bestFit="1" customWidth="1"/>
    <col min="2573" max="2575" width="7.28515625" style="2" customWidth="1"/>
    <col min="2576" max="2576" width="8.28515625" style="2" customWidth="1"/>
    <col min="2577" max="2577" width="5.28515625" style="2" customWidth="1"/>
    <col min="2578" max="2815" width="9.140625" style="2"/>
    <col min="2816" max="2816" width="2.42578125" style="2" customWidth="1"/>
    <col min="2817" max="2817" width="4" style="2" customWidth="1"/>
    <col min="2818" max="2818" width="47.7109375" style="2" customWidth="1"/>
    <col min="2819" max="2819" width="0.140625" style="2" customWidth="1"/>
    <col min="2820" max="2820" width="7.28515625" style="2" customWidth="1"/>
    <col min="2821" max="2821" width="7.42578125" style="2" bestFit="1" customWidth="1"/>
    <col min="2822" max="2826" width="7.28515625" style="2" customWidth="1"/>
    <col min="2827" max="2828" width="7.42578125" style="2" bestFit="1" customWidth="1"/>
    <col min="2829" max="2831" width="7.28515625" style="2" customWidth="1"/>
    <col min="2832" max="2832" width="8.28515625" style="2" customWidth="1"/>
    <col min="2833" max="2833" width="5.28515625" style="2" customWidth="1"/>
    <col min="2834" max="3071" width="9.140625" style="2"/>
    <col min="3072" max="3072" width="2.42578125" style="2" customWidth="1"/>
    <col min="3073" max="3073" width="4" style="2" customWidth="1"/>
    <col min="3074" max="3074" width="47.7109375" style="2" customWidth="1"/>
    <col min="3075" max="3075" width="0.140625" style="2" customWidth="1"/>
    <col min="3076" max="3076" width="7.28515625" style="2" customWidth="1"/>
    <col min="3077" max="3077" width="7.42578125" style="2" bestFit="1" customWidth="1"/>
    <col min="3078" max="3082" width="7.28515625" style="2" customWidth="1"/>
    <col min="3083" max="3084" width="7.42578125" style="2" bestFit="1" customWidth="1"/>
    <col min="3085" max="3087" width="7.28515625" style="2" customWidth="1"/>
    <col min="3088" max="3088" width="8.28515625" style="2" customWidth="1"/>
    <col min="3089" max="3089" width="5.28515625" style="2" customWidth="1"/>
    <col min="3090" max="3327" width="9.140625" style="2"/>
    <col min="3328" max="3328" width="2.42578125" style="2" customWidth="1"/>
    <col min="3329" max="3329" width="4" style="2" customWidth="1"/>
    <col min="3330" max="3330" width="47.7109375" style="2" customWidth="1"/>
    <col min="3331" max="3331" width="0.140625" style="2" customWidth="1"/>
    <col min="3332" max="3332" width="7.28515625" style="2" customWidth="1"/>
    <col min="3333" max="3333" width="7.42578125" style="2" bestFit="1" customWidth="1"/>
    <col min="3334" max="3338" width="7.28515625" style="2" customWidth="1"/>
    <col min="3339" max="3340" width="7.42578125" style="2" bestFit="1" customWidth="1"/>
    <col min="3341" max="3343" width="7.28515625" style="2" customWidth="1"/>
    <col min="3344" max="3344" width="8.28515625" style="2" customWidth="1"/>
    <col min="3345" max="3345" width="5.28515625" style="2" customWidth="1"/>
    <col min="3346" max="3583" width="9.140625" style="2"/>
    <col min="3584" max="3584" width="2.42578125" style="2" customWidth="1"/>
    <col min="3585" max="3585" width="4" style="2" customWidth="1"/>
    <col min="3586" max="3586" width="47.7109375" style="2" customWidth="1"/>
    <col min="3587" max="3587" width="0.140625" style="2" customWidth="1"/>
    <col min="3588" max="3588" width="7.28515625" style="2" customWidth="1"/>
    <col min="3589" max="3589" width="7.42578125" style="2" bestFit="1" customWidth="1"/>
    <col min="3590" max="3594" width="7.28515625" style="2" customWidth="1"/>
    <col min="3595" max="3596" width="7.42578125" style="2" bestFit="1" customWidth="1"/>
    <col min="3597" max="3599" width="7.28515625" style="2" customWidth="1"/>
    <col min="3600" max="3600" width="8.28515625" style="2" customWidth="1"/>
    <col min="3601" max="3601" width="5.28515625" style="2" customWidth="1"/>
    <col min="3602" max="3839" width="9.140625" style="2"/>
    <col min="3840" max="3840" width="2.42578125" style="2" customWidth="1"/>
    <col min="3841" max="3841" width="4" style="2" customWidth="1"/>
    <col min="3842" max="3842" width="47.7109375" style="2" customWidth="1"/>
    <col min="3843" max="3843" width="0.140625" style="2" customWidth="1"/>
    <col min="3844" max="3844" width="7.28515625" style="2" customWidth="1"/>
    <col min="3845" max="3845" width="7.42578125" style="2" bestFit="1" customWidth="1"/>
    <col min="3846" max="3850" width="7.28515625" style="2" customWidth="1"/>
    <col min="3851" max="3852" width="7.42578125" style="2" bestFit="1" customWidth="1"/>
    <col min="3853" max="3855" width="7.28515625" style="2" customWidth="1"/>
    <col min="3856" max="3856" width="8.28515625" style="2" customWidth="1"/>
    <col min="3857" max="3857" width="5.28515625" style="2" customWidth="1"/>
    <col min="3858" max="4095" width="9.140625" style="2"/>
    <col min="4096" max="4096" width="2.42578125" style="2" customWidth="1"/>
    <col min="4097" max="4097" width="4" style="2" customWidth="1"/>
    <col min="4098" max="4098" width="47.7109375" style="2" customWidth="1"/>
    <col min="4099" max="4099" width="0.140625" style="2" customWidth="1"/>
    <col min="4100" max="4100" width="7.28515625" style="2" customWidth="1"/>
    <col min="4101" max="4101" width="7.42578125" style="2" bestFit="1" customWidth="1"/>
    <col min="4102" max="4106" width="7.28515625" style="2" customWidth="1"/>
    <col min="4107" max="4108" width="7.42578125" style="2" bestFit="1" customWidth="1"/>
    <col min="4109" max="4111" width="7.28515625" style="2" customWidth="1"/>
    <col min="4112" max="4112" width="8.28515625" style="2" customWidth="1"/>
    <col min="4113" max="4113" width="5.28515625" style="2" customWidth="1"/>
    <col min="4114" max="4351" width="9.140625" style="2"/>
    <col min="4352" max="4352" width="2.42578125" style="2" customWidth="1"/>
    <col min="4353" max="4353" width="4" style="2" customWidth="1"/>
    <col min="4354" max="4354" width="47.7109375" style="2" customWidth="1"/>
    <col min="4355" max="4355" width="0.140625" style="2" customWidth="1"/>
    <col min="4356" max="4356" width="7.28515625" style="2" customWidth="1"/>
    <col min="4357" max="4357" width="7.42578125" style="2" bestFit="1" customWidth="1"/>
    <col min="4358" max="4362" width="7.28515625" style="2" customWidth="1"/>
    <col min="4363" max="4364" width="7.42578125" style="2" bestFit="1" customWidth="1"/>
    <col min="4365" max="4367" width="7.28515625" style="2" customWidth="1"/>
    <col min="4368" max="4368" width="8.28515625" style="2" customWidth="1"/>
    <col min="4369" max="4369" width="5.28515625" style="2" customWidth="1"/>
    <col min="4370" max="4607" width="9.140625" style="2"/>
    <col min="4608" max="4608" width="2.42578125" style="2" customWidth="1"/>
    <col min="4609" max="4609" width="4" style="2" customWidth="1"/>
    <col min="4610" max="4610" width="47.7109375" style="2" customWidth="1"/>
    <col min="4611" max="4611" width="0.140625" style="2" customWidth="1"/>
    <col min="4612" max="4612" width="7.28515625" style="2" customWidth="1"/>
    <col min="4613" max="4613" width="7.42578125" style="2" bestFit="1" customWidth="1"/>
    <col min="4614" max="4618" width="7.28515625" style="2" customWidth="1"/>
    <col min="4619" max="4620" width="7.42578125" style="2" bestFit="1" customWidth="1"/>
    <col min="4621" max="4623" width="7.28515625" style="2" customWidth="1"/>
    <col min="4624" max="4624" width="8.28515625" style="2" customWidth="1"/>
    <col min="4625" max="4625" width="5.28515625" style="2" customWidth="1"/>
    <col min="4626" max="4863" width="9.140625" style="2"/>
    <col min="4864" max="4864" width="2.42578125" style="2" customWidth="1"/>
    <col min="4865" max="4865" width="4" style="2" customWidth="1"/>
    <col min="4866" max="4866" width="47.7109375" style="2" customWidth="1"/>
    <col min="4867" max="4867" width="0.140625" style="2" customWidth="1"/>
    <col min="4868" max="4868" width="7.28515625" style="2" customWidth="1"/>
    <col min="4869" max="4869" width="7.42578125" style="2" bestFit="1" customWidth="1"/>
    <col min="4870" max="4874" width="7.28515625" style="2" customWidth="1"/>
    <col min="4875" max="4876" width="7.42578125" style="2" bestFit="1" customWidth="1"/>
    <col min="4877" max="4879" width="7.28515625" style="2" customWidth="1"/>
    <col min="4880" max="4880" width="8.28515625" style="2" customWidth="1"/>
    <col min="4881" max="4881" width="5.28515625" style="2" customWidth="1"/>
    <col min="4882" max="5119" width="9.140625" style="2"/>
    <col min="5120" max="5120" width="2.42578125" style="2" customWidth="1"/>
    <col min="5121" max="5121" width="4" style="2" customWidth="1"/>
    <col min="5122" max="5122" width="47.7109375" style="2" customWidth="1"/>
    <col min="5123" max="5123" width="0.140625" style="2" customWidth="1"/>
    <col min="5124" max="5124" width="7.28515625" style="2" customWidth="1"/>
    <col min="5125" max="5125" width="7.42578125" style="2" bestFit="1" customWidth="1"/>
    <col min="5126" max="5130" width="7.28515625" style="2" customWidth="1"/>
    <col min="5131" max="5132" width="7.42578125" style="2" bestFit="1" customWidth="1"/>
    <col min="5133" max="5135" width="7.28515625" style="2" customWidth="1"/>
    <col min="5136" max="5136" width="8.28515625" style="2" customWidth="1"/>
    <col min="5137" max="5137" width="5.28515625" style="2" customWidth="1"/>
    <col min="5138" max="5375" width="9.140625" style="2"/>
    <col min="5376" max="5376" width="2.42578125" style="2" customWidth="1"/>
    <col min="5377" max="5377" width="4" style="2" customWidth="1"/>
    <col min="5378" max="5378" width="47.7109375" style="2" customWidth="1"/>
    <col min="5379" max="5379" width="0.140625" style="2" customWidth="1"/>
    <col min="5380" max="5380" width="7.28515625" style="2" customWidth="1"/>
    <col min="5381" max="5381" width="7.42578125" style="2" bestFit="1" customWidth="1"/>
    <col min="5382" max="5386" width="7.28515625" style="2" customWidth="1"/>
    <col min="5387" max="5388" width="7.42578125" style="2" bestFit="1" customWidth="1"/>
    <col min="5389" max="5391" width="7.28515625" style="2" customWidth="1"/>
    <col min="5392" max="5392" width="8.28515625" style="2" customWidth="1"/>
    <col min="5393" max="5393" width="5.28515625" style="2" customWidth="1"/>
    <col min="5394" max="5631" width="9.140625" style="2"/>
    <col min="5632" max="5632" width="2.42578125" style="2" customWidth="1"/>
    <col min="5633" max="5633" width="4" style="2" customWidth="1"/>
    <col min="5634" max="5634" width="47.7109375" style="2" customWidth="1"/>
    <col min="5635" max="5635" width="0.140625" style="2" customWidth="1"/>
    <col min="5636" max="5636" width="7.28515625" style="2" customWidth="1"/>
    <col min="5637" max="5637" width="7.42578125" style="2" bestFit="1" customWidth="1"/>
    <col min="5638" max="5642" width="7.28515625" style="2" customWidth="1"/>
    <col min="5643" max="5644" width="7.42578125" style="2" bestFit="1" customWidth="1"/>
    <col min="5645" max="5647" width="7.28515625" style="2" customWidth="1"/>
    <col min="5648" max="5648" width="8.28515625" style="2" customWidth="1"/>
    <col min="5649" max="5649" width="5.28515625" style="2" customWidth="1"/>
    <col min="5650" max="5887" width="9.140625" style="2"/>
    <col min="5888" max="5888" width="2.42578125" style="2" customWidth="1"/>
    <col min="5889" max="5889" width="4" style="2" customWidth="1"/>
    <col min="5890" max="5890" width="47.7109375" style="2" customWidth="1"/>
    <col min="5891" max="5891" width="0.140625" style="2" customWidth="1"/>
    <col min="5892" max="5892" width="7.28515625" style="2" customWidth="1"/>
    <col min="5893" max="5893" width="7.42578125" style="2" bestFit="1" customWidth="1"/>
    <col min="5894" max="5898" width="7.28515625" style="2" customWidth="1"/>
    <col min="5899" max="5900" width="7.42578125" style="2" bestFit="1" customWidth="1"/>
    <col min="5901" max="5903" width="7.28515625" style="2" customWidth="1"/>
    <col min="5904" max="5904" width="8.28515625" style="2" customWidth="1"/>
    <col min="5905" max="5905" width="5.28515625" style="2" customWidth="1"/>
    <col min="5906" max="6143" width="9.140625" style="2"/>
    <col min="6144" max="6144" width="2.42578125" style="2" customWidth="1"/>
    <col min="6145" max="6145" width="4" style="2" customWidth="1"/>
    <col min="6146" max="6146" width="47.7109375" style="2" customWidth="1"/>
    <col min="6147" max="6147" width="0.140625" style="2" customWidth="1"/>
    <col min="6148" max="6148" width="7.28515625" style="2" customWidth="1"/>
    <col min="6149" max="6149" width="7.42578125" style="2" bestFit="1" customWidth="1"/>
    <col min="6150" max="6154" width="7.28515625" style="2" customWidth="1"/>
    <col min="6155" max="6156" width="7.42578125" style="2" bestFit="1" customWidth="1"/>
    <col min="6157" max="6159" width="7.28515625" style="2" customWidth="1"/>
    <col min="6160" max="6160" width="8.28515625" style="2" customWidth="1"/>
    <col min="6161" max="6161" width="5.28515625" style="2" customWidth="1"/>
    <col min="6162" max="6399" width="9.140625" style="2"/>
    <col min="6400" max="6400" width="2.42578125" style="2" customWidth="1"/>
    <col min="6401" max="6401" width="4" style="2" customWidth="1"/>
    <col min="6402" max="6402" width="47.7109375" style="2" customWidth="1"/>
    <col min="6403" max="6403" width="0.140625" style="2" customWidth="1"/>
    <col min="6404" max="6404" width="7.28515625" style="2" customWidth="1"/>
    <col min="6405" max="6405" width="7.42578125" style="2" bestFit="1" customWidth="1"/>
    <col min="6406" max="6410" width="7.28515625" style="2" customWidth="1"/>
    <col min="6411" max="6412" width="7.42578125" style="2" bestFit="1" customWidth="1"/>
    <col min="6413" max="6415" width="7.28515625" style="2" customWidth="1"/>
    <col min="6416" max="6416" width="8.28515625" style="2" customWidth="1"/>
    <col min="6417" max="6417" width="5.28515625" style="2" customWidth="1"/>
    <col min="6418" max="6655" width="9.140625" style="2"/>
    <col min="6656" max="6656" width="2.42578125" style="2" customWidth="1"/>
    <col min="6657" max="6657" width="4" style="2" customWidth="1"/>
    <col min="6658" max="6658" width="47.7109375" style="2" customWidth="1"/>
    <col min="6659" max="6659" width="0.140625" style="2" customWidth="1"/>
    <col min="6660" max="6660" width="7.28515625" style="2" customWidth="1"/>
    <col min="6661" max="6661" width="7.42578125" style="2" bestFit="1" customWidth="1"/>
    <col min="6662" max="6666" width="7.28515625" style="2" customWidth="1"/>
    <col min="6667" max="6668" width="7.42578125" style="2" bestFit="1" customWidth="1"/>
    <col min="6669" max="6671" width="7.28515625" style="2" customWidth="1"/>
    <col min="6672" max="6672" width="8.28515625" style="2" customWidth="1"/>
    <col min="6673" max="6673" width="5.28515625" style="2" customWidth="1"/>
    <col min="6674" max="6911" width="9.140625" style="2"/>
    <col min="6912" max="6912" width="2.42578125" style="2" customWidth="1"/>
    <col min="6913" max="6913" width="4" style="2" customWidth="1"/>
    <col min="6914" max="6914" width="47.7109375" style="2" customWidth="1"/>
    <col min="6915" max="6915" width="0.140625" style="2" customWidth="1"/>
    <col min="6916" max="6916" width="7.28515625" style="2" customWidth="1"/>
    <col min="6917" max="6917" width="7.42578125" style="2" bestFit="1" customWidth="1"/>
    <col min="6918" max="6922" width="7.28515625" style="2" customWidth="1"/>
    <col min="6923" max="6924" width="7.42578125" style="2" bestFit="1" customWidth="1"/>
    <col min="6925" max="6927" width="7.28515625" style="2" customWidth="1"/>
    <col min="6928" max="6928" width="8.28515625" style="2" customWidth="1"/>
    <col min="6929" max="6929" width="5.28515625" style="2" customWidth="1"/>
    <col min="6930" max="7167" width="9.140625" style="2"/>
    <col min="7168" max="7168" width="2.42578125" style="2" customWidth="1"/>
    <col min="7169" max="7169" width="4" style="2" customWidth="1"/>
    <col min="7170" max="7170" width="47.7109375" style="2" customWidth="1"/>
    <col min="7171" max="7171" width="0.140625" style="2" customWidth="1"/>
    <col min="7172" max="7172" width="7.28515625" style="2" customWidth="1"/>
    <col min="7173" max="7173" width="7.42578125" style="2" bestFit="1" customWidth="1"/>
    <col min="7174" max="7178" width="7.28515625" style="2" customWidth="1"/>
    <col min="7179" max="7180" width="7.42578125" style="2" bestFit="1" customWidth="1"/>
    <col min="7181" max="7183" width="7.28515625" style="2" customWidth="1"/>
    <col min="7184" max="7184" width="8.28515625" style="2" customWidth="1"/>
    <col min="7185" max="7185" width="5.28515625" style="2" customWidth="1"/>
    <col min="7186" max="7423" width="9.140625" style="2"/>
    <col min="7424" max="7424" width="2.42578125" style="2" customWidth="1"/>
    <col min="7425" max="7425" width="4" style="2" customWidth="1"/>
    <col min="7426" max="7426" width="47.7109375" style="2" customWidth="1"/>
    <col min="7427" max="7427" width="0.140625" style="2" customWidth="1"/>
    <col min="7428" max="7428" width="7.28515625" style="2" customWidth="1"/>
    <col min="7429" max="7429" width="7.42578125" style="2" bestFit="1" customWidth="1"/>
    <col min="7430" max="7434" width="7.28515625" style="2" customWidth="1"/>
    <col min="7435" max="7436" width="7.42578125" style="2" bestFit="1" customWidth="1"/>
    <col min="7437" max="7439" width="7.28515625" style="2" customWidth="1"/>
    <col min="7440" max="7440" width="8.28515625" style="2" customWidth="1"/>
    <col min="7441" max="7441" width="5.28515625" style="2" customWidth="1"/>
    <col min="7442" max="7679" width="9.140625" style="2"/>
    <col min="7680" max="7680" width="2.42578125" style="2" customWidth="1"/>
    <col min="7681" max="7681" width="4" style="2" customWidth="1"/>
    <col min="7682" max="7682" width="47.7109375" style="2" customWidth="1"/>
    <col min="7683" max="7683" width="0.140625" style="2" customWidth="1"/>
    <col min="7684" max="7684" width="7.28515625" style="2" customWidth="1"/>
    <col min="7685" max="7685" width="7.42578125" style="2" bestFit="1" customWidth="1"/>
    <col min="7686" max="7690" width="7.28515625" style="2" customWidth="1"/>
    <col min="7691" max="7692" width="7.42578125" style="2" bestFit="1" customWidth="1"/>
    <col min="7693" max="7695" width="7.28515625" style="2" customWidth="1"/>
    <col min="7696" max="7696" width="8.28515625" style="2" customWidth="1"/>
    <col min="7697" max="7697" width="5.28515625" style="2" customWidth="1"/>
    <col min="7698" max="7935" width="9.140625" style="2"/>
    <col min="7936" max="7936" width="2.42578125" style="2" customWidth="1"/>
    <col min="7937" max="7937" width="4" style="2" customWidth="1"/>
    <col min="7938" max="7938" width="47.7109375" style="2" customWidth="1"/>
    <col min="7939" max="7939" width="0.140625" style="2" customWidth="1"/>
    <col min="7940" max="7940" width="7.28515625" style="2" customWidth="1"/>
    <col min="7941" max="7941" width="7.42578125" style="2" bestFit="1" customWidth="1"/>
    <col min="7942" max="7946" width="7.28515625" style="2" customWidth="1"/>
    <col min="7947" max="7948" width="7.42578125" style="2" bestFit="1" customWidth="1"/>
    <col min="7949" max="7951" width="7.28515625" style="2" customWidth="1"/>
    <col min="7952" max="7952" width="8.28515625" style="2" customWidth="1"/>
    <col min="7953" max="7953" width="5.28515625" style="2" customWidth="1"/>
    <col min="7954" max="8191" width="9.140625" style="2"/>
    <col min="8192" max="8192" width="2.42578125" style="2" customWidth="1"/>
    <col min="8193" max="8193" width="4" style="2" customWidth="1"/>
    <col min="8194" max="8194" width="47.7109375" style="2" customWidth="1"/>
    <col min="8195" max="8195" width="0.140625" style="2" customWidth="1"/>
    <col min="8196" max="8196" width="7.28515625" style="2" customWidth="1"/>
    <col min="8197" max="8197" width="7.42578125" style="2" bestFit="1" customWidth="1"/>
    <col min="8198" max="8202" width="7.28515625" style="2" customWidth="1"/>
    <col min="8203" max="8204" width="7.42578125" style="2" bestFit="1" customWidth="1"/>
    <col min="8205" max="8207" width="7.28515625" style="2" customWidth="1"/>
    <col min="8208" max="8208" width="8.28515625" style="2" customWidth="1"/>
    <col min="8209" max="8209" width="5.28515625" style="2" customWidth="1"/>
    <col min="8210" max="8447" width="9.140625" style="2"/>
    <col min="8448" max="8448" width="2.42578125" style="2" customWidth="1"/>
    <col min="8449" max="8449" width="4" style="2" customWidth="1"/>
    <col min="8450" max="8450" width="47.7109375" style="2" customWidth="1"/>
    <col min="8451" max="8451" width="0.140625" style="2" customWidth="1"/>
    <col min="8452" max="8452" width="7.28515625" style="2" customWidth="1"/>
    <col min="8453" max="8453" width="7.42578125" style="2" bestFit="1" customWidth="1"/>
    <col min="8454" max="8458" width="7.28515625" style="2" customWidth="1"/>
    <col min="8459" max="8460" width="7.42578125" style="2" bestFit="1" customWidth="1"/>
    <col min="8461" max="8463" width="7.28515625" style="2" customWidth="1"/>
    <col min="8464" max="8464" width="8.28515625" style="2" customWidth="1"/>
    <col min="8465" max="8465" width="5.28515625" style="2" customWidth="1"/>
    <col min="8466" max="8703" width="9.140625" style="2"/>
    <col min="8704" max="8704" width="2.42578125" style="2" customWidth="1"/>
    <col min="8705" max="8705" width="4" style="2" customWidth="1"/>
    <col min="8706" max="8706" width="47.7109375" style="2" customWidth="1"/>
    <col min="8707" max="8707" width="0.140625" style="2" customWidth="1"/>
    <col min="8708" max="8708" width="7.28515625" style="2" customWidth="1"/>
    <col min="8709" max="8709" width="7.42578125" style="2" bestFit="1" customWidth="1"/>
    <col min="8710" max="8714" width="7.28515625" style="2" customWidth="1"/>
    <col min="8715" max="8716" width="7.42578125" style="2" bestFit="1" customWidth="1"/>
    <col min="8717" max="8719" width="7.28515625" style="2" customWidth="1"/>
    <col min="8720" max="8720" width="8.28515625" style="2" customWidth="1"/>
    <col min="8721" max="8721" width="5.28515625" style="2" customWidth="1"/>
    <col min="8722" max="8959" width="9.140625" style="2"/>
    <col min="8960" max="8960" width="2.42578125" style="2" customWidth="1"/>
    <col min="8961" max="8961" width="4" style="2" customWidth="1"/>
    <col min="8962" max="8962" width="47.7109375" style="2" customWidth="1"/>
    <col min="8963" max="8963" width="0.140625" style="2" customWidth="1"/>
    <col min="8964" max="8964" width="7.28515625" style="2" customWidth="1"/>
    <col min="8965" max="8965" width="7.42578125" style="2" bestFit="1" customWidth="1"/>
    <col min="8966" max="8970" width="7.28515625" style="2" customWidth="1"/>
    <col min="8971" max="8972" width="7.42578125" style="2" bestFit="1" customWidth="1"/>
    <col min="8973" max="8975" width="7.28515625" style="2" customWidth="1"/>
    <col min="8976" max="8976" width="8.28515625" style="2" customWidth="1"/>
    <col min="8977" max="8977" width="5.28515625" style="2" customWidth="1"/>
    <col min="8978" max="9215" width="9.140625" style="2"/>
    <col min="9216" max="9216" width="2.42578125" style="2" customWidth="1"/>
    <col min="9217" max="9217" width="4" style="2" customWidth="1"/>
    <col min="9218" max="9218" width="47.7109375" style="2" customWidth="1"/>
    <col min="9219" max="9219" width="0.140625" style="2" customWidth="1"/>
    <col min="9220" max="9220" width="7.28515625" style="2" customWidth="1"/>
    <col min="9221" max="9221" width="7.42578125" style="2" bestFit="1" customWidth="1"/>
    <col min="9222" max="9226" width="7.28515625" style="2" customWidth="1"/>
    <col min="9227" max="9228" width="7.42578125" style="2" bestFit="1" customWidth="1"/>
    <col min="9229" max="9231" width="7.28515625" style="2" customWidth="1"/>
    <col min="9232" max="9232" width="8.28515625" style="2" customWidth="1"/>
    <col min="9233" max="9233" width="5.28515625" style="2" customWidth="1"/>
    <col min="9234" max="9471" width="9.140625" style="2"/>
    <col min="9472" max="9472" width="2.42578125" style="2" customWidth="1"/>
    <col min="9473" max="9473" width="4" style="2" customWidth="1"/>
    <col min="9474" max="9474" width="47.7109375" style="2" customWidth="1"/>
    <col min="9475" max="9475" width="0.140625" style="2" customWidth="1"/>
    <col min="9476" max="9476" width="7.28515625" style="2" customWidth="1"/>
    <col min="9477" max="9477" width="7.42578125" style="2" bestFit="1" customWidth="1"/>
    <col min="9478" max="9482" width="7.28515625" style="2" customWidth="1"/>
    <col min="9483" max="9484" width="7.42578125" style="2" bestFit="1" customWidth="1"/>
    <col min="9485" max="9487" width="7.28515625" style="2" customWidth="1"/>
    <col min="9488" max="9488" width="8.28515625" style="2" customWidth="1"/>
    <col min="9489" max="9489" width="5.28515625" style="2" customWidth="1"/>
    <col min="9490" max="9727" width="9.140625" style="2"/>
    <col min="9728" max="9728" width="2.42578125" style="2" customWidth="1"/>
    <col min="9729" max="9729" width="4" style="2" customWidth="1"/>
    <col min="9730" max="9730" width="47.7109375" style="2" customWidth="1"/>
    <col min="9731" max="9731" width="0.140625" style="2" customWidth="1"/>
    <col min="9732" max="9732" width="7.28515625" style="2" customWidth="1"/>
    <col min="9733" max="9733" width="7.42578125" style="2" bestFit="1" customWidth="1"/>
    <col min="9734" max="9738" width="7.28515625" style="2" customWidth="1"/>
    <col min="9739" max="9740" width="7.42578125" style="2" bestFit="1" customWidth="1"/>
    <col min="9741" max="9743" width="7.28515625" style="2" customWidth="1"/>
    <col min="9744" max="9744" width="8.28515625" style="2" customWidth="1"/>
    <col min="9745" max="9745" width="5.28515625" style="2" customWidth="1"/>
    <col min="9746" max="9983" width="9.140625" style="2"/>
    <col min="9984" max="9984" width="2.42578125" style="2" customWidth="1"/>
    <col min="9985" max="9985" width="4" style="2" customWidth="1"/>
    <col min="9986" max="9986" width="47.7109375" style="2" customWidth="1"/>
    <col min="9987" max="9987" width="0.140625" style="2" customWidth="1"/>
    <col min="9988" max="9988" width="7.28515625" style="2" customWidth="1"/>
    <col min="9989" max="9989" width="7.42578125" style="2" bestFit="1" customWidth="1"/>
    <col min="9990" max="9994" width="7.28515625" style="2" customWidth="1"/>
    <col min="9995" max="9996" width="7.42578125" style="2" bestFit="1" customWidth="1"/>
    <col min="9997" max="9999" width="7.28515625" style="2" customWidth="1"/>
    <col min="10000" max="10000" width="8.28515625" style="2" customWidth="1"/>
    <col min="10001" max="10001" width="5.28515625" style="2" customWidth="1"/>
    <col min="10002" max="10239" width="9.140625" style="2"/>
    <col min="10240" max="10240" width="2.42578125" style="2" customWidth="1"/>
    <col min="10241" max="10241" width="4" style="2" customWidth="1"/>
    <col min="10242" max="10242" width="47.7109375" style="2" customWidth="1"/>
    <col min="10243" max="10243" width="0.140625" style="2" customWidth="1"/>
    <col min="10244" max="10244" width="7.28515625" style="2" customWidth="1"/>
    <col min="10245" max="10245" width="7.42578125" style="2" bestFit="1" customWidth="1"/>
    <col min="10246" max="10250" width="7.28515625" style="2" customWidth="1"/>
    <col min="10251" max="10252" width="7.42578125" style="2" bestFit="1" customWidth="1"/>
    <col min="10253" max="10255" width="7.28515625" style="2" customWidth="1"/>
    <col min="10256" max="10256" width="8.28515625" style="2" customWidth="1"/>
    <col min="10257" max="10257" width="5.28515625" style="2" customWidth="1"/>
    <col min="10258" max="10495" width="9.140625" style="2"/>
    <col min="10496" max="10496" width="2.42578125" style="2" customWidth="1"/>
    <col min="10497" max="10497" width="4" style="2" customWidth="1"/>
    <col min="10498" max="10498" width="47.7109375" style="2" customWidth="1"/>
    <col min="10499" max="10499" width="0.140625" style="2" customWidth="1"/>
    <col min="10500" max="10500" width="7.28515625" style="2" customWidth="1"/>
    <col min="10501" max="10501" width="7.42578125" style="2" bestFit="1" customWidth="1"/>
    <col min="10502" max="10506" width="7.28515625" style="2" customWidth="1"/>
    <col min="10507" max="10508" width="7.42578125" style="2" bestFit="1" customWidth="1"/>
    <col min="10509" max="10511" width="7.28515625" style="2" customWidth="1"/>
    <col min="10512" max="10512" width="8.28515625" style="2" customWidth="1"/>
    <col min="10513" max="10513" width="5.28515625" style="2" customWidth="1"/>
    <col min="10514" max="10751" width="9.140625" style="2"/>
    <col min="10752" max="10752" width="2.42578125" style="2" customWidth="1"/>
    <col min="10753" max="10753" width="4" style="2" customWidth="1"/>
    <col min="10754" max="10754" width="47.7109375" style="2" customWidth="1"/>
    <col min="10755" max="10755" width="0.140625" style="2" customWidth="1"/>
    <col min="10756" max="10756" width="7.28515625" style="2" customWidth="1"/>
    <col min="10757" max="10757" width="7.42578125" style="2" bestFit="1" customWidth="1"/>
    <col min="10758" max="10762" width="7.28515625" style="2" customWidth="1"/>
    <col min="10763" max="10764" width="7.42578125" style="2" bestFit="1" customWidth="1"/>
    <col min="10765" max="10767" width="7.28515625" style="2" customWidth="1"/>
    <col min="10768" max="10768" width="8.28515625" style="2" customWidth="1"/>
    <col min="10769" max="10769" width="5.28515625" style="2" customWidth="1"/>
    <col min="10770" max="11007" width="9.140625" style="2"/>
    <col min="11008" max="11008" width="2.42578125" style="2" customWidth="1"/>
    <col min="11009" max="11009" width="4" style="2" customWidth="1"/>
    <col min="11010" max="11010" width="47.7109375" style="2" customWidth="1"/>
    <col min="11011" max="11011" width="0.140625" style="2" customWidth="1"/>
    <col min="11012" max="11012" width="7.28515625" style="2" customWidth="1"/>
    <col min="11013" max="11013" width="7.42578125" style="2" bestFit="1" customWidth="1"/>
    <col min="11014" max="11018" width="7.28515625" style="2" customWidth="1"/>
    <col min="11019" max="11020" width="7.42578125" style="2" bestFit="1" customWidth="1"/>
    <col min="11021" max="11023" width="7.28515625" style="2" customWidth="1"/>
    <col min="11024" max="11024" width="8.28515625" style="2" customWidth="1"/>
    <col min="11025" max="11025" width="5.28515625" style="2" customWidth="1"/>
    <col min="11026" max="11263" width="9.140625" style="2"/>
    <col min="11264" max="11264" width="2.42578125" style="2" customWidth="1"/>
    <col min="11265" max="11265" width="4" style="2" customWidth="1"/>
    <col min="11266" max="11266" width="47.7109375" style="2" customWidth="1"/>
    <col min="11267" max="11267" width="0.140625" style="2" customWidth="1"/>
    <col min="11268" max="11268" width="7.28515625" style="2" customWidth="1"/>
    <col min="11269" max="11269" width="7.42578125" style="2" bestFit="1" customWidth="1"/>
    <col min="11270" max="11274" width="7.28515625" style="2" customWidth="1"/>
    <col min="11275" max="11276" width="7.42578125" style="2" bestFit="1" customWidth="1"/>
    <col min="11277" max="11279" width="7.28515625" style="2" customWidth="1"/>
    <col min="11280" max="11280" width="8.28515625" style="2" customWidth="1"/>
    <col min="11281" max="11281" width="5.28515625" style="2" customWidth="1"/>
    <col min="11282" max="11519" width="9.140625" style="2"/>
    <col min="11520" max="11520" width="2.42578125" style="2" customWidth="1"/>
    <col min="11521" max="11521" width="4" style="2" customWidth="1"/>
    <col min="11522" max="11522" width="47.7109375" style="2" customWidth="1"/>
    <col min="11523" max="11523" width="0.140625" style="2" customWidth="1"/>
    <col min="11524" max="11524" width="7.28515625" style="2" customWidth="1"/>
    <col min="11525" max="11525" width="7.42578125" style="2" bestFit="1" customWidth="1"/>
    <col min="11526" max="11530" width="7.28515625" style="2" customWidth="1"/>
    <col min="11531" max="11532" width="7.42578125" style="2" bestFit="1" customWidth="1"/>
    <col min="11533" max="11535" width="7.28515625" style="2" customWidth="1"/>
    <col min="11536" max="11536" width="8.28515625" style="2" customWidth="1"/>
    <col min="11537" max="11537" width="5.28515625" style="2" customWidth="1"/>
    <col min="11538" max="11775" width="9.140625" style="2"/>
    <col min="11776" max="11776" width="2.42578125" style="2" customWidth="1"/>
    <col min="11777" max="11777" width="4" style="2" customWidth="1"/>
    <col min="11778" max="11778" width="47.7109375" style="2" customWidth="1"/>
    <col min="11779" max="11779" width="0.140625" style="2" customWidth="1"/>
    <col min="11780" max="11780" width="7.28515625" style="2" customWidth="1"/>
    <col min="11781" max="11781" width="7.42578125" style="2" bestFit="1" customWidth="1"/>
    <col min="11782" max="11786" width="7.28515625" style="2" customWidth="1"/>
    <col min="11787" max="11788" width="7.42578125" style="2" bestFit="1" customWidth="1"/>
    <col min="11789" max="11791" width="7.28515625" style="2" customWidth="1"/>
    <col min="11792" max="11792" width="8.28515625" style="2" customWidth="1"/>
    <col min="11793" max="11793" width="5.28515625" style="2" customWidth="1"/>
    <col min="11794" max="12031" width="9.140625" style="2"/>
    <col min="12032" max="12032" width="2.42578125" style="2" customWidth="1"/>
    <col min="12033" max="12033" width="4" style="2" customWidth="1"/>
    <col min="12034" max="12034" width="47.7109375" style="2" customWidth="1"/>
    <col min="12035" max="12035" width="0.140625" style="2" customWidth="1"/>
    <col min="12036" max="12036" width="7.28515625" style="2" customWidth="1"/>
    <col min="12037" max="12037" width="7.42578125" style="2" bestFit="1" customWidth="1"/>
    <col min="12038" max="12042" width="7.28515625" style="2" customWidth="1"/>
    <col min="12043" max="12044" width="7.42578125" style="2" bestFit="1" customWidth="1"/>
    <col min="12045" max="12047" width="7.28515625" style="2" customWidth="1"/>
    <col min="12048" max="12048" width="8.28515625" style="2" customWidth="1"/>
    <col min="12049" max="12049" width="5.28515625" style="2" customWidth="1"/>
    <col min="12050" max="12287" width="9.140625" style="2"/>
    <col min="12288" max="12288" width="2.42578125" style="2" customWidth="1"/>
    <col min="12289" max="12289" width="4" style="2" customWidth="1"/>
    <col min="12290" max="12290" width="47.7109375" style="2" customWidth="1"/>
    <col min="12291" max="12291" width="0.140625" style="2" customWidth="1"/>
    <col min="12292" max="12292" width="7.28515625" style="2" customWidth="1"/>
    <col min="12293" max="12293" width="7.42578125" style="2" bestFit="1" customWidth="1"/>
    <col min="12294" max="12298" width="7.28515625" style="2" customWidth="1"/>
    <col min="12299" max="12300" width="7.42578125" style="2" bestFit="1" customWidth="1"/>
    <col min="12301" max="12303" width="7.28515625" style="2" customWidth="1"/>
    <col min="12304" max="12304" width="8.28515625" style="2" customWidth="1"/>
    <col min="12305" max="12305" width="5.28515625" style="2" customWidth="1"/>
    <col min="12306" max="12543" width="9.140625" style="2"/>
    <col min="12544" max="12544" width="2.42578125" style="2" customWidth="1"/>
    <col min="12545" max="12545" width="4" style="2" customWidth="1"/>
    <col min="12546" max="12546" width="47.7109375" style="2" customWidth="1"/>
    <col min="12547" max="12547" width="0.140625" style="2" customWidth="1"/>
    <col min="12548" max="12548" width="7.28515625" style="2" customWidth="1"/>
    <col min="12549" max="12549" width="7.42578125" style="2" bestFit="1" customWidth="1"/>
    <col min="12550" max="12554" width="7.28515625" style="2" customWidth="1"/>
    <col min="12555" max="12556" width="7.42578125" style="2" bestFit="1" customWidth="1"/>
    <col min="12557" max="12559" width="7.28515625" style="2" customWidth="1"/>
    <col min="12560" max="12560" width="8.28515625" style="2" customWidth="1"/>
    <col min="12561" max="12561" width="5.28515625" style="2" customWidth="1"/>
    <col min="12562" max="12799" width="9.140625" style="2"/>
    <col min="12800" max="12800" width="2.42578125" style="2" customWidth="1"/>
    <col min="12801" max="12801" width="4" style="2" customWidth="1"/>
    <col min="12802" max="12802" width="47.7109375" style="2" customWidth="1"/>
    <col min="12803" max="12803" width="0.140625" style="2" customWidth="1"/>
    <col min="12804" max="12804" width="7.28515625" style="2" customWidth="1"/>
    <col min="12805" max="12805" width="7.42578125" style="2" bestFit="1" customWidth="1"/>
    <col min="12806" max="12810" width="7.28515625" style="2" customWidth="1"/>
    <col min="12811" max="12812" width="7.42578125" style="2" bestFit="1" customWidth="1"/>
    <col min="12813" max="12815" width="7.28515625" style="2" customWidth="1"/>
    <col min="12816" max="12816" width="8.28515625" style="2" customWidth="1"/>
    <col min="12817" max="12817" width="5.28515625" style="2" customWidth="1"/>
    <col min="12818" max="13055" width="9.140625" style="2"/>
    <col min="13056" max="13056" width="2.42578125" style="2" customWidth="1"/>
    <col min="13057" max="13057" width="4" style="2" customWidth="1"/>
    <col min="13058" max="13058" width="47.7109375" style="2" customWidth="1"/>
    <col min="13059" max="13059" width="0.140625" style="2" customWidth="1"/>
    <col min="13060" max="13060" width="7.28515625" style="2" customWidth="1"/>
    <col min="13061" max="13061" width="7.42578125" style="2" bestFit="1" customWidth="1"/>
    <col min="13062" max="13066" width="7.28515625" style="2" customWidth="1"/>
    <col min="13067" max="13068" width="7.42578125" style="2" bestFit="1" customWidth="1"/>
    <col min="13069" max="13071" width="7.28515625" style="2" customWidth="1"/>
    <col min="13072" max="13072" width="8.28515625" style="2" customWidth="1"/>
    <col min="13073" max="13073" width="5.28515625" style="2" customWidth="1"/>
    <col min="13074" max="13311" width="9.140625" style="2"/>
    <col min="13312" max="13312" width="2.42578125" style="2" customWidth="1"/>
    <col min="13313" max="13313" width="4" style="2" customWidth="1"/>
    <col min="13314" max="13314" width="47.7109375" style="2" customWidth="1"/>
    <col min="13315" max="13315" width="0.140625" style="2" customWidth="1"/>
    <col min="13316" max="13316" width="7.28515625" style="2" customWidth="1"/>
    <col min="13317" max="13317" width="7.42578125" style="2" bestFit="1" customWidth="1"/>
    <col min="13318" max="13322" width="7.28515625" style="2" customWidth="1"/>
    <col min="13323" max="13324" width="7.42578125" style="2" bestFit="1" customWidth="1"/>
    <col min="13325" max="13327" width="7.28515625" style="2" customWidth="1"/>
    <col min="13328" max="13328" width="8.28515625" style="2" customWidth="1"/>
    <col min="13329" max="13329" width="5.28515625" style="2" customWidth="1"/>
    <col min="13330" max="13567" width="9.140625" style="2"/>
    <col min="13568" max="13568" width="2.42578125" style="2" customWidth="1"/>
    <col min="13569" max="13569" width="4" style="2" customWidth="1"/>
    <col min="13570" max="13570" width="47.7109375" style="2" customWidth="1"/>
    <col min="13571" max="13571" width="0.140625" style="2" customWidth="1"/>
    <col min="13572" max="13572" width="7.28515625" style="2" customWidth="1"/>
    <col min="13573" max="13573" width="7.42578125" style="2" bestFit="1" customWidth="1"/>
    <col min="13574" max="13578" width="7.28515625" style="2" customWidth="1"/>
    <col min="13579" max="13580" width="7.42578125" style="2" bestFit="1" customWidth="1"/>
    <col min="13581" max="13583" width="7.28515625" style="2" customWidth="1"/>
    <col min="13584" max="13584" width="8.28515625" style="2" customWidth="1"/>
    <col min="13585" max="13585" width="5.28515625" style="2" customWidth="1"/>
    <col min="13586" max="13823" width="9.140625" style="2"/>
    <col min="13824" max="13824" width="2.42578125" style="2" customWidth="1"/>
    <col min="13825" max="13825" width="4" style="2" customWidth="1"/>
    <col min="13826" max="13826" width="47.7109375" style="2" customWidth="1"/>
    <col min="13827" max="13827" width="0.140625" style="2" customWidth="1"/>
    <col min="13828" max="13828" width="7.28515625" style="2" customWidth="1"/>
    <col min="13829" max="13829" width="7.42578125" style="2" bestFit="1" customWidth="1"/>
    <col min="13830" max="13834" width="7.28515625" style="2" customWidth="1"/>
    <col min="13835" max="13836" width="7.42578125" style="2" bestFit="1" customWidth="1"/>
    <col min="13837" max="13839" width="7.28515625" style="2" customWidth="1"/>
    <col min="13840" max="13840" width="8.28515625" style="2" customWidth="1"/>
    <col min="13841" max="13841" width="5.28515625" style="2" customWidth="1"/>
    <col min="13842" max="14079" width="9.140625" style="2"/>
    <col min="14080" max="14080" width="2.42578125" style="2" customWidth="1"/>
    <col min="14081" max="14081" width="4" style="2" customWidth="1"/>
    <col min="14082" max="14082" width="47.7109375" style="2" customWidth="1"/>
    <col min="14083" max="14083" width="0.140625" style="2" customWidth="1"/>
    <col min="14084" max="14084" width="7.28515625" style="2" customWidth="1"/>
    <col min="14085" max="14085" width="7.42578125" style="2" bestFit="1" customWidth="1"/>
    <col min="14086" max="14090" width="7.28515625" style="2" customWidth="1"/>
    <col min="14091" max="14092" width="7.42578125" style="2" bestFit="1" customWidth="1"/>
    <col min="14093" max="14095" width="7.28515625" style="2" customWidth="1"/>
    <col min="14096" max="14096" width="8.28515625" style="2" customWidth="1"/>
    <col min="14097" max="14097" width="5.28515625" style="2" customWidth="1"/>
    <col min="14098" max="14335" width="9.140625" style="2"/>
    <col min="14336" max="14336" width="2.42578125" style="2" customWidth="1"/>
    <col min="14337" max="14337" width="4" style="2" customWidth="1"/>
    <col min="14338" max="14338" width="47.7109375" style="2" customWidth="1"/>
    <col min="14339" max="14339" width="0.140625" style="2" customWidth="1"/>
    <col min="14340" max="14340" width="7.28515625" style="2" customWidth="1"/>
    <col min="14341" max="14341" width="7.42578125" style="2" bestFit="1" customWidth="1"/>
    <col min="14342" max="14346" width="7.28515625" style="2" customWidth="1"/>
    <col min="14347" max="14348" width="7.42578125" style="2" bestFit="1" customWidth="1"/>
    <col min="14349" max="14351" width="7.28515625" style="2" customWidth="1"/>
    <col min="14352" max="14352" width="8.28515625" style="2" customWidth="1"/>
    <col min="14353" max="14353" width="5.28515625" style="2" customWidth="1"/>
    <col min="14354" max="14591" width="9.140625" style="2"/>
    <col min="14592" max="14592" width="2.42578125" style="2" customWidth="1"/>
    <col min="14593" max="14593" width="4" style="2" customWidth="1"/>
    <col min="14594" max="14594" width="47.7109375" style="2" customWidth="1"/>
    <col min="14595" max="14595" width="0.140625" style="2" customWidth="1"/>
    <col min="14596" max="14596" width="7.28515625" style="2" customWidth="1"/>
    <col min="14597" max="14597" width="7.42578125" style="2" bestFit="1" customWidth="1"/>
    <col min="14598" max="14602" width="7.28515625" style="2" customWidth="1"/>
    <col min="14603" max="14604" width="7.42578125" style="2" bestFit="1" customWidth="1"/>
    <col min="14605" max="14607" width="7.28515625" style="2" customWidth="1"/>
    <col min="14608" max="14608" width="8.28515625" style="2" customWidth="1"/>
    <col min="14609" max="14609" width="5.28515625" style="2" customWidth="1"/>
    <col min="14610" max="14847" width="9.140625" style="2"/>
    <col min="14848" max="14848" width="2.42578125" style="2" customWidth="1"/>
    <col min="14849" max="14849" width="4" style="2" customWidth="1"/>
    <col min="14850" max="14850" width="47.7109375" style="2" customWidth="1"/>
    <col min="14851" max="14851" width="0.140625" style="2" customWidth="1"/>
    <col min="14852" max="14852" width="7.28515625" style="2" customWidth="1"/>
    <col min="14853" max="14853" width="7.42578125" style="2" bestFit="1" customWidth="1"/>
    <col min="14854" max="14858" width="7.28515625" style="2" customWidth="1"/>
    <col min="14859" max="14860" width="7.42578125" style="2" bestFit="1" customWidth="1"/>
    <col min="14861" max="14863" width="7.28515625" style="2" customWidth="1"/>
    <col min="14864" max="14864" width="8.28515625" style="2" customWidth="1"/>
    <col min="14865" max="14865" width="5.28515625" style="2" customWidth="1"/>
    <col min="14866" max="15103" width="9.140625" style="2"/>
    <col min="15104" max="15104" width="2.42578125" style="2" customWidth="1"/>
    <col min="15105" max="15105" width="4" style="2" customWidth="1"/>
    <col min="15106" max="15106" width="47.7109375" style="2" customWidth="1"/>
    <col min="15107" max="15107" width="0.140625" style="2" customWidth="1"/>
    <col min="15108" max="15108" width="7.28515625" style="2" customWidth="1"/>
    <col min="15109" max="15109" width="7.42578125" style="2" bestFit="1" customWidth="1"/>
    <col min="15110" max="15114" width="7.28515625" style="2" customWidth="1"/>
    <col min="15115" max="15116" width="7.42578125" style="2" bestFit="1" customWidth="1"/>
    <col min="15117" max="15119" width="7.28515625" style="2" customWidth="1"/>
    <col min="15120" max="15120" width="8.28515625" style="2" customWidth="1"/>
    <col min="15121" max="15121" width="5.28515625" style="2" customWidth="1"/>
    <col min="15122" max="15359" width="9.140625" style="2"/>
    <col min="15360" max="15360" width="2.42578125" style="2" customWidth="1"/>
    <col min="15361" max="15361" width="4" style="2" customWidth="1"/>
    <col min="15362" max="15362" width="47.7109375" style="2" customWidth="1"/>
    <col min="15363" max="15363" width="0.140625" style="2" customWidth="1"/>
    <col min="15364" max="15364" width="7.28515625" style="2" customWidth="1"/>
    <col min="15365" max="15365" width="7.42578125" style="2" bestFit="1" customWidth="1"/>
    <col min="15366" max="15370" width="7.28515625" style="2" customWidth="1"/>
    <col min="15371" max="15372" width="7.42578125" style="2" bestFit="1" customWidth="1"/>
    <col min="15373" max="15375" width="7.28515625" style="2" customWidth="1"/>
    <col min="15376" max="15376" width="8.28515625" style="2" customWidth="1"/>
    <col min="15377" max="15377" width="5.28515625" style="2" customWidth="1"/>
    <col min="15378" max="15569" width="9.140625" style="2"/>
    <col min="15570" max="15574" width="7.28515625" style="2" customWidth="1"/>
    <col min="15575" max="15576" width="7.42578125" style="2" bestFit="1" customWidth="1"/>
    <col min="15577" max="15579" width="7.28515625" style="2" customWidth="1"/>
    <col min="15580" max="15580" width="8.28515625" style="2" customWidth="1"/>
    <col min="15581" max="15581" width="5.28515625" style="2" customWidth="1"/>
    <col min="15582" max="15819" width="9.140625" style="2"/>
    <col min="15820" max="15820" width="2.42578125" style="2" customWidth="1"/>
    <col min="15821" max="15821" width="4" style="2" customWidth="1"/>
    <col min="15822" max="15822" width="47.7109375" style="2" customWidth="1"/>
    <col min="15823" max="15823" width="0.140625" style="2" customWidth="1"/>
    <col min="15824" max="15824" width="7.28515625" style="2" customWidth="1"/>
    <col min="15825" max="15825" width="7.42578125" style="2" bestFit="1" customWidth="1"/>
    <col min="15826" max="15830" width="7.28515625" style="2" customWidth="1"/>
    <col min="15831" max="15832" width="7.42578125" style="2" bestFit="1" customWidth="1"/>
    <col min="15833" max="15835" width="7.28515625" style="2" customWidth="1"/>
    <col min="15836" max="15836" width="8.28515625" style="2" customWidth="1"/>
    <col min="15837" max="15837" width="5.28515625" style="2" customWidth="1"/>
    <col min="15838" max="16384" width="9.140625" style="2"/>
  </cols>
  <sheetData>
    <row r="1" spans="1:17" ht="15" x14ac:dyDescent="0.25">
      <c r="A1" s="1" t="s">
        <v>0</v>
      </c>
      <c r="B1" s="1"/>
      <c r="C1" s="1"/>
      <c r="D1" s="1"/>
      <c r="E1" s="1"/>
      <c r="F1" s="1"/>
      <c r="G1" s="1"/>
      <c r="H1" s="1"/>
      <c r="I1" s="1"/>
      <c r="J1" s="1"/>
      <c r="K1" s="1"/>
      <c r="L1" s="1"/>
      <c r="M1" s="1"/>
      <c r="N1" s="1"/>
      <c r="O1" s="1"/>
      <c r="P1" s="1"/>
    </row>
    <row r="2" spans="1:17" ht="15" x14ac:dyDescent="0.25">
      <c r="A2" s="1" t="s">
        <v>1</v>
      </c>
      <c r="B2" s="1"/>
      <c r="C2" s="1"/>
      <c r="D2" s="1"/>
      <c r="E2" s="1"/>
      <c r="F2" s="1"/>
      <c r="G2" s="1"/>
      <c r="H2" s="1"/>
      <c r="I2" s="1"/>
      <c r="J2" s="1"/>
      <c r="K2" s="1"/>
      <c r="L2" s="1"/>
      <c r="M2" s="1"/>
      <c r="N2" s="1"/>
      <c r="O2" s="1"/>
      <c r="P2" s="1"/>
    </row>
    <row r="3" spans="1:17" ht="15" x14ac:dyDescent="0.25">
      <c r="A3" s="315" t="s">
        <v>626</v>
      </c>
      <c r="B3" s="315"/>
      <c r="C3" s="315"/>
      <c r="D3" s="315"/>
      <c r="E3" s="315"/>
      <c r="F3" s="315"/>
      <c r="G3" s="315"/>
      <c r="H3" s="315"/>
      <c r="I3" s="315"/>
      <c r="J3" s="315"/>
      <c r="K3" s="315"/>
      <c r="L3" s="315"/>
      <c r="M3" s="315"/>
      <c r="N3" s="315"/>
      <c r="O3" s="315"/>
      <c r="P3" s="315"/>
    </row>
    <row r="4" spans="1:17" x14ac:dyDescent="0.2">
      <c r="A4" s="2" t="s">
        <v>3</v>
      </c>
    </row>
    <row r="6" spans="1:17" ht="4.5" customHeight="1" x14ac:dyDescent="0.2">
      <c r="A6" s="120"/>
      <c r="B6" s="120"/>
      <c r="C6" s="120"/>
      <c r="D6" s="120"/>
      <c r="E6" s="120"/>
      <c r="F6" s="120"/>
      <c r="G6" s="120"/>
      <c r="H6" s="120"/>
      <c r="I6" s="120"/>
      <c r="J6" s="120"/>
      <c r="K6" s="120"/>
      <c r="L6" s="120"/>
      <c r="M6" s="120"/>
      <c r="N6" s="120"/>
      <c r="O6" s="120"/>
      <c r="P6" s="120"/>
    </row>
    <row r="7" spans="1:17" x14ac:dyDescent="0.2">
      <c r="A7" s="328" t="s">
        <v>5</v>
      </c>
      <c r="B7" s="328"/>
      <c r="C7" s="328"/>
      <c r="D7" s="122" t="s">
        <v>461</v>
      </c>
      <c r="E7" s="122" t="s">
        <v>462</v>
      </c>
      <c r="F7" s="122" t="s">
        <v>463</v>
      </c>
      <c r="G7" s="122" t="s">
        <v>464</v>
      </c>
      <c r="H7" s="122" t="s">
        <v>465</v>
      </c>
      <c r="I7" s="122" t="s">
        <v>466</v>
      </c>
      <c r="J7" s="122" t="s">
        <v>467</v>
      </c>
      <c r="K7" s="122" t="s">
        <v>468</v>
      </c>
      <c r="L7" s="122" t="s">
        <v>469</v>
      </c>
      <c r="M7" s="122" t="s">
        <v>470</v>
      </c>
      <c r="N7" s="122" t="s">
        <v>471</v>
      </c>
      <c r="O7" s="122" t="s">
        <v>472</v>
      </c>
      <c r="P7" s="122" t="s">
        <v>238</v>
      </c>
    </row>
    <row r="8" spans="1:17" ht="4.5" customHeight="1" thickBot="1" x14ac:dyDescent="0.25">
      <c r="A8" s="121"/>
      <c r="B8" s="121"/>
      <c r="C8" s="121"/>
      <c r="D8" s="121"/>
      <c r="E8" s="121"/>
      <c r="F8" s="121"/>
      <c r="G8" s="121"/>
      <c r="H8" s="121"/>
      <c r="I8" s="121"/>
      <c r="J8" s="121"/>
      <c r="K8" s="121"/>
      <c r="L8" s="121"/>
      <c r="M8" s="121"/>
      <c r="N8" s="121"/>
      <c r="O8" s="121"/>
      <c r="P8" s="121"/>
    </row>
    <row r="9" spans="1:17" ht="15" thickTop="1" x14ac:dyDescent="0.2"/>
    <row r="10" spans="1:17" s="4" customFormat="1" ht="15" x14ac:dyDescent="0.25">
      <c r="A10" s="3" t="s">
        <v>20</v>
      </c>
      <c r="D10" s="19">
        <f t="shared" ref="D10:O10" si="0">SUM(D12:D32)</f>
        <v>158.19000000000003</v>
      </c>
      <c r="E10" s="19">
        <f t="shared" si="0"/>
        <v>996.45999999999992</v>
      </c>
      <c r="F10" s="19">
        <f t="shared" si="0"/>
        <v>122.33</v>
      </c>
      <c r="G10" s="19">
        <f t="shared" si="0"/>
        <v>163.67000000000002</v>
      </c>
      <c r="H10" s="19">
        <f t="shared" si="0"/>
        <v>184.07999999999998</v>
      </c>
      <c r="I10" s="19">
        <f t="shared" si="0"/>
        <v>185.73</v>
      </c>
      <c r="J10" s="19">
        <f t="shared" si="0"/>
        <v>105.63000000000001</v>
      </c>
      <c r="K10" s="19">
        <f t="shared" si="0"/>
        <v>98.58</v>
      </c>
      <c r="L10" s="19">
        <f t="shared" si="0"/>
        <v>126.56</v>
      </c>
      <c r="M10" s="19">
        <f t="shared" si="0"/>
        <v>1076.0199999999998</v>
      </c>
      <c r="N10" s="19">
        <f t="shared" si="0"/>
        <v>127.78999999999998</v>
      </c>
      <c r="O10" s="19">
        <f t="shared" si="0"/>
        <v>86.669999999999987</v>
      </c>
      <c r="P10" s="19">
        <f>SUM(D10:O10)</f>
        <v>3431.71</v>
      </c>
    </row>
    <row r="11" spans="1:17" x14ac:dyDescent="0.2">
      <c r="D11" s="114"/>
      <c r="E11" s="114"/>
      <c r="F11" s="114"/>
      <c r="G11" s="114"/>
      <c r="H11" s="114"/>
      <c r="I11" s="114"/>
      <c r="J11" s="114"/>
      <c r="K11" s="114"/>
      <c r="L11" s="114"/>
      <c r="M11" s="114"/>
      <c r="N11" s="114"/>
      <c r="O11" s="114"/>
      <c r="P11" s="114"/>
    </row>
    <row r="12" spans="1:17" x14ac:dyDescent="0.2">
      <c r="B12" s="2" t="s">
        <v>627</v>
      </c>
      <c r="D12" s="114">
        <v>0</v>
      </c>
      <c r="E12" s="114">
        <v>0</v>
      </c>
      <c r="F12" s="114">
        <v>0</v>
      </c>
      <c r="G12" s="123">
        <v>0</v>
      </c>
      <c r="H12" s="114">
        <v>0</v>
      </c>
      <c r="I12" s="114">
        <v>0</v>
      </c>
      <c r="J12" s="114">
        <v>0.02</v>
      </c>
      <c r="K12" s="114">
        <v>0</v>
      </c>
      <c r="L12" s="114">
        <v>0</v>
      </c>
      <c r="M12" s="114">
        <v>0</v>
      </c>
      <c r="N12" s="114">
        <v>0</v>
      </c>
      <c r="O12" s="114">
        <v>0</v>
      </c>
      <c r="P12" s="114">
        <f t="shared" ref="P12:P32" si="1">SUM(D12:O12)</f>
        <v>0.02</v>
      </c>
    </row>
    <row r="13" spans="1:17" x14ac:dyDescent="0.2">
      <c r="B13" s="2" t="s">
        <v>240</v>
      </c>
      <c r="D13" s="114">
        <v>1.71</v>
      </c>
      <c r="E13" s="114">
        <v>1.49</v>
      </c>
      <c r="F13" s="114">
        <v>1.57</v>
      </c>
      <c r="G13" s="123">
        <v>1.99</v>
      </c>
      <c r="H13" s="114">
        <v>1.19</v>
      </c>
      <c r="I13" s="114">
        <v>3.17</v>
      </c>
      <c r="J13" s="114">
        <v>2.13</v>
      </c>
      <c r="K13" s="114">
        <v>1.81</v>
      </c>
      <c r="L13" s="114">
        <v>1.25</v>
      </c>
      <c r="M13" s="114">
        <v>1.29</v>
      </c>
      <c r="N13" s="114">
        <v>0.84</v>
      </c>
      <c r="O13" s="114">
        <v>0.72</v>
      </c>
      <c r="P13" s="114">
        <f t="shared" si="1"/>
        <v>19.16</v>
      </c>
    </row>
    <row r="14" spans="1:17" x14ac:dyDescent="0.2">
      <c r="B14" s="2" t="s">
        <v>611</v>
      </c>
      <c r="D14" s="114">
        <v>1.05</v>
      </c>
      <c r="E14" s="123">
        <v>1.19</v>
      </c>
      <c r="F14" s="114">
        <v>0.96</v>
      </c>
      <c r="G14" s="123">
        <v>0.98</v>
      </c>
      <c r="H14" s="114">
        <v>1.52</v>
      </c>
      <c r="I14" s="114">
        <v>0.91</v>
      </c>
      <c r="J14" s="114">
        <v>0.97</v>
      </c>
      <c r="K14" s="114">
        <v>1.1299999999999999</v>
      </c>
      <c r="L14" s="114">
        <v>0.87</v>
      </c>
      <c r="M14" s="114">
        <v>0.76</v>
      </c>
      <c r="N14" s="114">
        <v>0.59</v>
      </c>
      <c r="O14" s="114">
        <v>0.69</v>
      </c>
      <c r="P14" s="114">
        <f t="shared" si="1"/>
        <v>11.619999999999997</v>
      </c>
      <c r="Q14" s="2" t="s">
        <v>6</v>
      </c>
    </row>
    <row r="15" spans="1:17" x14ac:dyDescent="0.2">
      <c r="B15" s="2" t="s">
        <v>242</v>
      </c>
      <c r="D15" s="114">
        <v>2.67</v>
      </c>
      <c r="E15" s="123">
        <v>3.12</v>
      </c>
      <c r="F15" s="114">
        <v>1.62</v>
      </c>
      <c r="G15" s="123">
        <v>0.89</v>
      </c>
      <c r="H15" s="114">
        <v>0.78</v>
      </c>
      <c r="I15" s="114">
        <v>0.83</v>
      </c>
      <c r="J15" s="114">
        <v>7.0000000000000007E-2</v>
      </c>
      <c r="K15" s="114">
        <v>0.1</v>
      </c>
      <c r="L15" s="114">
        <v>0.08</v>
      </c>
      <c r="M15" s="114">
        <v>0.19</v>
      </c>
      <c r="N15" s="114">
        <v>0.7</v>
      </c>
      <c r="O15" s="114">
        <v>0.56000000000000005</v>
      </c>
      <c r="P15" s="114">
        <f t="shared" si="1"/>
        <v>11.61</v>
      </c>
      <c r="Q15" s="2" t="s">
        <v>6</v>
      </c>
    </row>
    <row r="16" spans="1:17" x14ac:dyDescent="0.2">
      <c r="B16" s="2" t="s">
        <v>243</v>
      </c>
      <c r="D16" s="114">
        <v>39.11</v>
      </c>
      <c r="E16" s="123">
        <v>3.09</v>
      </c>
      <c r="F16" s="114">
        <v>6.5</v>
      </c>
      <c r="G16" s="123">
        <v>19.95</v>
      </c>
      <c r="H16" s="114">
        <v>6.55</v>
      </c>
      <c r="I16" s="114">
        <v>7.83</v>
      </c>
      <c r="J16" s="114">
        <v>13.55</v>
      </c>
      <c r="K16" s="114">
        <f>0.23+3.07</f>
        <v>3.3</v>
      </c>
      <c r="L16" s="114">
        <v>7.1</v>
      </c>
      <c r="M16" s="114">
        <v>108.11</v>
      </c>
      <c r="N16" s="114">
        <v>2.4500000000000002</v>
      </c>
      <c r="O16" s="114">
        <v>4.66</v>
      </c>
      <c r="P16" s="114">
        <f t="shared" si="1"/>
        <v>222.19999999999996</v>
      </c>
      <c r="Q16" s="2" t="s">
        <v>6</v>
      </c>
    </row>
    <row r="17" spans="2:17" x14ac:dyDescent="0.2">
      <c r="B17" s="2" t="s">
        <v>444</v>
      </c>
      <c r="D17" s="114">
        <v>4.55</v>
      </c>
      <c r="E17" s="123">
        <v>3.03</v>
      </c>
      <c r="F17" s="114">
        <v>5.65</v>
      </c>
      <c r="G17" s="123">
        <v>12.28</v>
      </c>
      <c r="H17" s="114">
        <v>4.1500000000000004</v>
      </c>
      <c r="I17" s="114">
        <v>3.72</v>
      </c>
      <c r="J17" s="114">
        <v>0</v>
      </c>
      <c r="K17" s="114">
        <v>0</v>
      </c>
      <c r="L17" s="114">
        <v>0</v>
      </c>
      <c r="M17" s="114">
        <v>0</v>
      </c>
      <c r="N17" s="114">
        <v>0</v>
      </c>
      <c r="O17" s="114">
        <v>0</v>
      </c>
      <c r="P17" s="114">
        <f t="shared" si="1"/>
        <v>33.379999999999995</v>
      </c>
      <c r="Q17" s="2" t="s">
        <v>553</v>
      </c>
    </row>
    <row r="18" spans="2:17" x14ac:dyDescent="0.2">
      <c r="B18" s="2" t="s">
        <v>244</v>
      </c>
      <c r="D18" s="114">
        <v>0.38</v>
      </c>
      <c r="E18" s="123">
        <v>0.8</v>
      </c>
      <c r="F18" s="114">
        <v>1.22</v>
      </c>
      <c r="G18" s="123">
        <v>0.57999999999999996</v>
      </c>
      <c r="H18" s="114">
        <v>0.53</v>
      </c>
      <c r="I18" s="114">
        <v>0.39</v>
      </c>
      <c r="J18" s="114">
        <v>0.13</v>
      </c>
      <c r="K18" s="114">
        <v>0.05</v>
      </c>
      <c r="L18" s="114">
        <v>0.27</v>
      </c>
      <c r="M18" s="114">
        <v>0.3</v>
      </c>
      <c r="N18" s="114">
        <v>7.0000000000000007E-2</v>
      </c>
      <c r="O18" s="114">
        <v>0.11</v>
      </c>
      <c r="P18" s="114">
        <f t="shared" si="1"/>
        <v>4.8300000000000018</v>
      </c>
    </row>
    <row r="19" spans="2:17" x14ac:dyDescent="0.2">
      <c r="B19" s="2" t="s">
        <v>782</v>
      </c>
      <c r="D19" s="114">
        <v>0.04</v>
      </c>
      <c r="E19" s="123">
        <v>0.02</v>
      </c>
      <c r="F19" s="114">
        <v>0.03</v>
      </c>
      <c r="G19" s="123">
        <v>1.05</v>
      </c>
      <c r="H19" s="114">
        <v>0.22</v>
      </c>
      <c r="I19" s="114">
        <v>1.01</v>
      </c>
      <c r="J19" s="114">
        <v>0.25</v>
      </c>
      <c r="K19" s="114">
        <v>0.2</v>
      </c>
      <c r="L19" s="114">
        <v>0.5</v>
      </c>
      <c r="M19" s="114">
        <v>0.32</v>
      </c>
      <c r="N19" s="114">
        <v>0.37</v>
      </c>
      <c r="O19" s="114">
        <v>0.19</v>
      </c>
      <c r="P19" s="114">
        <f t="shared" si="1"/>
        <v>4.2</v>
      </c>
      <c r="Q19" s="2" t="s">
        <v>6</v>
      </c>
    </row>
    <row r="20" spans="2:17" x14ac:dyDescent="0.2">
      <c r="B20" s="2" t="s">
        <v>245</v>
      </c>
      <c r="D20" s="114">
        <v>2.52</v>
      </c>
      <c r="E20" s="123">
        <v>0</v>
      </c>
      <c r="F20" s="114">
        <v>0.02</v>
      </c>
      <c r="G20" s="123">
        <v>0</v>
      </c>
      <c r="H20" s="114">
        <v>2.63</v>
      </c>
      <c r="I20" s="114">
        <v>0.01</v>
      </c>
      <c r="J20" s="114">
        <v>0</v>
      </c>
      <c r="K20" s="114">
        <v>0</v>
      </c>
      <c r="L20" s="114">
        <v>0</v>
      </c>
      <c r="M20" s="114">
        <v>0</v>
      </c>
      <c r="N20" s="114">
        <v>0</v>
      </c>
      <c r="O20" s="114">
        <v>0</v>
      </c>
      <c r="P20" s="114">
        <f t="shared" si="1"/>
        <v>5.18</v>
      </c>
    </row>
    <row r="21" spans="2:17" x14ac:dyDescent="0.2">
      <c r="B21" s="2" t="s">
        <v>246</v>
      </c>
      <c r="D21" s="114">
        <v>6.68</v>
      </c>
      <c r="E21" s="123">
        <v>3.75</v>
      </c>
      <c r="F21" s="114">
        <v>3.14</v>
      </c>
      <c r="G21" s="123">
        <v>3.92</v>
      </c>
      <c r="H21" s="114">
        <v>3.1</v>
      </c>
      <c r="I21" s="114">
        <v>3.15</v>
      </c>
      <c r="J21" s="114">
        <v>5.01</v>
      </c>
      <c r="K21" s="114">
        <v>3.79</v>
      </c>
      <c r="L21" s="114">
        <v>5.0599999999999996</v>
      </c>
      <c r="M21" s="114">
        <v>4.2300000000000004</v>
      </c>
      <c r="N21" s="114">
        <v>5.15</v>
      </c>
      <c r="O21" s="114">
        <v>6.65</v>
      </c>
      <c r="P21" s="114">
        <f t="shared" si="1"/>
        <v>53.629999999999995</v>
      </c>
    </row>
    <row r="22" spans="2:17" x14ac:dyDescent="0.2">
      <c r="B22" s="2" t="s">
        <v>247</v>
      </c>
      <c r="D22" s="114">
        <v>0.03</v>
      </c>
      <c r="E22" s="123">
        <v>0.08</v>
      </c>
      <c r="F22" s="114">
        <v>0.01</v>
      </c>
      <c r="G22" s="123">
        <v>7.0000000000000007E-2</v>
      </c>
      <c r="H22" s="114">
        <v>0.11</v>
      </c>
      <c r="I22" s="114">
        <v>0.95</v>
      </c>
      <c r="J22" s="114">
        <v>0.03</v>
      </c>
      <c r="K22" s="114">
        <v>0.01</v>
      </c>
      <c r="L22" s="114">
        <v>0.01</v>
      </c>
      <c r="M22" s="114">
        <v>0.02</v>
      </c>
      <c r="N22" s="114">
        <v>0</v>
      </c>
      <c r="O22" s="114">
        <v>0.12</v>
      </c>
      <c r="P22" s="114">
        <f t="shared" si="1"/>
        <v>1.44</v>
      </c>
    </row>
    <row r="23" spans="2:17" x14ac:dyDescent="0.2">
      <c r="B23" s="2" t="s">
        <v>248</v>
      </c>
      <c r="D23" s="114">
        <v>0.1</v>
      </c>
      <c r="E23" s="123">
        <v>0.02</v>
      </c>
      <c r="F23" s="114">
        <v>1.31</v>
      </c>
      <c r="G23" s="123">
        <v>0.18</v>
      </c>
      <c r="H23" s="114">
        <v>0.04</v>
      </c>
      <c r="I23" s="114">
        <v>0.01</v>
      </c>
      <c r="J23" s="114">
        <v>0.01</v>
      </c>
      <c r="K23" s="114">
        <v>0.02</v>
      </c>
      <c r="L23" s="114">
        <v>7.0000000000000007E-2</v>
      </c>
      <c r="M23" s="114">
        <v>0.04</v>
      </c>
      <c r="N23" s="114">
        <v>0.04</v>
      </c>
      <c r="O23" s="114">
        <v>0.01</v>
      </c>
      <c r="P23" s="114">
        <f t="shared" si="1"/>
        <v>1.8500000000000003</v>
      </c>
    </row>
    <row r="24" spans="2:17" x14ac:dyDescent="0.2">
      <c r="B24" s="2" t="s">
        <v>249</v>
      </c>
      <c r="D24" s="114">
        <v>0.53</v>
      </c>
      <c r="E24" s="123">
        <v>0.45</v>
      </c>
      <c r="F24" s="114">
        <v>0.32</v>
      </c>
      <c r="G24" s="123">
        <v>0.19</v>
      </c>
      <c r="H24" s="114">
        <v>0.2</v>
      </c>
      <c r="I24" s="114">
        <v>0.27</v>
      </c>
      <c r="J24" s="114">
        <v>0.43</v>
      </c>
      <c r="K24" s="114">
        <v>0.49</v>
      </c>
      <c r="L24" s="114">
        <v>3.07</v>
      </c>
      <c r="M24" s="114">
        <v>0.71</v>
      </c>
      <c r="N24" s="114">
        <v>0.25</v>
      </c>
      <c r="O24" s="114">
        <v>0.35</v>
      </c>
      <c r="P24" s="114">
        <f t="shared" si="1"/>
        <v>7.2599999999999989</v>
      </c>
    </row>
    <row r="25" spans="2:17" x14ac:dyDescent="0.2">
      <c r="B25" s="2" t="s">
        <v>250</v>
      </c>
      <c r="D25" s="114">
        <v>0.85</v>
      </c>
      <c r="E25" s="123">
        <v>0.71</v>
      </c>
      <c r="F25" s="114">
        <v>0.41</v>
      </c>
      <c r="G25" s="123">
        <v>0.24</v>
      </c>
      <c r="H25" s="114">
        <v>0.2</v>
      </c>
      <c r="I25" s="114">
        <v>0.2</v>
      </c>
      <c r="J25" s="114">
        <v>0.26</v>
      </c>
      <c r="K25" s="114">
        <v>0.35</v>
      </c>
      <c r="L25" s="114">
        <v>0.53</v>
      </c>
      <c r="M25" s="114">
        <v>0.39</v>
      </c>
      <c r="N25" s="114">
        <v>0.5</v>
      </c>
      <c r="O25" s="114">
        <v>0.56000000000000005</v>
      </c>
      <c r="P25" s="114">
        <f t="shared" si="1"/>
        <v>5.1999999999999993</v>
      </c>
    </row>
    <row r="26" spans="2:17" x14ac:dyDescent="0.2">
      <c r="B26" s="2" t="s">
        <v>251</v>
      </c>
      <c r="D26" s="114">
        <v>29.59</v>
      </c>
      <c r="E26" s="123">
        <v>934.53</v>
      </c>
      <c r="F26" s="114">
        <v>35.99</v>
      </c>
      <c r="G26" s="123">
        <v>44.19</v>
      </c>
      <c r="H26" s="114">
        <v>41.36</v>
      </c>
      <c r="I26" s="114">
        <v>62.35</v>
      </c>
      <c r="J26" s="114">
        <v>37.880000000000003</v>
      </c>
      <c r="K26" s="114">
        <v>40.15</v>
      </c>
      <c r="L26" s="114">
        <v>55.5</v>
      </c>
      <c r="M26" s="114">
        <v>905.7</v>
      </c>
      <c r="N26" s="114">
        <v>51.15</v>
      </c>
      <c r="O26" s="114">
        <v>30.54</v>
      </c>
      <c r="P26" s="114">
        <f t="shared" si="1"/>
        <v>2268.9299999999998</v>
      </c>
    </row>
    <row r="27" spans="2:17" x14ac:dyDescent="0.2">
      <c r="B27" s="2" t="s">
        <v>239</v>
      </c>
      <c r="D27" s="114">
        <v>24.28</v>
      </c>
      <c r="E27" s="114">
        <v>1.1200000000000001</v>
      </c>
      <c r="F27" s="114">
        <v>0.62</v>
      </c>
      <c r="G27" s="123">
        <v>0.73</v>
      </c>
      <c r="H27" s="114">
        <v>0.55000000000000004</v>
      </c>
      <c r="I27" s="114">
        <v>30.98</v>
      </c>
      <c r="J27" s="114">
        <v>0.25</v>
      </c>
      <c r="K27" s="114">
        <v>0.32</v>
      </c>
      <c r="L27" s="114">
        <v>0.39</v>
      </c>
      <c r="M27" s="114">
        <v>0.26</v>
      </c>
      <c r="N27" s="114">
        <v>0.34</v>
      </c>
      <c r="O27" s="114">
        <v>0.43</v>
      </c>
      <c r="P27" s="114">
        <f t="shared" si="1"/>
        <v>60.27</v>
      </c>
    </row>
    <row r="28" spans="2:17" x14ac:dyDescent="0.2">
      <c r="B28" s="2" t="s">
        <v>252</v>
      </c>
      <c r="D28" s="114">
        <v>0.32</v>
      </c>
      <c r="E28" s="123">
        <v>0.39</v>
      </c>
      <c r="F28" s="114">
        <v>0.55000000000000004</v>
      </c>
      <c r="G28" s="123">
        <v>0.34</v>
      </c>
      <c r="H28" s="114">
        <v>0.45</v>
      </c>
      <c r="I28" s="114">
        <v>0.24</v>
      </c>
      <c r="J28" s="114">
        <v>0.19</v>
      </c>
      <c r="K28" s="114">
        <v>0.19</v>
      </c>
      <c r="L28" s="114">
        <v>0.33</v>
      </c>
      <c r="M28" s="114">
        <v>0.14000000000000001</v>
      </c>
      <c r="N28" s="114">
        <v>1.23</v>
      </c>
      <c r="O28" s="114">
        <v>0.14000000000000001</v>
      </c>
      <c r="P28" s="114">
        <f t="shared" si="1"/>
        <v>4.51</v>
      </c>
    </row>
    <row r="29" spans="2:17" x14ac:dyDescent="0.2">
      <c r="B29" s="2" t="s">
        <v>253</v>
      </c>
      <c r="D29" s="114">
        <v>9.9700000000000006</v>
      </c>
      <c r="E29" s="123">
        <v>9.1300000000000008</v>
      </c>
      <c r="F29" s="114">
        <v>12.18</v>
      </c>
      <c r="G29" s="123">
        <v>6.45</v>
      </c>
      <c r="H29" s="114">
        <v>8.4499999999999993</v>
      </c>
      <c r="I29" s="114">
        <v>4.8499999999999996</v>
      </c>
      <c r="J29" s="114">
        <v>0.61</v>
      </c>
      <c r="K29" s="114">
        <v>0.27</v>
      </c>
      <c r="L29" s="114">
        <v>0.47</v>
      </c>
      <c r="M29" s="114">
        <v>2.8</v>
      </c>
      <c r="N29" s="114">
        <v>0.26</v>
      </c>
      <c r="O29" s="114">
        <v>0.49</v>
      </c>
      <c r="P29" s="114">
        <f t="shared" si="1"/>
        <v>55.930000000000007</v>
      </c>
    </row>
    <row r="30" spans="2:17" x14ac:dyDescent="0.2">
      <c r="B30" s="2" t="s">
        <v>255</v>
      </c>
      <c r="D30" s="114">
        <v>25.77</v>
      </c>
      <c r="E30" s="123">
        <v>25.05</v>
      </c>
      <c r="F30" s="114">
        <v>42.24</v>
      </c>
      <c r="G30" s="123">
        <v>62.52</v>
      </c>
      <c r="H30" s="114">
        <v>102.42</v>
      </c>
      <c r="I30" s="114">
        <v>56.08</v>
      </c>
      <c r="J30" s="114">
        <v>37.51</v>
      </c>
      <c r="K30" s="114">
        <v>40.700000000000003</v>
      </c>
      <c r="L30" s="114">
        <v>44.99</v>
      </c>
      <c r="M30" s="114">
        <v>43.86</v>
      </c>
      <c r="N30" s="114">
        <v>59.29</v>
      </c>
      <c r="O30" s="114">
        <v>33.659999999999997</v>
      </c>
      <c r="P30" s="114">
        <f t="shared" si="1"/>
        <v>574.08999999999992</v>
      </c>
    </row>
    <row r="31" spans="2:17" x14ac:dyDescent="0.2">
      <c r="B31" s="2" t="s">
        <v>257</v>
      </c>
      <c r="D31" s="114">
        <v>0.11</v>
      </c>
      <c r="E31" s="123">
        <v>0.13</v>
      </c>
      <c r="F31" s="114">
        <v>0.24</v>
      </c>
      <c r="G31" s="123">
        <v>0.12</v>
      </c>
      <c r="H31" s="114">
        <v>0.14000000000000001</v>
      </c>
      <c r="I31" s="114">
        <v>0.13</v>
      </c>
      <c r="J31" s="114">
        <v>0.16</v>
      </c>
      <c r="K31" s="114">
        <v>0.17</v>
      </c>
      <c r="L31" s="114">
        <v>0.1</v>
      </c>
      <c r="M31" s="114">
        <v>0.11</v>
      </c>
      <c r="N31" s="114">
        <v>0.1</v>
      </c>
      <c r="O31" s="114">
        <v>0.11</v>
      </c>
      <c r="P31" s="114">
        <f t="shared" si="1"/>
        <v>1.6200000000000003</v>
      </c>
    </row>
    <row r="32" spans="2:17" x14ac:dyDescent="0.2">
      <c r="B32" s="2" t="s">
        <v>259</v>
      </c>
      <c r="D32" s="114">
        <v>7.93</v>
      </c>
      <c r="E32" s="123">
        <v>8.36</v>
      </c>
      <c r="F32" s="114">
        <v>7.75</v>
      </c>
      <c r="G32" s="123">
        <v>7</v>
      </c>
      <c r="H32" s="114">
        <v>9.49</v>
      </c>
      <c r="I32" s="114">
        <v>8.65</v>
      </c>
      <c r="J32" s="114">
        <f>6.16+0.01</f>
        <v>6.17</v>
      </c>
      <c r="K32" s="114">
        <v>5.53</v>
      </c>
      <c r="L32" s="114">
        <v>5.97</v>
      </c>
      <c r="M32" s="114">
        <v>6.79</v>
      </c>
      <c r="N32" s="114">
        <v>4.46</v>
      </c>
      <c r="O32" s="114">
        <v>6.68</v>
      </c>
      <c r="P32" s="114">
        <f t="shared" si="1"/>
        <v>84.78</v>
      </c>
    </row>
    <row r="33" spans="1:16" x14ac:dyDescent="0.2">
      <c r="D33" s="7"/>
      <c r="E33" s="7"/>
      <c r="F33" s="7"/>
      <c r="G33" s="7"/>
      <c r="H33" s="7"/>
      <c r="I33" s="7"/>
      <c r="J33" s="7"/>
      <c r="K33" s="7"/>
      <c r="L33" s="7"/>
      <c r="M33" s="7"/>
      <c r="N33" s="7"/>
      <c r="O33" s="7"/>
      <c r="P33" s="7"/>
    </row>
    <row r="34" spans="1:16" s="4" customFormat="1" ht="15" x14ac:dyDescent="0.25">
      <c r="A34" s="3" t="s">
        <v>46</v>
      </c>
      <c r="D34" s="19">
        <f>SUM(D36:D40)</f>
        <v>22.959999999999997</v>
      </c>
      <c r="E34" s="19">
        <f t="shared" ref="E34:O34" si="2">SUM(E36:E40)</f>
        <v>8.43</v>
      </c>
      <c r="F34" s="19">
        <f t="shared" si="2"/>
        <v>23.45</v>
      </c>
      <c r="G34" s="19">
        <f t="shared" si="2"/>
        <v>13.649999999999999</v>
      </c>
      <c r="H34" s="19">
        <f t="shared" si="2"/>
        <v>5.03</v>
      </c>
      <c r="I34" s="19">
        <f t="shared" si="2"/>
        <v>6.3599999999999994</v>
      </c>
      <c r="J34" s="19">
        <f t="shared" si="2"/>
        <v>10.129999999999999</v>
      </c>
      <c r="K34" s="19">
        <f t="shared" si="2"/>
        <v>8.7200000000000006</v>
      </c>
      <c r="L34" s="19">
        <f t="shared" si="2"/>
        <v>11.670000000000002</v>
      </c>
      <c r="M34" s="19">
        <f t="shared" si="2"/>
        <v>11.69</v>
      </c>
      <c r="N34" s="19">
        <f t="shared" si="2"/>
        <v>9.83</v>
      </c>
      <c r="O34" s="19">
        <f t="shared" si="2"/>
        <v>10.220000000000001</v>
      </c>
      <c r="P34" s="19">
        <f>SUM(D34:O34)</f>
        <v>142.13999999999999</v>
      </c>
    </row>
    <row r="35" spans="1:16" x14ac:dyDescent="0.2">
      <c r="D35" s="114"/>
      <c r="E35" s="114"/>
      <c r="F35" s="114"/>
      <c r="G35" s="114"/>
      <c r="H35" s="114"/>
      <c r="I35" s="114"/>
      <c r="J35" s="114"/>
      <c r="K35" s="114"/>
      <c r="L35" s="114"/>
      <c r="M35" s="114"/>
      <c r="N35" s="114"/>
      <c r="O35" s="114"/>
      <c r="P35" s="114"/>
    </row>
    <row r="36" spans="1:16" x14ac:dyDescent="0.2">
      <c r="B36" s="2" t="s">
        <v>261</v>
      </c>
      <c r="D36" s="114">
        <v>0.24</v>
      </c>
      <c r="E36" s="114">
        <v>0.09</v>
      </c>
      <c r="F36" s="114">
        <v>0.02</v>
      </c>
      <c r="G36" s="123">
        <v>0.03</v>
      </c>
      <c r="H36" s="114">
        <v>0.25</v>
      </c>
      <c r="I36" s="114">
        <v>0.11</v>
      </c>
      <c r="J36" s="114">
        <v>0.02</v>
      </c>
      <c r="K36" s="114">
        <v>0.05</v>
      </c>
      <c r="L36" s="114">
        <v>0.05</v>
      </c>
      <c r="M36" s="114">
        <v>0.02</v>
      </c>
      <c r="N36" s="114">
        <v>0.08</v>
      </c>
      <c r="O36" s="114">
        <v>0.03</v>
      </c>
      <c r="P36" s="114">
        <f>SUM(D36:O36)</f>
        <v>0.9900000000000001</v>
      </c>
    </row>
    <row r="37" spans="1:16" x14ac:dyDescent="0.2">
      <c r="B37" s="2" t="s">
        <v>263</v>
      </c>
      <c r="D37" s="114">
        <v>16.64</v>
      </c>
      <c r="E37" s="114">
        <v>7.63</v>
      </c>
      <c r="F37" s="114">
        <v>21.21</v>
      </c>
      <c r="G37" s="123">
        <v>12.93</v>
      </c>
      <c r="H37" s="114">
        <v>4.72</v>
      </c>
      <c r="I37" s="114">
        <v>5.85</v>
      </c>
      <c r="J37" s="114">
        <v>9.44</v>
      </c>
      <c r="K37" s="114">
        <v>8.6</v>
      </c>
      <c r="L37" s="114">
        <v>11.02</v>
      </c>
      <c r="M37" s="114">
        <v>11.64</v>
      </c>
      <c r="N37" s="114">
        <v>9.7200000000000006</v>
      </c>
      <c r="O37" s="114">
        <v>9.52</v>
      </c>
      <c r="P37" s="114">
        <f>SUM(D37:O37)</f>
        <v>128.91999999999999</v>
      </c>
    </row>
    <row r="38" spans="1:16" x14ac:dyDescent="0.2">
      <c r="B38" s="2" t="s">
        <v>265</v>
      </c>
      <c r="D38" s="114">
        <v>0.04</v>
      </c>
      <c r="E38" s="114">
        <v>0.17</v>
      </c>
      <c r="F38" s="114">
        <v>0.08</v>
      </c>
      <c r="G38" s="114">
        <v>0.32</v>
      </c>
      <c r="H38" s="114">
        <v>0.03</v>
      </c>
      <c r="I38" s="114">
        <v>0.38</v>
      </c>
      <c r="J38" s="114">
        <v>0.67</v>
      </c>
      <c r="K38" s="114">
        <v>7.0000000000000007E-2</v>
      </c>
      <c r="L38" s="114">
        <v>0.55000000000000004</v>
      </c>
      <c r="M38" s="114">
        <v>0.02</v>
      </c>
      <c r="N38" s="114">
        <v>0.02</v>
      </c>
      <c r="O38" s="114">
        <v>0.54</v>
      </c>
      <c r="P38" s="114">
        <f>SUM(D38:O38)</f>
        <v>2.89</v>
      </c>
    </row>
    <row r="39" spans="1:16" x14ac:dyDescent="0.2">
      <c r="B39" s="2" t="s">
        <v>260</v>
      </c>
      <c r="D39" s="114">
        <v>0.02</v>
      </c>
      <c r="E39" s="114">
        <v>0</v>
      </c>
      <c r="F39" s="114">
        <v>0</v>
      </c>
      <c r="G39" s="123">
        <v>0</v>
      </c>
      <c r="H39" s="114">
        <v>0</v>
      </c>
      <c r="I39" s="114">
        <v>0</v>
      </c>
      <c r="J39" s="114">
        <v>0</v>
      </c>
      <c r="K39" s="114">
        <v>0</v>
      </c>
      <c r="L39" s="114">
        <v>0</v>
      </c>
      <c r="M39" s="114">
        <v>0</v>
      </c>
      <c r="N39" s="114">
        <v>0</v>
      </c>
      <c r="O39" s="114">
        <v>0</v>
      </c>
      <c r="P39" s="114">
        <f>SUM(D39:O39)</f>
        <v>0.02</v>
      </c>
    </row>
    <row r="40" spans="1:16" x14ac:dyDescent="0.2">
      <c r="B40" s="2" t="s">
        <v>628</v>
      </c>
      <c r="D40" s="114">
        <v>6.02</v>
      </c>
      <c r="E40" s="114">
        <v>0.54</v>
      </c>
      <c r="F40" s="114">
        <v>2.14</v>
      </c>
      <c r="G40" s="114">
        <v>0.37</v>
      </c>
      <c r="H40" s="114">
        <v>0.03</v>
      </c>
      <c r="I40" s="114">
        <v>0.02</v>
      </c>
      <c r="J40" s="114">
        <v>0</v>
      </c>
      <c r="K40" s="114">
        <v>0</v>
      </c>
      <c r="L40" s="114">
        <v>0.05</v>
      </c>
      <c r="M40" s="114">
        <v>0.01</v>
      </c>
      <c r="N40" s="114">
        <v>0.01</v>
      </c>
      <c r="O40" s="114">
        <v>0.13</v>
      </c>
      <c r="P40" s="114">
        <f>SUM(D40:O40)</f>
        <v>9.3199999999999985</v>
      </c>
    </row>
    <row r="41" spans="1:16" x14ac:dyDescent="0.2">
      <c r="D41" s="10"/>
      <c r="E41" s="10"/>
      <c r="F41" s="10"/>
      <c r="G41" s="10"/>
      <c r="H41" s="10"/>
      <c r="I41" s="10"/>
      <c r="J41" s="10"/>
      <c r="K41" s="10"/>
      <c r="L41" s="10"/>
      <c r="M41" s="10"/>
      <c r="N41" s="10"/>
      <c r="O41" s="10"/>
      <c r="P41" s="10"/>
    </row>
    <row r="42" spans="1:16" s="4" customFormat="1" ht="15" x14ac:dyDescent="0.25">
      <c r="A42" s="3" t="s">
        <v>54</v>
      </c>
      <c r="D42" s="19">
        <f t="shared" ref="D42:O42" si="3">SUM(D44:D57)</f>
        <v>43.710000000000008</v>
      </c>
      <c r="E42" s="19">
        <f t="shared" si="3"/>
        <v>38.96</v>
      </c>
      <c r="F42" s="19">
        <f t="shared" si="3"/>
        <v>25.47</v>
      </c>
      <c r="G42" s="19">
        <f t="shared" si="3"/>
        <v>36.08</v>
      </c>
      <c r="H42" s="19">
        <f t="shared" si="3"/>
        <v>31.47</v>
      </c>
      <c r="I42" s="19">
        <f t="shared" si="3"/>
        <v>25.249999999999996</v>
      </c>
      <c r="J42" s="19">
        <f t="shared" si="3"/>
        <v>18.080000000000002</v>
      </c>
      <c r="K42" s="19">
        <f t="shared" si="3"/>
        <v>18.29</v>
      </c>
      <c r="L42" s="19">
        <f t="shared" si="3"/>
        <v>19.11</v>
      </c>
      <c r="M42" s="19">
        <f t="shared" si="3"/>
        <v>17.09</v>
      </c>
      <c r="N42" s="19">
        <f t="shared" si="3"/>
        <v>17.510000000000002</v>
      </c>
      <c r="O42" s="19">
        <f t="shared" si="3"/>
        <v>17.88</v>
      </c>
      <c r="P42" s="19">
        <f>SUM(D42:O42)</f>
        <v>308.89999999999998</v>
      </c>
    </row>
    <row r="43" spans="1:16" x14ac:dyDescent="0.2">
      <c r="D43" s="114"/>
      <c r="E43" s="114"/>
      <c r="F43" s="114"/>
      <c r="G43" s="114"/>
      <c r="H43" s="114"/>
      <c r="I43" s="114"/>
      <c r="J43" s="114"/>
      <c r="K43" s="114"/>
      <c r="L43" s="114"/>
      <c r="M43" s="114"/>
      <c r="N43" s="114"/>
      <c r="O43" s="114"/>
      <c r="P43" s="114"/>
    </row>
    <row r="44" spans="1:16" x14ac:dyDescent="0.2">
      <c r="B44" s="124" t="s">
        <v>56</v>
      </c>
      <c r="D44" s="114">
        <v>0.02</v>
      </c>
      <c r="E44" s="114">
        <v>0.03</v>
      </c>
      <c r="F44" s="114">
        <v>0.01</v>
      </c>
      <c r="G44" s="123">
        <v>0.02</v>
      </c>
      <c r="H44" s="114">
        <v>0</v>
      </c>
      <c r="I44" s="114">
        <v>0.01</v>
      </c>
      <c r="J44" s="114">
        <v>0</v>
      </c>
      <c r="K44" s="114">
        <v>0</v>
      </c>
      <c r="L44" s="114">
        <v>0</v>
      </c>
      <c r="M44" s="114">
        <v>0</v>
      </c>
      <c r="N44" s="114">
        <v>0</v>
      </c>
      <c r="O44" s="114">
        <v>0</v>
      </c>
      <c r="P44" s="114">
        <f t="shared" ref="P44:P57" si="4">SUM(D44:O44)</f>
        <v>0.09</v>
      </c>
    </row>
    <row r="45" spans="1:16" x14ac:dyDescent="0.2">
      <c r="B45" s="124" t="s">
        <v>785</v>
      </c>
      <c r="D45" s="114">
        <v>1.04</v>
      </c>
      <c r="E45" s="114">
        <v>0.02</v>
      </c>
      <c r="F45" s="114">
        <v>0.01</v>
      </c>
      <c r="G45" s="123">
        <v>0.01</v>
      </c>
      <c r="H45" s="114">
        <v>0.09</v>
      </c>
      <c r="I45" s="114">
        <v>0.01</v>
      </c>
      <c r="J45" s="114">
        <v>0.03</v>
      </c>
      <c r="K45" s="114">
        <v>0.01</v>
      </c>
      <c r="L45" s="114">
        <v>0.03</v>
      </c>
      <c r="M45" s="114">
        <v>0.01</v>
      </c>
      <c r="N45" s="114">
        <v>0.08</v>
      </c>
      <c r="O45" s="114">
        <v>0.01</v>
      </c>
      <c r="P45" s="114">
        <f t="shared" si="4"/>
        <v>1.3500000000000003</v>
      </c>
    </row>
    <row r="46" spans="1:16" x14ac:dyDescent="0.2">
      <c r="B46" s="124" t="s">
        <v>788</v>
      </c>
      <c r="D46" s="114">
        <v>8.98</v>
      </c>
      <c r="E46" s="114">
        <v>7.14</v>
      </c>
      <c r="F46" s="114">
        <v>8.14</v>
      </c>
      <c r="G46" s="123">
        <v>7.79</v>
      </c>
      <c r="H46" s="114">
        <v>7.64</v>
      </c>
      <c r="I46" s="114">
        <v>7.8</v>
      </c>
      <c r="J46" s="114">
        <v>7.69</v>
      </c>
      <c r="K46" s="114">
        <v>7.5</v>
      </c>
      <c r="L46" s="114">
        <v>7.36</v>
      </c>
      <c r="M46" s="114">
        <v>7.36</v>
      </c>
      <c r="N46" s="114">
        <v>7.74</v>
      </c>
      <c r="O46" s="114">
        <v>6.54</v>
      </c>
      <c r="P46" s="114">
        <f t="shared" si="4"/>
        <v>91.68</v>
      </c>
    </row>
    <row r="47" spans="1:16" x14ac:dyDescent="0.2">
      <c r="B47" s="124" t="s">
        <v>58</v>
      </c>
      <c r="D47" s="114">
        <v>9.2799999999999994</v>
      </c>
      <c r="E47" s="123">
        <v>8.1</v>
      </c>
      <c r="F47" s="114">
        <v>2.66</v>
      </c>
      <c r="G47" s="123">
        <v>3.01</v>
      </c>
      <c r="H47" s="114">
        <v>2.5499999999999998</v>
      </c>
      <c r="I47" s="114">
        <v>2.23</v>
      </c>
      <c r="J47" s="114">
        <v>2.29</v>
      </c>
      <c r="K47" s="114">
        <v>2.15</v>
      </c>
      <c r="L47" s="114">
        <v>2.75</v>
      </c>
      <c r="M47" s="114">
        <v>2.21</v>
      </c>
      <c r="N47" s="114">
        <v>2.0699999999999998</v>
      </c>
      <c r="O47" s="114">
        <v>3.59</v>
      </c>
      <c r="P47" s="114">
        <f t="shared" si="4"/>
        <v>42.89</v>
      </c>
    </row>
    <row r="48" spans="1:16" x14ac:dyDescent="0.2">
      <c r="B48" s="124" t="s">
        <v>59</v>
      </c>
      <c r="D48" s="114">
        <v>0.44</v>
      </c>
      <c r="E48" s="123">
        <v>0.34</v>
      </c>
      <c r="F48" s="114">
        <v>0.7</v>
      </c>
      <c r="G48" s="123">
        <v>0.34</v>
      </c>
      <c r="H48" s="114">
        <v>0.16</v>
      </c>
      <c r="I48" s="114">
        <v>0.3</v>
      </c>
      <c r="J48" s="114">
        <v>0.38</v>
      </c>
      <c r="K48" s="114">
        <v>0.38</v>
      </c>
      <c r="L48" s="114">
        <v>0.44</v>
      </c>
      <c r="M48" s="114">
        <v>0.28000000000000003</v>
      </c>
      <c r="N48" s="114">
        <v>0.52</v>
      </c>
      <c r="O48" s="114">
        <v>0.42</v>
      </c>
      <c r="P48" s="114">
        <f t="shared" si="4"/>
        <v>4.6999999999999993</v>
      </c>
    </row>
    <row r="49" spans="1:16" x14ac:dyDescent="0.2">
      <c r="B49" s="124" t="s">
        <v>479</v>
      </c>
      <c r="D49" s="114">
        <v>0.03</v>
      </c>
      <c r="E49" s="123">
        <v>7.56</v>
      </c>
      <c r="F49" s="114">
        <v>0.02</v>
      </c>
      <c r="G49" s="123">
        <v>0.04</v>
      </c>
      <c r="H49" s="114">
        <v>0.04</v>
      </c>
      <c r="I49" s="114">
        <v>0.02</v>
      </c>
      <c r="J49" s="114">
        <v>0.01</v>
      </c>
      <c r="K49" s="114">
        <v>0.01</v>
      </c>
      <c r="L49" s="114">
        <v>0.02</v>
      </c>
      <c r="M49" s="114">
        <v>7.0000000000000007E-2</v>
      </c>
      <c r="N49" s="114">
        <v>0.08</v>
      </c>
      <c r="O49" s="114">
        <v>0.02</v>
      </c>
      <c r="P49" s="114">
        <f t="shared" si="4"/>
        <v>7.9199999999999982</v>
      </c>
    </row>
    <row r="50" spans="1:16" x14ac:dyDescent="0.2">
      <c r="B50" s="124" t="s">
        <v>61</v>
      </c>
      <c r="D50" s="114">
        <v>0.17</v>
      </c>
      <c r="E50" s="123">
        <v>0.12</v>
      </c>
      <c r="F50" s="114">
        <v>0.13</v>
      </c>
      <c r="G50" s="123">
        <v>7.0000000000000007E-2</v>
      </c>
      <c r="H50" s="114">
        <v>0.15</v>
      </c>
      <c r="I50" s="114">
        <v>0.24</v>
      </c>
      <c r="J50" s="114">
        <v>0.1</v>
      </c>
      <c r="K50" s="114">
        <v>0.15</v>
      </c>
      <c r="L50" s="114">
        <v>0.17</v>
      </c>
      <c r="M50" s="114">
        <v>0.12</v>
      </c>
      <c r="N50" s="114">
        <v>0.16</v>
      </c>
      <c r="O50" s="114">
        <v>0.11</v>
      </c>
      <c r="P50" s="114">
        <f t="shared" si="4"/>
        <v>1.69</v>
      </c>
    </row>
    <row r="51" spans="1:16" x14ac:dyDescent="0.2">
      <c r="B51" s="124" t="s">
        <v>62</v>
      </c>
      <c r="D51" s="114">
        <v>0.01</v>
      </c>
      <c r="E51" s="123">
        <v>0</v>
      </c>
      <c r="F51" s="114">
        <v>0</v>
      </c>
      <c r="G51" s="123">
        <v>0</v>
      </c>
      <c r="H51" s="114">
        <v>0.04</v>
      </c>
      <c r="I51" s="114">
        <v>0.01</v>
      </c>
      <c r="J51" s="114">
        <v>0.01</v>
      </c>
      <c r="K51" s="114">
        <v>0.01</v>
      </c>
      <c r="L51" s="114">
        <v>0.01</v>
      </c>
      <c r="M51" s="114">
        <v>0</v>
      </c>
      <c r="N51" s="114">
        <v>0.01</v>
      </c>
      <c r="O51" s="114">
        <v>0.01</v>
      </c>
      <c r="P51" s="114">
        <f t="shared" si="4"/>
        <v>0.10999999999999999</v>
      </c>
    </row>
    <row r="52" spans="1:16" x14ac:dyDescent="0.2">
      <c r="B52" s="124" t="s">
        <v>784</v>
      </c>
      <c r="D52" s="114">
        <v>8.48</v>
      </c>
      <c r="E52" s="114">
        <v>3.76</v>
      </c>
      <c r="F52" s="114">
        <v>5.74</v>
      </c>
      <c r="G52" s="123">
        <v>2.48</v>
      </c>
      <c r="H52" s="114">
        <v>11.64</v>
      </c>
      <c r="I52" s="114">
        <v>5.14</v>
      </c>
      <c r="J52" s="114">
        <v>2.36</v>
      </c>
      <c r="K52" s="114">
        <v>2.64</v>
      </c>
      <c r="L52" s="114">
        <v>2.16</v>
      </c>
      <c r="M52" s="114">
        <v>2.5099999999999998</v>
      </c>
      <c r="N52" s="114">
        <v>1.72</v>
      </c>
      <c r="O52" s="114">
        <v>2.2799999999999998</v>
      </c>
      <c r="P52" s="114">
        <f t="shared" si="4"/>
        <v>50.910000000000004</v>
      </c>
    </row>
    <row r="53" spans="1:16" x14ac:dyDescent="0.2">
      <c r="B53" s="124" t="s">
        <v>63</v>
      </c>
      <c r="D53" s="114">
        <v>2.4700000000000002</v>
      </c>
      <c r="E53" s="123">
        <v>2.0099999999999998</v>
      </c>
      <c r="F53" s="114">
        <v>2.62</v>
      </c>
      <c r="G53" s="123">
        <v>2.6</v>
      </c>
      <c r="H53" s="114">
        <v>2.57</v>
      </c>
      <c r="I53" s="114">
        <v>2.9</v>
      </c>
      <c r="J53" s="114">
        <v>0</v>
      </c>
      <c r="K53" s="114">
        <v>0.1</v>
      </c>
      <c r="L53" s="114">
        <v>0.02</v>
      </c>
      <c r="M53" s="114">
        <v>0</v>
      </c>
      <c r="N53" s="114">
        <v>0</v>
      </c>
      <c r="O53" s="114">
        <v>0.01</v>
      </c>
      <c r="P53" s="114">
        <f t="shared" si="4"/>
        <v>15.3</v>
      </c>
    </row>
    <row r="54" spans="1:16" x14ac:dyDescent="0.2">
      <c r="B54" s="124" t="s">
        <v>64</v>
      </c>
      <c r="D54" s="114">
        <v>1.2</v>
      </c>
      <c r="E54" s="123">
        <v>0.81</v>
      </c>
      <c r="F54" s="114">
        <v>0.81</v>
      </c>
      <c r="G54" s="123">
        <v>1.34</v>
      </c>
      <c r="H54" s="114">
        <v>0.68</v>
      </c>
      <c r="I54" s="114">
        <v>0.88</v>
      </c>
      <c r="J54" s="114">
        <v>0.91</v>
      </c>
      <c r="K54" s="114">
        <v>0.93</v>
      </c>
      <c r="L54" s="114">
        <v>0.73</v>
      </c>
      <c r="M54" s="114">
        <v>0.78</v>
      </c>
      <c r="N54" s="114">
        <v>0.8</v>
      </c>
      <c r="O54" s="114">
        <v>0.65</v>
      </c>
      <c r="P54" s="114">
        <f t="shared" si="4"/>
        <v>10.52</v>
      </c>
    </row>
    <row r="55" spans="1:16" x14ac:dyDescent="0.2">
      <c r="B55" s="124" t="s">
        <v>786</v>
      </c>
      <c r="D55" s="114">
        <v>0.26</v>
      </c>
      <c r="E55" s="123">
        <v>0.19</v>
      </c>
      <c r="F55" s="114">
        <v>0.25</v>
      </c>
      <c r="G55" s="123">
        <v>11.84</v>
      </c>
      <c r="H55" s="114">
        <v>0.32</v>
      </c>
      <c r="I55" s="114">
        <v>0.32</v>
      </c>
      <c r="J55" s="114">
        <v>0.06</v>
      </c>
      <c r="K55" s="114">
        <v>0.11</v>
      </c>
      <c r="L55" s="114">
        <v>7.0000000000000007E-2</v>
      </c>
      <c r="M55" s="114">
        <v>0.06</v>
      </c>
      <c r="N55" s="114">
        <v>0.05</v>
      </c>
      <c r="O55" s="114">
        <v>0.09</v>
      </c>
      <c r="P55" s="114">
        <f t="shared" si="4"/>
        <v>13.620000000000001</v>
      </c>
    </row>
    <row r="56" spans="1:16" x14ac:dyDescent="0.2">
      <c r="B56" s="124" t="s">
        <v>783</v>
      </c>
      <c r="D56" s="114">
        <v>11.31</v>
      </c>
      <c r="E56" s="123">
        <v>8.64</v>
      </c>
      <c r="F56" s="114">
        <v>4.3600000000000003</v>
      </c>
      <c r="G56" s="123">
        <v>6.29</v>
      </c>
      <c r="H56" s="114">
        <v>5.57</v>
      </c>
      <c r="I56" s="114">
        <v>5.36</v>
      </c>
      <c r="J56" s="114">
        <v>4.0999999999999996</v>
      </c>
      <c r="K56" s="114">
        <v>4.28</v>
      </c>
      <c r="L56" s="114">
        <v>5.35</v>
      </c>
      <c r="M56" s="114">
        <v>3.69</v>
      </c>
      <c r="N56" s="114">
        <v>4.28</v>
      </c>
      <c r="O56" s="114">
        <v>4.1399999999999997</v>
      </c>
      <c r="P56" s="114">
        <f t="shared" si="4"/>
        <v>67.37</v>
      </c>
    </row>
    <row r="57" spans="1:16" x14ac:dyDescent="0.2">
      <c r="B57" s="124" t="s">
        <v>787</v>
      </c>
      <c r="D57" s="114">
        <v>0.02</v>
      </c>
      <c r="E57" s="114">
        <v>0.24</v>
      </c>
      <c r="F57" s="114">
        <v>0.02</v>
      </c>
      <c r="G57" s="114">
        <v>0.25</v>
      </c>
      <c r="H57" s="114">
        <v>0.02</v>
      </c>
      <c r="I57" s="114">
        <v>0.03</v>
      </c>
      <c r="J57" s="114">
        <v>0.14000000000000001</v>
      </c>
      <c r="K57" s="114">
        <v>0.02</v>
      </c>
      <c r="L57" s="114">
        <v>0</v>
      </c>
      <c r="M57" s="114">
        <v>0</v>
      </c>
      <c r="N57" s="114">
        <v>0</v>
      </c>
      <c r="O57" s="114">
        <v>0.01</v>
      </c>
      <c r="P57" s="114">
        <f t="shared" si="4"/>
        <v>0.75000000000000011</v>
      </c>
    </row>
    <row r="58" spans="1:16" x14ac:dyDescent="0.2">
      <c r="D58" s="7"/>
      <c r="E58" s="7"/>
      <c r="F58" s="7"/>
      <c r="G58" s="7"/>
      <c r="H58" s="7"/>
      <c r="I58" s="7"/>
      <c r="J58" s="7"/>
      <c r="K58" s="7"/>
      <c r="L58" s="7"/>
      <c r="M58" s="7"/>
      <c r="N58" s="7"/>
      <c r="O58" s="7"/>
      <c r="P58" s="7"/>
    </row>
    <row r="59" spans="1:16" s="4" customFormat="1" ht="15" x14ac:dyDescent="0.25">
      <c r="A59" s="3" t="s">
        <v>69</v>
      </c>
      <c r="D59" s="19">
        <f>SUM(D61:D62)</f>
        <v>0.28999999999999998</v>
      </c>
      <c r="E59" s="19">
        <f t="shared" ref="E59:O59" si="5">SUM(E61:E62)</f>
        <v>0.02</v>
      </c>
      <c r="F59" s="19">
        <f t="shared" si="5"/>
        <v>0.01</v>
      </c>
      <c r="G59" s="19">
        <f t="shared" si="5"/>
        <v>7.0000000000000007E-2</v>
      </c>
      <c r="H59" s="19">
        <f t="shared" si="5"/>
        <v>0.02</v>
      </c>
      <c r="I59" s="19">
        <f t="shared" si="5"/>
        <v>0.01</v>
      </c>
      <c r="J59" s="19">
        <f t="shared" si="5"/>
        <v>0.01</v>
      </c>
      <c r="K59" s="19">
        <f t="shared" si="5"/>
        <v>0</v>
      </c>
      <c r="L59" s="19">
        <f t="shared" si="5"/>
        <v>0.08</v>
      </c>
      <c r="M59" s="19">
        <f t="shared" si="5"/>
        <v>0.02</v>
      </c>
      <c r="N59" s="19">
        <f t="shared" si="5"/>
        <v>0.01</v>
      </c>
      <c r="O59" s="19">
        <f t="shared" si="5"/>
        <v>0</v>
      </c>
      <c r="P59" s="19">
        <f>SUM(D59:O59)</f>
        <v>0.54</v>
      </c>
    </row>
    <row r="60" spans="1:16" x14ac:dyDescent="0.2">
      <c r="D60" s="114"/>
      <c r="E60" s="114"/>
      <c r="F60" s="114"/>
      <c r="G60" s="114"/>
      <c r="H60" s="114"/>
      <c r="I60" s="114"/>
      <c r="J60" s="114"/>
      <c r="K60" s="114"/>
      <c r="L60" s="114"/>
      <c r="M60" s="114"/>
      <c r="N60" s="114"/>
      <c r="O60" s="114"/>
      <c r="P60" s="114"/>
    </row>
    <row r="61" spans="1:16" x14ac:dyDescent="0.2">
      <c r="B61" s="2" t="s">
        <v>281</v>
      </c>
      <c r="D61" s="114">
        <v>0.28999999999999998</v>
      </c>
      <c r="E61" s="114">
        <v>0.02</v>
      </c>
      <c r="F61" s="114">
        <v>0.01</v>
      </c>
      <c r="G61" s="123">
        <v>7.0000000000000007E-2</v>
      </c>
      <c r="H61" s="114">
        <v>0.02</v>
      </c>
      <c r="I61" s="114">
        <v>0.01</v>
      </c>
      <c r="J61" s="114">
        <v>0.01</v>
      </c>
      <c r="K61" s="114">
        <v>0</v>
      </c>
      <c r="L61" s="114">
        <v>0.08</v>
      </c>
      <c r="M61" s="114">
        <v>0.02</v>
      </c>
      <c r="N61" s="114">
        <v>0.01</v>
      </c>
      <c r="O61" s="114">
        <v>0</v>
      </c>
      <c r="P61" s="114">
        <f>SUM(D61:O61)</f>
        <v>0.54</v>
      </c>
    </row>
    <row r="62" spans="1:16" x14ac:dyDescent="0.2">
      <c r="B62" s="2" t="s">
        <v>565</v>
      </c>
      <c r="D62" s="114">
        <v>0</v>
      </c>
      <c r="E62" s="114">
        <v>0</v>
      </c>
      <c r="F62" s="114">
        <v>0</v>
      </c>
      <c r="G62" s="114">
        <v>0</v>
      </c>
      <c r="H62" s="114">
        <v>0</v>
      </c>
      <c r="I62" s="114">
        <v>0</v>
      </c>
      <c r="J62" s="114">
        <v>0</v>
      </c>
      <c r="K62" s="114">
        <v>0</v>
      </c>
      <c r="L62" s="114">
        <v>0</v>
      </c>
      <c r="M62" s="114">
        <v>0</v>
      </c>
      <c r="N62" s="114">
        <v>0</v>
      </c>
      <c r="O62" s="114">
        <v>0</v>
      </c>
      <c r="P62" s="114">
        <f>SUM(D62:O62)</f>
        <v>0</v>
      </c>
    </row>
    <row r="63" spans="1:16" x14ac:dyDescent="0.2">
      <c r="D63" s="7"/>
      <c r="E63" s="7"/>
      <c r="F63" s="7"/>
      <c r="G63" s="7"/>
      <c r="H63" s="7"/>
      <c r="I63" s="7"/>
      <c r="J63" s="7"/>
      <c r="K63" s="7"/>
      <c r="L63" s="7"/>
      <c r="M63" s="7"/>
      <c r="N63" s="7"/>
      <c r="O63" s="7"/>
      <c r="P63" s="7"/>
    </row>
    <row r="64" spans="1:16" s="4" customFormat="1" ht="15" x14ac:dyDescent="0.25">
      <c r="A64" s="3" t="s">
        <v>71</v>
      </c>
      <c r="D64" s="19">
        <f t="shared" ref="D64:O64" si="6">SUM(D66:D70)</f>
        <v>15.479999999999999</v>
      </c>
      <c r="E64" s="19">
        <f t="shared" si="6"/>
        <v>111.72</v>
      </c>
      <c r="F64" s="19">
        <f t="shared" si="6"/>
        <v>12.299999999999999</v>
      </c>
      <c r="G64" s="19">
        <f t="shared" si="6"/>
        <v>15.169999999999998</v>
      </c>
      <c r="H64" s="19">
        <f t="shared" si="6"/>
        <v>39.980000000000004</v>
      </c>
      <c r="I64" s="19">
        <f t="shared" si="6"/>
        <v>57.240000000000009</v>
      </c>
      <c r="J64" s="19">
        <f t="shared" si="6"/>
        <v>13.659999999999998</v>
      </c>
      <c r="K64" s="19">
        <f t="shared" si="6"/>
        <v>10.34</v>
      </c>
      <c r="L64" s="19">
        <f t="shared" si="6"/>
        <v>15.129999999999999</v>
      </c>
      <c r="M64" s="19">
        <f t="shared" si="6"/>
        <v>7.2399999999999993</v>
      </c>
      <c r="N64" s="19">
        <f t="shared" si="6"/>
        <v>6.38</v>
      </c>
      <c r="O64" s="19">
        <f t="shared" si="6"/>
        <v>9.1100000000000012</v>
      </c>
      <c r="P64" s="19">
        <f>SUM(D64:O64)</f>
        <v>313.75</v>
      </c>
    </row>
    <row r="65" spans="1:16" x14ac:dyDescent="0.2">
      <c r="D65" s="7"/>
      <c r="E65" s="7"/>
      <c r="F65" s="7"/>
      <c r="G65" s="7"/>
      <c r="H65" s="7"/>
      <c r="I65" s="7"/>
      <c r="J65" s="7"/>
      <c r="K65" s="7"/>
      <c r="L65" s="7"/>
      <c r="M65" s="7"/>
      <c r="N65" s="7"/>
      <c r="O65" s="7"/>
      <c r="P65" s="7"/>
    </row>
    <row r="66" spans="1:16" x14ac:dyDescent="0.2">
      <c r="B66" s="114" t="s">
        <v>629</v>
      </c>
      <c r="C66" s="114"/>
      <c r="D66" s="114">
        <v>0.03</v>
      </c>
      <c r="E66" s="114">
        <v>0.05</v>
      </c>
      <c r="F66" s="114">
        <v>0.04</v>
      </c>
      <c r="G66" s="114">
        <v>0.04</v>
      </c>
      <c r="H66" s="114">
        <v>0.02</v>
      </c>
      <c r="I66" s="114">
        <v>0.09</v>
      </c>
      <c r="J66" s="114">
        <v>0.12</v>
      </c>
      <c r="K66" s="114">
        <v>0.01</v>
      </c>
      <c r="L66" s="114">
        <v>0</v>
      </c>
      <c r="M66" s="114">
        <v>0.01</v>
      </c>
      <c r="N66" s="114">
        <v>0</v>
      </c>
      <c r="O66" s="114">
        <v>0.01</v>
      </c>
      <c r="P66" s="114">
        <f>SUM(D66:O66)</f>
        <v>0.42000000000000004</v>
      </c>
    </row>
    <row r="67" spans="1:16" x14ac:dyDescent="0.2">
      <c r="B67" s="114" t="s">
        <v>282</v>
      </c>
      <c r="C67" s="114"/>
      <c r="D67" s="114">
        <v>15.32</v>
      </c>
      <c r="E67" s="114">
        <v>111.57</v>
      </c>
      <c r="F67" s="114">
        <v>12.16</v>
      </c>
      <c r="G67" s="114">
        <v>14.99</v>
      </c>
      <c r="H67" s="114">
        <v>39.76</v>
      </c>
      <c r="I67" s="114">
        <v>57.06</v>
      </c>
      <c r="J67" s="114">
        <v>13.48</v>
      </c>
      <c r="K67" s="114">
        <v>10.23</v>
      </c>
      <c r="L67" s="114">
        <v>14.95</v>
      </c>
      <c r="M67" s="114">
        <v>7.17</v>
      </c>
      <c r="N67" s="114">
        <v>6.36</v>
      </c>
      <c r="O67" s="114">
        <v>9.0500000000000007</v>
      </c>
      <c r="P67" s="114">
        <f>SUM(D67:O67)</f>
        <v>312.10000000000002</v>
      </c>
    </row>
    <row r="68" spans="1:16" x14ac:dyDescent="0.2">
      <c r="B68" s="114" t="s">
        <v>630</v>
      </c>
      <c r="C68" s="114"/>
      <c r="D68" s="114">
        <v>0.02</v>
      </c>
      <c r="E68" s="114">
        <v>0</v>
      </c>
      <c r="F68" s="114">
        <v>0</v>
      </c>
      <c r="G68" s="114">
        <v>0.01</v>
      </c>
      <c r="H68" s="114">
        <v>0.02</v>
      </c>
      <c r="I68" s="114">
        <v>0.01</v>
      </c>
      <c r="J68" s="114">
        <v>0.01</v>
      </c>
      <c r="K68" s="114">
        <v>0</v>
      </c>
      <c r="L68" s="114">
        <v>0.01</v>
      </c>
      <c r="M68" s="114">
        <v>0.01</v>
      </c>
      <c r="N68" s="114">
        <v>0</v>
      </c>
      <c r="O68" s="114">
        <v>0</v>
      </c>
      <c r="P68" s="114">
        <f>SUM(D68:O68)</f>
        <v>0.09</v>
      </c>
    </row>
    <row r="69" spans="1:16" x14ac:dyDescent="0.2">
      <c r="B69" s="114" t="s">
        <v>285</v>
      </c>
      <c r="C69" s="114"/>
      <c r="D69" s="114">
        <v>0.03</v>
      </c>
      <c r="E69" s="114">
        <v>0.01</v>
      </c>
      <c r="F69" s="114">
        <v>0.02</v>
      </c>
      <c r="G69" s="114">
        <v>0.04</v>
      </c>
      <c r="H69" s="114">
        <v>0.04</v>
      </c>
      <c r="I69" s="114">
        <v>0.02</v>
      </c>
      <c r="J69" s="114">
        <v>0.01</v>
      </c>
      <c r="K69" s="114">
        <v>0</v>
      </c>
      <c r="L69" s="114">
        <v>0.01</v>
      </c>
      <c r="M69" s="114">
        <v>0.01</v>
      </c>
      <c r="N69" s="114">
        <v>0</v>
      </c>
      <c r="O69" s="114">
        <v>0</v>
      </c>
      <c r="P69" s="114">
        <f>SUM(D69:O69)</f>
        <v>0.19000000000000003</v>
      </c>
    </row>
    <row r="70" spans="1:16" x14ac:dyDescent="0.2">
      <c r="B70" s="123" t="s">
        <v>631</v>
      </c>
      <c r="C70" s="114"/>
      <c r="D70" s="114">
        <v>0.08</v>
      </c>
      <c r="E70" s="114">
        <v>0.09</v>
      </c>
      <c r="F70" s="114">
        <v>0.08</v>
      </c>
      <c r="G70" s="114">
        <v>0.09</v>
      </c>
      <c r="H70" s="114">
        <v>0.14000000000000001</v>
      </c>
      <c r="I70" s="114">
        <v>0.06</v>
      </c>
      <c r="J70" s="114">
        <v>0.04</v>
      </c>
      <c r="K70" s="114">
        <v>0.1</v>
      </c>
      <c r="L70" s="114">
        <v>0.16</v>
      </c>
      <c r="M70" s="114">
        <v>0.04</v>
      </c>
      <c r="N70" s="114">
        <v>0.02</v>
      </c>
      <c r="O70" s="114">
        <v>0.05</v>
      </c>
      <c r="P70" s="114">
        <f>SUM(D70:O70)</f>
        <v>0.95000000000000018</v>
      </c>
    </row>
    <row r="71" spans="1:16" x14ac:dyDescent="0.2">
      <c r="D71" s="7"/>
      <c r="E71" s="7"/>
      <c r="F71" s="7"/>
      <c r="G71" s="7"/>
      <c r="H71" s="7"/>
      <c r="I71" s="7"/>
      <c r="J71" s="7"/>
      <c r="K71" s="7"/>
      <c r="L71" s="7"/>
      <c r="M71" s="7"/>
      <c r="N71" s="7"/>
      <c r="O71" s="7"/>
      <c r="P71" s="7"/>
    </row>
    <row r="72" spans="1:16" s="4" customFormat="1" ht="15" x14ac:dyDescent="0.25">
      <c r="A72" s="3" t="s">
        <v>75</v>
      </c>
      <c r="D72" s="19">
        <f t="shared" ref="D72:O72" si="7">SUM(D74:D74)</f>
        <v>2.2599999999999998</v>
      </c>
      <c r="E72" s="19">
        <f t="shared" si="7"/>
        <v>7.65</v>
      </c>
      <c r="F72" s="19">
        <f t="shared" si="7"/>
        <v>84.39</v>
      </c>
      <c r="G72" s="19">
        <f t="shared" si="7"/>
        <v>78.7</v>
      </c>
      <c r="H72" s="19">
        <f t="shared" si="7"/>
        <v>0.95</v>
      </c>
      <c r="I72" s="19">
        <f t="shared" si="7"/>
        <v>60.88</v>
      </c>
      <c r="J72" s="19">
        <f t="shared" si="7"/>
        <v>0.05</v>
      </c>
      <c r="K72" s="19">
        <f t="shared" si="7"/>
        <v>0.01</v>
      </c>
      <c r="L72" s="19">
        <f t="shared" si="7"/>
        <v>0</v>
      </c>
      <c r="M72" s="19">
        <f t="shared" si="7"/>
        <v>0</v>
      </c>
      <c r="N72" s="19">
        <f t="shared" si="7"/>
        <v>0</v>
      </c>
      <c r="O72" s="19">
        <f t="shared" si="7"/>
        <v>0.01</v>
      </c>
      <c r="P72" s="19">
        <f>SUM(D72:O72)</f>
        <v>234.89999999999998</v>
      </c>
    </row>
    <row r="73" spans="1:16" x14ac:dyDescent="0.2">
      <c r="D73" s="114"/>
      <c r="E73" s="114"/>
      <c r="F73" s="114"/>
      <c r="G73" s="114"/>
      <c r="H73" s="114"/>
      <c r="I73" s="114"/>
      <c r="J73" s="114"/>
      <c r="K73" s="114"/>
      <c r="L73" s="114"/>
      <c r="M73" s="114"/>
      <c r="N73" s="114"/>
      <c r="O73" s="114"/>
      <c r="P73" s="114"/>
    </row>
    <row r="74" spans="1:16" x14ac:dyDescent="0.2">
      <c r="B74" s="2" t="s">
        <v>287</v>
      </c>
      <c r="D74" s="114">
        <v>2.2599999999999998</v>
      </c>
      <c r="E74" s="114">
        <v>7.65</v>
      </c>
      <c r="F74" s="114">
        <v>84.39</v>
      </c>
      <c r="G74" s="114">
        <v>78.7</v>
      </c>
      <c r="H74" s="114">
        <v>0.95</v>
      </c>
      <c r="I74" s="114">
        <v>60.88</v>
      </c>
      <c r="J74" s="114">
        <v>0.05</v>
      </c>
      <c r="K74" s="114">
        <v>0.01</v>
      </c>
      <c r="L74" s="114">
        <v>0</v>
      </c>
      <c r="M74" s="114">
        <v>0</v>
      </c>
      <c r="N74" s="114">
        <v>0</v>
      </c>
      <c r="O74" s="114">
        <v>0.01</v>
      </c>
      <c r="P74" s="114">
        <f>SUM(D74:O74)</f>
        <v>234.89999999999998</v>
      </c>
    </row>
    <row r="75" spans="1:16" x14ac:dyDescent="0.2">
      <c r="D75" s="7"/>
      <c r="E75" s="7"/>
      <c r="F75" s="7"/>
      <c r="G75" s="7"/>
      <c r="H75" s="7"/>
      <c r="I75" s="7"/>
      <c r="J75" s="7"/>
      <c r="K75" s="7"/>
      <c r="L75" s="7"/>
      <c r="M75" s="7"/>
      <c r="N75" s="7"/>
      <c r="O75" s="7"/>
      <c r="P75" s="7"/>
    </row>
    <row r="76" spans="1:16" s="4" customFormat="1" ht="15" x14ac:dyDescent="0.25">
      <c r="A76" s="3" t="s">
        <v>569</v>
      </c>
      <c r="D76" s="19">
        <f t="shared" ref="D76:O76" si="8">SUM(D78:D85)</f>
        <v>52.66</v>
      </c>
      <c r="E76" s="19">
        <f t="shared" si="8"/>
        <v>53.440000000000005</v>
      </c>
      <c r="F76" s="19">
        <f t="shared" si="8"/>
        <v>37.51</v>
      </c>
      <c r="G76" s="19">
        <f t="shared" si="8"/>
        <v>37.700000000000003</v>
      </c>
      <c r="H76" s="19">
        <f t="shared" si="8"/>
        <v>38.26</v>
      </c>
      <c r="I76" s="19">
        <f t="shared" si="8"/>
        <v>69.059999999999988</v>
      </c>
      <c r="J76" s="19">
        <f t="shared" si="8"/>
        <v>25.88</v>
      </c>
      <c r="K76" s="19">
        <f t="shared" si="8"/>
        <v>26.959999999999997</v>
      </c>
      <c r="L76" s="19">
        <f t="shared" si="8"/>
        <v>35.01</v>
      </c>
      <c r="M76" s="19">
        <f t="shared" si="8"/>
        <v>29.09</v>
      </c>
      <c r="N76" s="19">
        <f t="shared" si="8"/>
        <v>20.12</v>
      </c>
      <c r="O76" s="19">
        <f t="shared" si="8"/>
        <v>44.89</v>
      </c>
      <c r="P76" s="19">
        <f>SUM(D76:O76)</f>
        <v>470.57999999999993</v>
      </c>
    </row>
    <row r="77" spans="1:16" x14ac:dyDescent="0.2">
      <c r="D77" s="114"/>
      <c r="E77" s="114"/>
      <c r="F77" s="114"/>
      <c r="G77" s="114"/>
      <c r="H77" s="114"/>
      <c r="I77" s="114"/>
      <c r="J77" s="114"/>
      <c r="K77" s="114"/>
      <c r="L77" s="114"/>
      <c r="M77" s="114"/>
      <c r="N77" s="114"/>
      <c r="O77" s="114"/>
      <c r="P77" s="114"/>
    </row>
    <row r="78" spans="1:16" x14ac:dyDescent="0.2">
      <c r="B78" s="2" t="s">
        <v>289</v>
      </c>
      <c r="D78" s="114">
        <v>0.33</v>
      </c>
      <c r="E78" s="114">
        <v>0.04</v>
      </c>
      <c r="F78" s="114">
        <v>0.06</v>
      </c>
      <c r="G78" s="114">
        <v>0.4</v>
      </c>
      <c r="H78" s="114">
        <v>0.19</v>
      </c>
      <c r="I78" s="114">
        <v>0.18</v>
      </c>
      <c r="J78" s="114">
        <v>0.02</v>
      </c>
      <c r="K78" s="114">
        <v>0.02</v>
      </c>
      <c r="L78" s="114">
        <v>0.02</v>
      </c>
      <c r="M78" s="114">
        <v>0.02</v>
      </c>
      <c r="N78" s="114">
        <v>0.02</v>
      </c>
      <c r="O78" s="114">
        <v>0.02</v>
      </c>
      <c r="P78" s="114">
        <f t="shared" ref="P78:P85" si="9">SUM(D78:O78)</f>
        <v>1.32</v>
      </c>
    </row>
    <row r="79" spans="1:16" x14ac:dyDescent="0.2">
      <c r="B79" s="2" t="s">
        <v>291</v>
      </c>
      <c r="D79" s="114">
        <v>3.92</v>
      </c>
      <c r="E79" s="114">
        <v>3.68</v>
      </c>
      <c r="F79" s="114">
        <v>3.91</v>
      </c>
      <c r="G79" s="114">
        <v>3.44</v>
      </c>
      <c r="H79" s="114">
        <v>3.4</v>
      </c>
      <c r="I79" s="114">
        <v>5.91</v>
      </c>
      <c r="J79" s="114">
        <v>1.97</v>
      </c>
      <c r="K79" s="114">
        <v>2.25</v>
      </c>
      <c r="L79" s="114">
        <v>2.08</v>
      </c>
      <c r="M79" s="114">
        <v>2.21</v>
      </c>
      <c r="N79" s="114">
        <v>1.93</v>
      </c>
      <c r="O79" s="114">
        <v>2.83</v>
      </c>
      <c r="P79" s="114">
        <f t="shared" si="9"/>
        <v>37.529999999999994</v>
      </c>
    </row>
    <row r="80" spans="1:16" x14ac:dyDescent="0.2">
      <c r="B80" s="2" t="s">
        <v>290</v>
      </c>
      <c r="D80" s="114">
        <v>0.33</v>
      </c>
      <c r="E80" s="114">
        <v>0.1</v>
      </c>
      <c r="F80" s="114">
        <v>0.17</v>
      </c>
      <c r="G80" s="114">
        <v>0.06</v>
      </c>
      <c r="H80" s="114">
        <v>0.08</v>
      </c>
      <c r="I80" s="114">
        <v>0.12</v>
      </c>
      <c r="J80" s="114">
        <v>0.1</v>
      </c>
      <c r="K80" s="114">
        <v>0.08</v>
      </c>
      <c r="L80" s="114">
        <v>0.09</v>
      </c>
      <c r="M80" s="114">
        <v>0.04</v>
      </c>
      <c r="N80" s="114">
        <v>0.04</v>
      </c>
      <c r="O80" s="114">
        <v>0.82</v>
      </c>
      <c r="P80" s="114">
        <f t="shared" si="9"/>
        <v>2.0300000000000002</v>
      </c>
    </row>
    <row r="81" spans="1:16" x14ac:dyDescent="0.2">
      <c r="B81" s="2" t="s">
        <v>292</v>
      </c>
      <c r="D81" s="114">
        <v>0.26</v>
      </c>
      <c r="E81" s="114">
        <v>0.49</v>
      </c>
      <c r="F81" s="114">
        <v>1.43</v>
      </c>
      <c r="G81" s="114">
        <v>1.84</v>
      </c>
      <c r="H81" s="114">
        <v>0.54</v>
      </c>
      <c r="I81" s="114">
        <v>0.51</v>
      </c>
      <c r="J81" s="114">
        <v>0.12</v>
      </c>
      <c r="K81" s="114">
        <v>0.19</v>
      </c>
      <c r="L81" s="114">
        <v>0.15</v>
      </c>
      <c r="M81" s="114">
        <v>0.17</v>
      </c>
      <c r="N81" s="114">
        <v>0.12</v>
      </c>
      <c r="O81" s="114">
        <v>18.36</v>
      </c>
      <c r="P81" s="114">
        <f t="shared" si="9"/>
        <v>24.18</v>
      </c>
    </row>
    <row r="82" spans="1:16" x14ac:dyDescent="0.2">
      <c r="B82" s="2" t="s">
        <v>293</v>
      </c>
      <c r="D82" s="114">
        <v>6.12</v>
      </c>
      <c r="E82" s="114">
        <v>12.37</v>
      </c>
      <c r="F82" s="114">
        <v>4.0999999999999996</v>
      </c>
      <c r="G82" s="114">
        <v>2.69</v>
      </c>
      <c r="H82" s="114">
        <v>6.41</v>
      </c>
      <c r="I82" s="114">
        <v>35.01</v>
      </c>
      <c r="J82" s="114">
        <v>6.75</v>
      </c>
      <c r="K82" s="114">
        <v>4.8499999999999996</v>
      </c>
      <c r="L82" s="114">
        <v>4.72</v>
      </c>
      <c r="M82" s="114">
        <v>3.37</v>
      </c>
      <c r="N82" s="114">
        <v>3.88</v>
      </c>
      <c r="O82" s="114">
        <v>3.35</v>
      </c>
      <c r="P82" s="114">
        <f t="shared" si="9"/>
        <v>93.619999999999976</v>
      </c>
    </row>
    <row r="83" spans="1:16" x14ac:dyDescent="0.2">
      <c r="B83" s="2" t="s">
        <v>294</v>
      </c>
      <c r="D83" s="114">
        <v>1.36</v>
      </c>
      <c r="E83" s="114">
        <v>0.9</v>
      </c>
      <c r="F83" s="114">
        <v>2.39</v>
      </c>
      <c r="G83" s="114">
        <v>0.93</v>
      </c>
      <c r="H83" s="114">
        <v>0.81</v>
      </c>
      <c r="I83" s="114">
        <v>1</v>
      </c>
      <c r="J83" s="114">
        <v>0.78</v>
      </c>
      <c r="K83" s="114">
        <v>0.83</v>
      </c>
      <c r="L83" s="114">
        <v>0.71</v>
      </c>
      <c r="M83" s="114">
        <v>0.66</v>
      </c>
      <c r="N83" s="114">
        <v>0.69</v>
      </c>
      <c r="O83" s="114">
        <v>0.57999999999999996</v>
      </c>
      <c r="P83" s="114">
        <f t="shared" si="9"/>
        <v>11.64</v>
      </c>
    </row>
    <row r="84" spans="1:16" x14ac:dyDescent="0.2">
      <c r="B84" s="2" t="s">
        <v>312</v>
      </c>
      <c r="D84" s="114">
        <v>38.979999999999997</v>
      </c>
      <c r="E84" s="114">
        <v>34.840000000000003</v>
      </c>
      <c r="F84" s="114">
        <v>24.49</v>
      </c>
      <c r="G84" s="114">
        <v>27.26</v>
      </c>
      <c r="H84" s="114">
        <v>25.28</v>
      </c>
      <c r="I84" s="114">
        <v>24.25</v>
      </c>
      <c r="J84" s="114">
        <f>13.59+1.69</f>
        <v>15.28</v>
      </c>
      <c r="K84" s="114">
        <f>16.99+1.2</f>
        <v>18.189999999999998</v>
      </c>
      <c r="L84" s="114">
        <v>26.22</v>
      </c>
      <c r="M84" s="114">
        <v>21.88</v>
      </c>
      <c r="N84" s="114">
        <v>12.59</v>
      </c>
      <c r="O84" s="114">
        <v>17.43</v>
      </c>
      <c r="P84" s="114">
        <f t="shared" si="9"/>
        <v>286.69</v>
      </c>
    </row>
    <row r="85" spans="1:16" x14ac:dyDescent="0.2">
      <c r="B85" s="2" t="s">
        <v>296</v>
      </c>
      <c r="D85" s="114">
        <v>1.36</v>
      </c>
      <c r="E85" s="114">
        <v>1.02</v>
      </c>
      <c r="F85" s="114">
        <v>0.96</v>
      </c>
      <c r="G85" s="114">
        <v>1.08</v>
      </c>
      <c r="H85" s="114">
        <v>1.55</v>
      </c>
      <c r="I85" s="114">
        <v>2.08</v>
      </c>
      <c r="J85" s="114">
        <v>0.86</v>
      </c>
      <c r="K85" s="114">
        <v>0.55000000000000004</v>
      </c>
      <c r="L85" s="114">
        <v>1.02</v>
      </c>
      <c r="M85" s="114">
        <v>0.74</v>
      </c>
      <c r="N85" s="114">
        <v>0.85</v>
      </c>
      <c r="O85" s="114">
        <v>1.5</v>
      </c>
      <c r="P85" s="114">
        <f t="shared" si="9"/>
        <v>13.57</v>
      </c>
    </row>
    <row r="86" spans="1:16" x14ac:dyDescent="0.2">
      <c r="D86" s="7"/>
      <c r="E86" s="7"/>
      <c r="F86" s="7"/>
      <c r="G86" s="7"/>
      <c r="H86" s="7"/>
      <c r="I86" s="7"/>
      <c r="J86" s="7"/>
      <c r="K86" s="7"/>
      <c r="L86" s="7"/>
      <c r="M86" s="7"/>
      <c r="N86" s="7"/>
      <c r="O86" s="7"/>
      <c r="P86" s="7"/>
    </row>
    <row r="87" spans="1:16" s="4" customFormat="1" ht="15" x14ac:dyDescent="0.25">
      <c r="A87" s="3" t="s">
        <v>88</v>
      </c>
      <c r="D87" s="19">
        <f>SUM(D89:D93)</f>
        <v>110.35</v>
      </c>
      <c r="E87" s="19">
        <f t="shared" ref="E87:O87" si="10">SUM(E89:E93)</f>
        <v>64.3</v>
      </c>
      <c r="F87" s="19">
        <f t="shared" si="10"/>
        <v>48.84</v>
      </c>
      <c r="G87" s="19">
        <f t="shared" si="10"/>
        <v>45.34</v>
      </c>
      <c r="H87" s="19">
        <f t="shared" si="10"/>
        <v>61.260000000000005</v>
      </c>
      <c r="I87" s="19">
        <f t="shared" si="10"/>
        <v>58.06</v>
      </c>
      <c r="J87" s="19">
        <f t="shared" si="10"/>
        <v>73.89</v>
      </c>
      <c r="K87" s="19">
        <f t="shared" si="10"/>
        <v>65.78</v>
      </c>
      <c r="L87" s="19">
        <f t="shared" si="10"/>
        <v>88.72999999999999</v>
      </c>
      <c r="M87" s="19">
        <f t="shared" si="10"/>
        <v>66.92</v>
      </c>
      <c r="N87" s="19">
        <f t="shared" si="10"/>
        <v>97.39</v>
      </c>
      <c r="O87" s="19">
        <f t="shared" si="10"/>
        <v>96.11</v>
      </c>
      <c r="P87" s="19">
        <f>SUM(D87:O87)</f>
        <v>876.96999999999991</v>
      </c>
    </row>
    <row r="88" spans="1:16" x14ac:dyDescent="0.2">
      <c r="D88" s="114"/>
      <c r="E88" s="114"/>
      <c r="F88" s="114"/>
      <c r="G88" s="114"/>
      <c r="H88" s="114"/>
      <c r="I88" s="114"/>
      <c r="J88" s="114"/>
      <c r="K88" s="114"/>
      <c r="L88" s="114"/>
      <c r="M88" s="114"/>
      <c r="N88" s="114"/>
      <c r="O88" s="114"/>
      <c r="P88" s="114"/>
    </row>
    <row r="89" spans="1:16" x14ac:dyDescent="0.2">
      <c r="B89" s="2" t="s">
        <v>632</v>
      </c>
      <c r="D89" s="114">
        <v>0</v>
      </c>
      <c r="E89" s="114">
        <v>0.03</v>
      </c>
      <c r="F89" s="114">
        <v>0.04</v>
      </c>
      <c r="G89" s="114">
        <v>0</v>
      </c>
      <c r="H89" s="114">
        <v>0.11</v>
      </c>
      <c r="I89" s="114">
        <v>0.04</v>
      </c>
      <c r="J89" s="114">
        <v>0.02</v>
      </c>
      <c r="K89" s="114">
        <v>0</v>
      </c>
      <c r="L89" s="114">
        <v>0</v>
      </c>
      <c r="M89" s="114">
        <v>0</v>
      </c>
      <c r="N89" s="114">
        <v>0.02</v>
      </c>
      <c r="O89" s="114">
        <v>0.02</v>
      </c>
      <c r="P89" s="114">
        <f>SUM(D89:O89)</f>
        <v>0.28000000000000003</v>
      </c>
    </row>
    <row r="90" spans="1:16" x14ac:dyDescent="0.2">
      <c r="B90" s="2" t="s">
        <v>297</v>
      </c>
      <c r="D90" s="114">
        <v>4.17</v>
      </c>
      <c r="E90" s="114">
        <v>3.46</v>
      </c>
      <c r="F90" s="114">
        <v>6.14</v>
      </c>
      <c r="G90" s="114">
        <v>5.07</v>
      </c>
      <c r="H90" s="114">
        <v>3.28</v>
      </c>
      <c r="I90" s="114">
        <v>4.0199999999999996</v>
      </c>
      <c r="J90" s="114">
        <v>5.21</v>
      </c>
      <c r="K90" s="114">
        <v>3.48</v>
      </c>
      <c r="L90" s="114">
        <v>4.9400000000000004</v>
      </c>
      <c r="M90" s="114">
        <v>4.38</v>
      </c>
      <c r="N90" s="114">
        <v>3.65</v>
      </c>
      <c r="O90" s="114">
        <v>3.93</v>
      </c>
      <c r="P90" s="114">
        <f>SUM(D90:O90)</f>
        <v>51.73</v>
      </c>
    </row>
    <row r="91" spans="1:16" x14ac:dyDescent="0.2">
      <c r="B91" s="2" t="s">
        <v>299</v>
      </c>
      <c r="D91" s="114">
        <v>0.41</v>
      </c>
      <c r="E91" s="114">
        <v>0.64</v>
      </c>
      <c r="F91" s="114">
        <v>0.52</v>
      </c>
      <c r="G91" s="114">
        <v>0.93</v>
      </c>
      <c r="H91" s="114">
        <v>1.45</v>
      </c>
      <c r="I91" s="114">
        <v>3.29</v>
      </c>
      <c r="J91" s="114">
        <v>3.07</v>
      </c>
      <c r="K91" s="114">
        <v>0.69</v>
      </c>
      <c r="L91" s="114">
        <v>0.63</v>
      </c>
      <c r="M91" s="114">
        <v>0.62</v>
      </c>
      <c r="N91" s="114">
        <v>0.45</v>
      </c>
      <c r="O91" s="114">
        <v>0.26</v>
      </c>
      <c r="P91" s="114">
        <f>SUM(D91:O91)</f>
        <v>12.959999999999999</v>
      </c>
    </row>
    <row r="92" spans="1:16" x14ac:dyDescent="0.2">
      <c r="B92" s="2" t="s">
        <v>633</v>
      </c>
      <c r="D92" s="114">
        <v>0</v>
      </c>
      <c r="E92" s="114">
        <v>0.08</v>
      </c>
      <c r="F92" s="114">
        <v>0</v>
      </c>
      <c r="G92" s="114">
        <v>0</v>
      </c>
      <c r="H92" s="114">
        <v>0</v>
      </c>
      <c r="I92" s="114">
        <v>0</v>
      </c>
      <c r="J92" s="114">
        <v>0</v>
      </c>
      <c r="K92" s="114">
        <v>0</v>
      </c>
      <c r="L92" s="114">
        <v>0</v>
      </c>
      <c r="M92" s="114">
        <v>0</v>
      </c>
      <c r="N92" s="114">
        <v>0</v>
      </c>
      <c r="O92" s="114">
        <v>0.06</v>
      </c>
      <c r="P92" s="114">
        <f>SUM(D92:O92)</f>
        <v>0.14000000000000001</v>
      </c>
    </row>
    <row r="93" spans="1:16" x14ac:dyDescent="0.2">
      <c r="B93" s="2" t="s">
        <v>300</v>
      </c>
      <c r="D93" s="114">
        <v>105.77</v>
      </c>
      <c r="E93" s="114">
        <v>60.09</v>
      </c>
      <c r="F93" s="114">
        <v>42.14</v>
      </c>
      <c r="G93" s="114">
        <v>39.340000000000003</v>
      </c>
      <c r="H93" s="114">
        <v>56.42</v>
      </c>
      <c r="I93" s="114">
        <v>50.71</v>
      </c>
      <c r="J93" s="114">
        <v>65.59</v>
      </c>
      <c r="K93" s="114">
        <v>61.61</v>
      </c>
      <c r="L93" s="114">
        <v>83.16</v>
      </c>
      <c r="M93" s="114">
        <v>61.92</v>
      </c>
      <c r="N93" s="114">
        <v>93.27</v>
      </c>
      <c r="O93" s="114">
        <v>91.84</v>
      </c>
      <c r="P93" s="114">
        <f>SUM(D93:O93)</f>
        <v>811.8599999999999</v>
      </c>
    </row>
    <row r="94" spans="1:16" x14ac:dyDescent="0.2">
      <c r="D94" s="7"/>
      <c r="E94" s="7"/>
      <c r="F94" s="7"/>
      <c r="G94" s="7"/>
      <c r="H94" s="7"/>
      <c r="I94" s="7"/>
      <c r="J94" s="7"/>
      <c r="K94" s="7"/>
      <c r="L94" s="7"/>
      <c r="M94" s="7"/>
      <c r="N94" s="7"/>
      <c r="O94" s="7"/>
      <c r="P94" s="7"/>
    </row>
    <row r="95" spans="1:16" s="4" customFormat="1" ht="15" x14ac:dyDescent="0.25">
      <c r="A95" s="3" t="s">
        <v>92</v>
      </c>
      <c r="D95" s="19">
        <f>SUM(D97:D99)</f>
        <v>80.540000000000006</v>
      </c>
      <c r="E95" s="19">
        <f t="shared" ref="E95:O95" si="11">SUM(E97:E99)</f>
        <v>75.12</v>
      </c>
      <c r="F95" s="19">
        <f t="shared" si="11"/>
        <v>76.87</v>
      </c>
      <c r="G95" s="19">
        <f t="shared" si="11"/>
        <v>80.47999999999999</v>
      </c>
      <c r="H95" s="19">
        <f t="shared" si="11"/>
        <v>79.05</v>
      </c>
      <c r="I95" s="19">
        <f t="shared" si="11"/>
        <v>77.16</v>
      </c>
      <c r="J95" s="19">
        <f t="shared" si="11"/>
        <v>76.8</v>
      </c>
      <c r="K95" s="19">
        <f t="shared" si="11"/>
        <v>81.040000000000006</v>
      </c>
      <c r="L95" s="19">
        <f t="shared" si="11"/>
        <v>87.21</v>
      </c>
      <c r="M95" s="19">
        <f t="shared" si="11"/>
        <v>73.67</v>
      </c>
      <c r="N95" s="19">
        <f t="shared" si="11"/>
        <v>67.09</v>
      </c>
      <c r="O95" s="19">
        <f t="shared" si="11"/>
        <v>69.17</v>
      </c>
      <c r="P95" s="19">
        <f>SUM(D95:O95)</f>
        <v>924.19999999999993</v>
      </c>
    </row>
    <row r="96" spans="1:16" x14ac:dyDescent="0.2">
      <c r="D96" s="114"/>
      <c r="E96" s="114"/>
      <c r="F96" s="114"/>
      <c r="G96" s="114"/>
      <c r="H96" s="114"/>
      <c r="I96" s="114"/>
      <c r="J96" s="114"/>
      <c r="K96" s="114"/>
      <c r="L96" s="114"/>
      <c r="M96" s="114"/>
      <c r="N96" s="114"/>
      <c r="O96" s="114"/>
      <c r="P96" s="114"/>
    </row>
    <row r="97" spans="1:16" x14ac:dyDescent="0.2">
      <c r="B97" s="2" t="s">
        <v>302</v>
      </c>
      <c r="D97" s="114">
        <v>1.64</v>
      </c>
      <c r="E97" s="114">
        <v>1.45</v>
      </c>
      <c r="F97" s="114">
        <v>1.62</v>
      </c>
      <c r="G97" s="114">
        <v>1.49</v>
      </c>
      <c r="H97" s="114">
        <v>1.3</v>
      </c>
      <c r="I97" s="114">
        <v>1.44</v>
      </c>
      <c r="J97" s="114">
        <v>1.49</v>
      </c>
      <c r="K97" s="114">
        <v>1.37</v>
      </c>
      <c r="L97" s="114">
        <v>1.66</v>
      </c>
      <c r="M97" s="114">
        <v>1.59</v>
      </c>
      <c r="N97" s="114">
        <v>1.49</v>
      </c>
      <c r="O97" s="114">
        <v>1.41</v>
      </c>
      <c r="P97" s="114">
        <f>SUM(D97:O97)</f>
        <v>17.95</v>
      </c>
    </row>
    <row r="98" spans="1:16" x14ac:dyDescent="0.2">
      <c r="B98" s="2" t="s">
        <v>634</v>
      </c>
      <c r="D98" s="114">
        <v>0</v>
      </c>
      <c r="E98" s="114">
        <v>0.03</v>
      </c>
      <c r="F98" s="114">
        <v>0</v>
      </c>
      <c r="G98" s="114">
        <v>0</v>
      </c>
      <c r="H98" s="114">
        <v>0</v>
      </c>
      <c r="I98" s="114">
        <v>0</v>
      </c>
      <c r="J98" s="114">
        <v>0</v>
      </c>
      <c r="K98" s="114">
        <v>0</v>
      </c>
      <c r="L98" s="114">
        <v>0</v>
      </c>
      <c r="M98" s="114">
        <v>0</v>
      </c>
      <c r="N98" s="114">
        <v>0.01</v>
      </c>
      <c r="O98" s="114">
        <v>0</v>
      </c>
      <c r="P98" s="114">
        <f>SUM(D98:O98)</f>
        <v>0.04</v>
      </c>
    </row>
    <row r="99" spans="1:16" x14ac:dyDescent="0.2">
      <c r="B99" s="2" t="s">
        <v>301</v>
      </c>
      <c r="D99" s="114">
        <v>78.900000000000006</v>
      </c>
      <c r="E99" s="114">
        <v>73.64</v>
      </c>
      <c r="F99" s="114">
        <v>75.25</v>
      </c>
      <c r="G99" s="114">
        <v>78.989999999999995</v>
      </c>
      <c r="H99" s="114">
        <v>77.75</v>
      </c>
      <c r="I99" s="114">
        <v>75.72</v>
      </c>
      <c r="J99" s="114">
        <v>75.31</v>
      </c>
      <c r="K99" s="114">
        <v>79.67</v>
      </c>
      <c r="L99" s="114">
        <v>85.55</v>
      </c>
      <c r="M99" s="114">
        <v>72.08</v>
      </c>
      <c r="N99" s="114">
        <v>65.59</v>
      </c>
      <c r="O99" s="114">
        <v>67.760000000000005</v>
      </c>
      <c r="P99" s="114">
        <f>SUM(D99:O99)</f>
        <v>906.20999999999992</v>
      </c>
    </row>
    <row r="100" spans="1:16" x14ac:dyDescent="0.2">
      <c r="D100" s="7"/>
      <c r="E100" s="7"/>
      <c r="F100" s="7"/>
      <c r="G100" s="7"/>
      <c r="H100" s="7"/>
      <c r="I100" s="7"/>
      <c r="J100" s="7"/>
      <c r="K100" s="7"/>
      <c r="L100" s="7"/>
      <c r="M100" s="7"/>
      <c r="N100" s="7"/>
      <c r="O100" s="7"/>
      <c r="P100" s="7"/>
    </row>
    <row r="101" spans="1:16" s="4" customFormat="1" ht="15" x14ac:dyDescent="0.25">
      <c r="A101" s="3" t="s">
        <v>96</v>
      </c>
      <c r="D101" s="19">
        <f t="shared" ref="D101:O101" si="12">SUM(D103:D106)</f>
        <v>22.98</v>
      </c>
      <c r="E101" s="19">
        <f t="shared" si="12"/>
        <v>26.91</v>
      </c>
      <c r="F101" s="19">
        <f t="shared" si="12"/>
        <v>18.78</v>
      </c>
      <c r="G101" s="19">
        <f t="shared" si="12"/>
        <v>20.939999999999998</v>
      </c>
      <c r="H101" s="19">
        <f t="shared" si="12"/>
        <v>21.830000000000002</v>
      </c>
      <c r="I101" s="19">
        <f t="shared" si="12"/>
        <v>21.110000000000003</v>
      </c>
      <c r="J101" s="19">
        <f t="shared" si="12"/>
        <v>19.21</v>
      </c>
      <c r="K101" s="19">
        <f t="shared" si="12"/>
        <v>22</v>
      </c>
      <c r="L101" s="19">
        <f t="shared" si="12"/>
        <v>20.089999999999996</v>
      </c>
      <c r="M101" s="19">
        <f t="shared" si="12"/>
        <v>17.290000000000003</v>
      </c>
      <c r="N101" s="19">
        <f t="shared" si="12"/>
        <v>17.37</v>
      </c>
      <c r="O101" s="19">
        <f t="shared" si="12"/>
        <v>17.47</v>
      </c>
      <c r="P101" s="19">
        <f>SUM(D101:O101)</f>
        <v>245.98000000000002</v>
      </c>
    </row>
    <row r="102" spans="1:16" x14ac:dyDescent="0.2">
      <c r="D102" s="7"/>
      <c r="E102" s="7"/>
      <c r="F102" s="7"/>
      <c r="G102" s="7"/>
      <c r="H102" s="7"/>
      <c r="I102" s="7"/>
      <c r="J102" s="7"/>
      <c r="K102" s="7"/>
      <c r="L102" s="7"/>
      <c r="M102" s="7"/>
      <c r="N102" s="7"/>
      <c r="O102" s="7"/>
      <c r="P102" s="7"/>
    </row>
    <row r="103" spans="1:16" x14ac:dyDescent="0.2">
      <c r="B103" s="124" t="s">
        <v>789</v>
      </c>
      <c r="D103" s="114">
        <v>11.78</v>
      </c>
      <c r="E103" s="114">
        <v>14.21</v>
      </c>
      <c r="F103" s="114">
        <v>14.3</v>
      </c>
      <c r="G103" s="114">
        <v>11.62</v>
      </c>
      <c r="H103" s="114">
        <v>13.22</v>
      </c>
      <c r="I103" s="114">
        <v>12.14</v>
      </c>
      <c r="J103" s="114">
        <v>11.51</v>
      </c>
      <c r="K103" s="114">
        <v>11.89</v>
      </c>
      <c r="L103" s="114">
        <v>12.12</v>
      </c>
      <c r="M103" s="114">
        <v>11.83</v>
      </c>
      <c r="N103" s="114">
        <v>9.92</v>
      </c>
      <c r="O103" s="114">
        <v>10.27</v>
      </c>
      <c r="P103" s="114">
        <f>SUM(D103:O103)</f>
        <v>144.81000000000003</v>
      </c>
    </row>
    <row r="104" spans="1:16" x14ac:dyDescent="0.2">
      <c r="B104" s="124" t="s">
        <v>737</v>
      </c>
      <c r="D104" s="114">
        <v>0.94</v>
      </c>
      <c r="E104" s="114">
        <v>0.68</v>
      </c>
      <c r="F104" s="114">
        <v>0.95</v>
      </c>
      <c r="G104" s="114">
        <v>1.03</v>
      </c>
      <c r="H104" s="114">
        <v>2.58</v>
      </c>
      <c r="I104" s="114">
        <v>2.67</v>
      </c>
      <c r="J104" s="114">
        <v>2.77</v>
      </c>
      <c r="K104" s="114">
        <v>2.97</v>
      </c>
      <c r="L104" s="114">
        <v>1.95</v>
      </c>
      <c r="M104" s="114">
        <v>2.13</v>
      </c>
      <c r="N104" s="114">
        <v>2.1</v>
      </c>
      <c r="O104" s="114">
        <v>1.66</v>
      </c>
      <c r="P104" s="114">
        <f>SUM(D104:O104)</f>
        <v>22.430000000000003</v>
      </c>
    </row>
    <row r="105" spans="1:16" x14ac:dyDescent="0.2">
      <c r="B105" s="124" t="s">
        <v>97</v>
      </c>
      <c r="D105" s="114">
        <v>10.25</v>
      </c>
      <c r="E105" s="114">
        <v>11.73</v>
      </c>
      <c r="F105" s="114">
        <v>3.35</v>
      </c>
      <c r="G105" s="114">
        <v>8.2100000000000009</v>
      </c>
      <c r="H105" s="114">
        <v>6.03</v>
      </c>
      <c r="I105" s="114">
        <v>6.29</v>
      </c>
      <c r="J105" s="114">
        <v>4.92</v>
      </c>
      <c r="K105" s="114">
        <v>7.14</v>
      </c>
      <c r="L105" s="114">
        <v>6.02</v>
      </c>
      <c r="M105" s="114">
        <v>3.3</v>
      </c>
      <c r="N105" s="114">
        <v>5.34</v>
      </c>
      <c r="O105" s="114">
        <v>5.54</v>
      </c>
      <c r="P105" s="114">
        <f>SUM(D105:O105)</f>
        <v>78.120000000000019</v>
      </c>
    </row>
    <row r="106" spans="1:16" x14ac:dyDescent="0.2">
      <c r="B106" s="124" t="s">
        <v>790</v>
      </c>
      <c r="D106" s="114">
        <v>0.01</v>
      </c>
      <c r="E106" s="114">
        <v>0.28999999999999998</v>
      </c>
      <c r="F106" s="114">
        <v>0.18</v>
      </c>
      <c r="G106" s="114">
        <v>0.08</v>
      </c>
      <c r="H106" s="114">
        <v>0</v>
      </c>
      <c r="I106" s="114">
        <v>0.01</v>
      </c>
      <c r="J106" s="114">
        <v>0.01</v>
      </c>
      <c r="K106" s="114">
        <v>0</v>
      </c>
      <c r="L106" s="114">
        <v>0</v>
      </c>
      <c r="M106" s="114">
        <v>0.03</v>
      </c>
      <c r="N106" s="114">
        <v>0.01</v>
      </c>
      <c r="O106" s="114">
        <v>0</v>
      </c>
      <c r="P106" s="114">
        <f>SUM(D106:O106)</f>
        <v>0.62</v>
      </c>
    </row>
    <row r="107" spans="1:16" x14ac:dyDescent="0.2">
      <c r="D107" s="7"/>
      <c r="E107" s="7"/>
      <c r="F107" s="7"/>
      <c r="G107" s="7"/>
      <c r="H107" s="7"/>
      <c r="I107" s="7"/>
      <c r="J107" s="7"/>
      <c r="K107" s="7"/>
      <c r="L107" s="7"/>
      <c r="M107" s="7"/>
      <c r="N107" s="7"/>
      <c r="O107" s="7"/>
      <c r="P107" s="7"/>
    </row>
    <row r="108" spans="1:16" s="4" customFormat="1" ht="15" x14ac:dyDescent="0.25">
      <c r="A108" s="3" t="s">
        <v>102</v>
      </c>
      <c r="C108" s="3"/>
      <c r="D108" s="19">
        <f>SUM(D110:D115)</f>
        <v>79.63</v>
      </c>
      <c r="E108" s="19">
        <f t="shared" ref="E108:O108" si="13">SUM(E110:E115)</f>
        <v>44.370000000000005</v>
      </c>
      <c r="F108" s="19">
        <f t="shared" si="13"/>
        <v>53.569999999999993</v>
      </c>
      <c r="G108" s="19">
        <f t="shared" si="13"/>
        <v>36.549999999999997</v>
      </c>
      <c r="H108" s="19">
        <f t="shared" si="13"/>
        <v>38.980000000000004</v>
      </c>
      <c r="I108" s="19">
        <f t="shared" si="13"/>
        <v>130.44</v>
      </c>
      <c r="J108" s="19">
        <f t="shared" si="13"/>
        <v>4.0599999999999996</v>
      </c>
      <c r="K108" s="19">
        <f t="shared" si="13"/>
        <v>6.4</v>
      </c>
      <c r="L108" s="19">
        <f t="shared" si="13"/>
        <v>6.9799999999999995</v>
      </c>
      <c r="M108" s="19">
        <f t="shared" si="13"/>
        <v>31.020000000000003</v>
      </c>
      <c r="N108" s="19">
        <f t="shared" si="13"/>
        <v>2.85</v>
      </c>
      <c r="O108" s="19">
        <f t="shared" si="13"/>
        <v>11.219999999999999</v>
      </c>
      <c r="P108" s="19">
        <f>SUM(D108:O108)</f>
        <v>446.07000000000005</v>
      </c>
    </row>
    <row r="109" spans="1:16" x14ac:dyDescent="0.2">
      <c r="D109" s="114"/>
      <c r="E109" s="114"/>
      <c r="F109" s="114"/>
      <c r="G109" s="114"/>
      <c r="H109" s="114"/>
      <c r="I109" s="114"/>
      <c r="J109" s="114"/>
      <c r="K109" s="114"/>
      <c r="L109" s="114"/>
      <c r="M109" s="114"/>
      <c r="N109" s="114"/>
      <c r="O109" s="114"/>
      <c r="P109" s="114"/>
    </row>
    <row r="110" spans="1:16" x14ac:dyDescent="0.2">
      <c r="B110" s="2" t="s">
        <v>308</v>
      </c>
      <c r="D110" s="114">
        <v>30.71</v>
      </c>
      <c r="E110" s="114">
        <v>26.78</v>
      </c>
      <c r="F110" s="114">
        <v>24.74</v>
      </c>
      <c r="G110" s="114">
        <v>34.53</v>
      </c>
      <c r="H110" s="114">
        <v>33.67</v>
      </c>
      <c r="I110" s="114">
        <v>19.11</v>
      </c>
      <c r="J110" s="114">
        <v>2.48</v>
      </c>
      <c r="K110" s="114">
        <v>1.88</v>
      </c>
      <c r="L110" s="114">
        <v>2.29</v>
      </c>
      <c r="M110" s="114">
        <v>30.37</v>
      </c>
      <c r="N110" s="114">
        <v>2.16</v>
      </c>
      <c r="O110" s="114">
        <v>10.45</v>
      </c>
      <c r="P110" s="114">
        <f t="shared" ref="P110:P115" si="14">SUM(D110:O110)</f>
        <v>219.17</v>
      </c>
    </row>
    <row r="111" spans="1:16" x14ac:dyDescent="0.2">
      <c r="B111" s="2" t="s">
        <v>635</v>
      </c>
      <c r="D111" s="114">
        <v>0.65</v>
      </c>
      <c r="E111" s="114">
        <v>0.11</v>
      </c>
      <c r="F111" s="114">
        <v>0</v>
      </c>
      <c r="G111" s="114">
        <v>0.1</v>
      </c>
      <c r="H111" s="114">
        <v>0.71</v>
      </c>
      <c r="I111" s="114">
        <v>0.2</v>
      </c>
      <c r="J111" s="114">
        <v>0</v>
      </c>
      <c r="K111" s="114">
        <v>0</v>
      </c>
      <c r="L111" s="114">
        <v>0</v>
      </c>
      <c r="M111" s="114">
        <v>0</v>
      </c>
      <c r="N111" s="114">
        <v>0</v>
      </c>
      <c r="O111" s="114">
        <v>0.1</v>
      </c>
      <c r="P111" s="114">
        <f t="shared" si="14"/>
        <v>1.8699999999999999</v>
      </c>
    </row>
    <row r="112" spans="1:16" x14ac:dyDescent="0.2">
      <c r="B112" s="2" t="s">
        <v>791</v>
      </c>
      <c r="D112" s="114">
        <v>47.41</v>
      </c>
      <c r="E112" s="114">
        <v>14.85</v>
      </c>
      <c r="F112" s="114">
        <v>23.22</v>
      </c>
      <c r="G112" s="114">
        <v>0.46</v>
      </c>
      <c r="H112" s="114">
        <v>3.46</v>
      </c>
      <c r="I112" s="114">
        <v>0.48</v>
      </c>
      <c r="J112" s="114">
        <v>0.13</v>
      </c>
      <c r="K112" s="114">
        <v>0.06</v>
      </c>
      <c r="L112" s="114">
        <v>7.0000000000000007E-2</v>
      </c>
      <c r="M112" s="114">
        <v>0.05</v>
      </c>
      <c r="N112" s="114">
        <v>0.06</v>
      </c>
      <c r="O112" s="114">
        <v>0.14000000000000001</v>
      </c>
      <c r="P112" s="114">
        <f t="shared" si="14"/>
        <v>90.389999999999972</v>
      </c>
    </row>
    <row r="113" spans="1:17" x14ac:dyDescent="0.2">
      <c r="B113" s="2" t="s">
        <v>309</v>
      </c>
      <c r="D113" s="114">
        <v>0.05</v>
      </c>
      <c r="E113" s="114">
        <v>0.13</v>
      </c>
      <c r="F113" s="114">
        <v>0.01</v>
      </c>
      <c r="G113" s="114">
        <v>0.04</v>
      </c>
      <c r="H113" s="114">
        <v>0.15</v>
      </c>
      <c r="I113" s="114">
        <v>0.13</v>
      </c>
      <c r="J113" s="114">
        <v>0</v>
      </c>
      <c r="K113" s="114">
        <v>0.03</v>
      </c>
      <c r="L113" s="114">
        <v>0.13</v>
      </c>
      <c r="M113" s="114">
        <v>0.03</v>
      </c>
      <c r="N113" s="114">
        <v>0.01</v>
      </c>
      <c r="O113" s="114">
        <v>0.09</v>
      </c>
      <c r="P113" s="114">
        <f t="shared" si="14"/>
        <v>0.8</v>
      </c>
    </row>
    <row r="114" spans="1:17" x14ac:dyDescent="0.2">
      <c r="B114" s="2" t="s">
        <v>310</v>
      </c>
      <c r="D114" s="114">
        <v>0.28999999999999998</v>
      </c>
      <c r="E114" s="114">
        <v>2.06</v>
      </c>
      <c r="F114" s="114">
        <v>5.27</v>
      </c>
      <c r="G114" s="114">
        <v>0.94</v>
      </c>
      <c r="H114" s="114">
        <v>0.79</v>
      </c>
      <c r="I114" s="114">
        <v>110.33</v>
      </c>
      <c r="J114" s="114">
        <v>1.35</v>
      </c>
      <c r="K114" s="114">
        <v>4.3600000000000003</v>
      </c>
      <c r="L114" s="114">
        <v>4.43</v>
      </c>
      <c r="M114" s="114">
        <v>0.52</v>
      </c>
      <c r="N114" s="114">
        <v>0.41</v>
      </c>
      <c r="O114" s="114">
        <v>0.41</v>
      </c>
      <c r="P114" s="114">
        <f t="shared" si="14"/>
        <v>131.16</v>
      </c>
    </row>
    <row r="115" spans="1:17" x14ac:dyDescent="0.2">
      <c r="B115" s="2" t="s">
        <v>311</v>
      </c>
      <c r="D115" s="114">
        <v>0.52</v>
      </c>
      <c r="E115" s="114">
        <v>0.44</v>
      </c>
      <c r="F115" s="114">
        <v>0.33</v>
      </c>
      <c r="G115" s="114">
        <v>0.48</v>
      </c>
      <c r="H115" s="114">
        <v>0.2</v>
      </c>
      <c r="I115" s="114">
        <v>0.19</v>
      </c>
      <c r="J115" s="114">
        <v>0.1</v>
      </c>
      <c r="K115" s="114">
        <v>7.0000000000000007E-2</v>
      </c>
      <c r="L115" s="114">
        <v>0.06</v>
      </c>
      <c r="M115" s="114">
        <v>0.05</v>
      </c>
      <c r="N115" s="114">
        <v>0.21</v>
      </c>
      <c r="O115" s="114">
        <v>0.03</v>
      </c>
      <c r="P115" s="114">
        <f t="shared" si="14"/>
        <v>2.6799999999999997</v>
      </c>
    </row>
    <row r="116" spans="1:17" x14ac:dyDescent="0.2">
      <c r="D116" s="7"/>
      <c r="E116" s="7"/>
      <c r="F116" s="7"/>
      <c r="G116" s="7"/>
      <c r="H116" s="7"/>
      <c r="I116" s="7"/>
      <c r="J116" s="7"/>
      <c r="K116" s="7"/>
      <c r="L116" s="7"/>
      <c r="M116" s="7"/>
      <c r="N116" s="7"/>
      <c r="O116" s="7"/>
      <c r="P116" s="7"/>
    </row>
    <row r="117" spans="1:17" s="4" customFormat="1" ht="15" x14ac:dyDescent="0.25">
      <c r="A117" s="3" t="s">
        <v>107</v>
      </c>
      <c r="D117" s="19">
        <f t="shared" ref="D117:O117" si="15">SUM(D119:D125)</f>
        <v>367.36</v>
      </c>
      <c r="E117" s="19">
        <f t="shared" si="15"/>
        <v>302.95999999999998</v>
      </c>
      <c r="F117" s="19">
        <f t="shared" si="15"/>
        <v>317.64</v>
      </c>
      <c r="G117" s="19">
        <f t="shared" si="15"/>
        <v>340.57</v>
      </c>
      <c r="H117" s="19">
        <f t="shared" si="15"/>
        <v>328.28999999999996</v>
      </c>
      <c r="I117" s="19">
        <f t="shared" si="15"/>
        <v>338.67</v>
      </c>
      <c r="J117" s="19">
        <f t="shared" si="15"/>
        <v>293.83000000000004</v>
      </c>
      <c r="K117" s="19">
        <f t="shared" si="15"/>
        <v>286.36</v>
      </c>
      <c r="L117" s="19">
        <f t="shared" si="15"/>
        <v>287.49</v>
      </c>
      <c r="M117" s="19">
        <f t="shared" si="15"/>
        <v>290.51000000000005</v>
      </c>
      <c r="N117" s="19">
        <f t="shared" si="15"/>
        <v>239.19000000000003</v>
      </c>
      <c r="O117" s="19">
        <f t="shared" si="15"/>
        <v>272.87</v>
      </c>
      <c r="P117" s="19">
        <f>SUM(D117:O117)</f>
        <v>3665.7400000000002</v>
      </c>
    </row>
    <row r="118" spans="1:17" x14ac:dyDescent="0.2">
      <c r="D118" s="114"/>
      <c r="E118" s="114"/>
      <c r="F118" s="114"/>
      <c r="G118" s="114"/>
      <c r="H118" s="114"/>
      <c r="I118" s="114"/>
      <c r="J118" s="114"/>
      <c r="K118" s="114"/>
      <c r="L118" s="114"/>
      <c r="M118" s="114"/>
      <c r="N118" s="114"/>
      <c r="O118" s="114"/>
      <c r="P118" s="114"/>
    </row>
    <row r="119" spans="1:17" x14ac:dyDescent="0.2">
      <c r="B119" s="2" t="s">
        <v>313</v>
      </c>
      <c r="D119" s="114">
        <v>0</v>
      </c>
      <c r="E119" s="114">
        <v>0.01</v>
      </c>
      <c r="F119" s="114">
        <v>0.01</v>
      </c>
      <c r="G119" s="114">
        <v>0</v>
      </c>
      <c r="H119" s="114">
        <v>0.01</v>
      </c>
      <c r="I119" s="114">
        <v>0</v>
      </c>
      <c r="J119" s="114">
        <v>0</v>
      </c>
      <c r="K119" s="114">
        <v>0.02</v>
      </c>
      <c r="L119" s="114">
        <v>0.01</v>
      </c>
      <c r="M119" s="114">
        <v>0.01</v>
      </c>
      <c r="N119" s="114">
        <v>0</v>
      </c>
      <c r="O119" s="114">
        <v>0.01</v>
      </c>
      <c r="P119" s="114">
        <f t="shared" ref="P119:P125" si="16">SUM(D119:O119)</f>
        <v>0.08</v>
      </c>
    </row>
    <row r="120" spans="1:17" x14ac:dyDescent="0.2">
      <c r="B120" s="2" t="s">
        <v>314</v>
      </c>
      <c r="D120" s="114">
        <v>129.69</v>
      </c>
      <c r="E120" s="114">
        <v>103.18</v>
      </c>
      <c r="F120" s="114">
        <v>115.74</v>
      </c>
      <c r="G120" s="114">
        <v>115.16</v>
      </c>
      <c r="H120" s="114">
        <v>102.58</v>
      </c>
      <c r="I120" s="114">
        <v>110.47</v>
      </c>
      <c r="J120" s="114">
        <v>109.51</v>
      </c>
      <c r="K120" s="114">
        <v>100.61</v>
      </c>
      <c r="L120" s="114">
        <v>93.14</v>
      </c>
      <c r="M120" s="114">
        <v>88.56</v>
      </c>
      <c r="N120" s="114">
        <v>86.76</v>
      </c>
      <c r="O120" s="114">
        <v>92.2</v>
      </c>
      <c r="P120" s="114">
        <f t="shared" si="16"/>
        <v>1247.6000000000001</v>
      </c>
    </row>
    <row r="121" spans="1:17" x14ac:dyDescent="0.2">
      <c r="B121" s="2" t="s">
        <v>315</v>
      </c>
      <c r="D121" s="114">
        <v>193.37</v>
      </c>
      <c r="E121" s="114">
        <v>159.26</v>
      </c>
      <c r="F121" s="114">
        <v>164.85</v>
      </c>
      <c r="G121" s="114">
        <v>185.46</v>
      </c>
      <c r="H121" s="114">
        <v>184.59</v>
      </c>
      <c r="I121" s="114">
        <v>187.52</v>
      </c>
      <c r="J121" s="114">
        <v>143.75</v>
      </c>
      <c r="K121" s="114">
        <v>145.69</v>
      </c>
      <c r="L121" s="114">
        <v>154.66</v>
      </c>
      <c r="M121" s="114">
        <v>169.53</v>
      </c>
      <c r="N121" s="114">
        <v>124.29</v>
      </c>
      <c r="O121" s="114">
        <v>155.04</v>
      </c>
      <c r="P121" s="114">
        <f t="shared" si="16"/>
        <v>1968.0100000000002</v>
      </c>
    </row>
    <row r="122" spans="1:17" x14ac:dyDescent="0.2">
      <c r="B122" s="2" t="s">
        <v>316</v>
      </c>
      <c r="D122" s="114">
        <v>40.86</v>
      </c>
      <c r="E122" s="114">
        <v>36.36</v>
      </c>
      <c r="F122" s="114">
        <v>34.119999999999997</v>
      </c>
      <c r="G122" s="114">
        <v>37.479999999999997</v>
      </c>
      <c r="H122" s="114">
        <v>38.51</v>
      </c>
      <c r="I122" s="114">
        <v>36.78</v>
      </c>
      <c r="J122" s="114">
        <v>38.090000000000003</v>
      </c>
      <c r="K122" s="114">
        <v>36.61</v>
      </c>
      <c r="L122" s="114">
        <v>37.07</v>
      </c>
      <c r="M122" s="114">
        <v>30.06</v>
      </c>
      <c r="N122" s="114">
        <v>25.9</v>
      </c>
      <c r="O122" s="114">
        <v>23.37</v>
      </c>
      <c r="P122" s="114">
        <f t="shared" si="16"/>
        <v>415.21</v>
      </c>
    </row>
    <row r="123" spans="1:17" x14ac:dyDescent="0.2">
      <c r="B123" s="2" t="s">
        <v>792</v>
      </c>
      <c r="D123" s="114">
        <v>0</v>
      </c>
      <c r="E123" s="114">
        <v>0</v>
      </c>
      <c r="F123" s="114">
        <v>0</v>
      </c>
      <c r="G123" s="114">
        <v>0</v>
      </c>
      <c r="H123" s="114">
        <v>0</v>
      </c>
      <c r="I123" s="114">
        <v>0</v>
      </c>
      <c r="J123" s="114">
        <v>0.26</v>
      </c>
      <c r="K123" s="114">
        <v>0.75</v>
      </c>
      <c r="L123" s="114">
        <v>0.41</v>
      </c>
      <c r="M123" s="114">
        <v>0.3</v>
      </c>
      <c r="N123" s="114">
        <v>0.55000000000000004</v>
      </c>
      <c r="O123" s="114">
        <v>0.34</v>
      </c>
      <c r="P123" s="114">
        <f t="shared" si="16"/>
        <v>2.61</v>
      </c>
    </row>
    <row r="124" spans="1:17" x14ac:dyDescent="0.2">
      <c r="B124" s="2" t="s">
        <v>312</v>
      </c>
      <c r="D124" s="114">
        <v>2.52</v>
      </c>
      <c r="E124" s="114">
        <v>3.07</v>
      </c>
      <c r="F124" s="114">
        <v>2.4</v>
      </c>
      <c r="G124" s="114">
        <v>2.0699999999999998</v>
      </c>
      <c r="H124" s="114">
        <v>2.09</v>
      </c>
      <c r="I124" s="114">
        <v>3.54</v>
      </c>
      <c r="J124" s="114">
        <v>2.2200000000000002</v>
      </c>
      <c r="K124" s="114">
        <v>2.68</v>
      </c>
      <c r="L124" s="114">
        <v>2.2000000000000002</v>
      </c>
      <c r="M124" s="114">
        <v>2.0499999999999998</v>
      </c>
      <c r="N124" s="114">
        <v>1.69</v>
      </c>
      <c r="O124" s="114">
        <v>1.91</v>
      </c>
      <c r="P124" s="114">
        <f t="shared" si="16"/>
        <v>28.44</v>
      </c>
    </row>
    <row r="125" spans="1:17" x14ac:dyDescent="0.2">
      <c r="B125" s="2" t="s">
        <v>574</v>
      </c>
      <c r="D125" s="114">
        <v>0.92</v>
      </c>
      <c r="E125" s="114">
        <v>1.08</v>
      </c>
      <c r="F125" s="114">
        <v>0.52</v>
      </c>
      <c r="G125" s="114">
        <v>0.4</v>
      </c>
      <c r="H125" s="114">
        <v>0.51</v>
      </c>
      <c r="I125" s="114">
        <v>0.36</v>
      </c>
      <c r="J125" s="114">
        <v>0</v>
      </c>
      <c r="K125" s="114">
        <v>0</v>
      </c>
      <c r="L125" s="114">
        <v>0</v>
      </c>
      <c r="M125" s="114">
        <v>0</v>
      </c>
      <c r="N125" s="114">
        <v>0</v>
      </c>
      <c r="O125" s="114">
        <v>0</v>
      </c>
      <c r="P125" s="114">
        <f t="shared" si="16"/>
        <v>3.7899999999999996</v>
      </c>
      <c r="Q125" s="7"/>
    </row>
    <row r="126" spans="1:17" x14ac:dyDescent="0.2">
      <c r="D126" s="7"/>
      <c r="E126" s="7"/>
      <c r="F126" s="7"/>
      <c r="G126" s="7"/>
      <c r="H126" s="7"/>
      <c r="I126" s="7"/>
      <c r="J126" s="7"/>
      <c r="K126" s="7"/>
      <c r="L126" s="7"/>
      <c r="M126" s="7"/>
      <c r="N126" s="7"/>
      <c r="O126" s="7"/>
      <c r="P126" s="7"/>
    </row>
    <row r="127" spans="1:17" s="4" customFormat="1" ht="15" x14ac:dyDescent="0.25">
      <c r="A127" s="3" t="s">
        <v>113</v>
      </c>
      <c r="D127" s="19">
        <f t="shared" ref="D127:O127" si="17">SUM(D129:D136)</f>
        <v>46.39</v>
      </c>
      <c r="E127" s="19">
        <f t="shared" si="17"/>
        <v>39.15</v>
      </c>
      <c r="F127" s="19">
        <f t="shared" si="17"/>
        <v>41.13</v>
      </c>
      <c r="G127" s="19">
        <f t="shared" si="17"/>
        <v>40.82</v>
      </c>
      <c r="H127" s="19">
        <f t="shared" si="17"/>
        <v>36.35</v>
      </c>
      <c r="I127" s="19">
        <f t="shared" si="17"/>
        <v>44.64</v>
      </c>
      <c r="J127" s="19">
        <f t="shared" si="17"/>
        <v>39.659999999999997</v>
      </c>
      <c r="K127" s="19">
        <f t="shared" si="17"/>
        <v>35.03</v>
      </c>
      <c r="L127" s="19">
        <f t="shared" si="17"/>
        <v>39.21</v>
      </c>
      <c r="M127" s="19">
        <f t="shared" si="17"/>
        <v>33.770000000000003</v>
      </c>
      <c r="N127" s="19">
        <f t="shared" si="17"/>
        <v>30.619999999999997</v>
      </c>
      <c r="O127" s="19">
        <f t="shared" si="17"/>
        <v>34.18</v>
      </c>
      <c r="P127" s="19">
        <f>SUM(D127:O127)</f>
        <v>460.94999999999993</v>
      </c>
    </row>
    <row r="128" spans="1:17" x14ac:dyDescent="0.2">
      <c r="D128" s="114"/>
      <c r="E128" s="114"/>
      <c r="F128" s="114"/>
      <c r="G128" s="114"/>
      <c r="H128" s="114"/>
      <c r="I128" s="114"/>
      <c r="J128" s="114"/>
      <c r="K128" s="114"/>
      <c r="L128" s="114"/>
      <c r="M128" s="114"/>
      <c r="N128" s="114"/>
      <c r="O128" s="114"/>
      <c r="P128" s="114"/>
    </row>
    <row r="129" spans="1:16" x14ac:dyDescent="0.2">
      <c r="B129" s="2" t="s">
        <v>319</v>
      </c>
      <c r="D129" s="114">
        <v>0</v>
      </c>
      <c r="E129" s="114">
        <v>0</v>
      </c>
      <c r="F129" s="114">
        <v>0</v>
      </c>
      <c r="G129" s="114">
        <v>0</v>
      </c>
      <c r="H129" s="114">
        <v>0</v>
      </c>
      <c r="I129" s="114">
        <v>0.01</v>
      </c>
      <c r="J129" s="114">
        <v>0</v>
      </c>
      <c r="K129" s="114">
        <v>0</v>
      </c>
      <c r="L129" s="114">
        <v>0</v>
      </c>
      <c r="M129" s="114">
        <v>0</v>
      </c>
      <c r="N129" s="114">
        <v>0</v>
      </c>
      <c r="O129" s="114">
        <v>0</v>
      </c>
      <c r="P129" s="114">
        <f t="shared" ref="P129:P136" si="18">SUM(D129:O129)</f>
        <v>0.01</v>
      </c>
    </row>
    <row r="130" spans="1:16" x14ac:dyDescent="0.2">
      <c r="B130" s="2" t="s">
        <v>636</v>
      </c>
      <c r="D130" s="123">
        <v>0.02</v>
      </c>
      <c r="E130" s="123">
        <v>0</v>
      </c>
      <c r="F130" s="123">
        <v>0.01</v>
      </c>
      <c r="G130" s="123">
        <v>0.11</v>
      </c>
      <c r="H130" s="123">
        <v>0</v>
      </c>
      <c r="I130" s="123">
        <v>0</v>
      </c>
      <c r="J130" s="114">
        <v>0.22</v>
      </c>
      <c r="K130" s="114">
        <v>0</v>
      </c>
      <c r="L130" s="114">
        <v>0.05</v>
      </c>
      <c r="M130" s="114">
        <v>0</v>
      </c>
      <c r="N130" s="114">
        <v>0.01</v>
      </c>
      <c r="O130" s="114">
        <v>0.05</v>
      </c>
      <c r="P130" s="114">
        <f t="shared" si="18"/>
        <v>0.47</v>
      </c>
    </row>
    <row r="131" spans="1:16" x14ac:dyDescent="0.2">
      <c r="B131" s="2" t="s">
        <v>317</v>
      </c>
      <c r="D131" s="114">
        <v>0.01</v>
      </c>
      <c r="E131" s="114">
        <v>0.15</v>
      </c>
      <c r="F131" s="114">
        <v>0.01</v>
      </c>
      <c r="G131" s="114">
        <v>0.01</v>
      </c>
      <c r="H131" s="114">
        <v>0.01</v>
      </c>
      <c r="I131" s="114">
        <v>0.01</v>
      </c>
      <c r="J131" s="114">
        <v>0</v>
      </c>
      <c r="K131" s="114">
        <v>0</v>
      </c>
      <c r="L131" s="114">
        <v>0</v>
      </c>
      <c r="M131" s="114">
        <v>0</v>
      </c>
      <c r="N131" s="114">
        <v>0</v>
      </c>
      <c r="O131" s="114">
        <v>0</v>
      </c>
      <c r="P131" s="114">
        <f t="shared" si="18"/>
        <v>0.20000000000000004</v>
      </c>
    </row>
    <row r="132" spans="1:16" x14ac:dyDescent="0.2">
      <c r="B132" s="2" t="s">
        <v>318</v>
      </c>
      <c r="D132" s="114">
        <v>0.69</v>
      </c>
      <c r="E132" s="114">
        <v>0.48</v>
      </c>
      <c r="F132" s="114">
        <v>0.3</v>
      </c>
      <c r="G132" s="114">
        <v>0.38</v>
      </c>
      <c r="H132" s="114">
        <v>0.39</v>
      </c>
      <c r="I132" s="114">
        <v>0.38</v>
      </c>
      <c r="J132" s="114">
        <v>0.25</v>
      </c>
      <c r="K132" s="114">
        <v>0.32</v>
      </c>
      <c r="L132" s="114">
        <v>0.37</v>
      </c>
      <c r="M132" s="114">
        <v>0.38</v>
      </c>
      <c r="N132" s="114">
        <v>0.65</v>
      </c>
      <c r="O132" s="114">
        <v>0.72</v>
      </c>
      <c r="P132" s="114">
        <f t="shared" si="18"/>
        <v>5.31</v>
      </c>
    </row>
    <row r="133" spans="1:16" x14ac:dyDescent="0.2">
      <c r="B133" s="2" t="s">
        <v>581</v>
      </c>
      <c r="D133" s="114">
        <v>1.33</v>
      </c>
      <c r="E133" s="114">
        <v>2.13</v>
      </c>
      <c r="F133" s="114">
        <v>1.47</v>
      </c>
      <c r="G133" s="114">
        <v>2.41</v>
      </c>
      <c r="H133" s="114">
        <v>1.82</v>
      </c>
      <c r="I133" s="114">
        <v>1.62</v>
      </c>
      <c r="J133" s="114">
        <v>0</v>
      </c>
      <c r="K133" s="114">
        <v>0</v>
      </c>
      <c r="L133" s="114">
        <v>0</v>
      </c>
      <c r="M133" s="114">
        <v>0</v>
      </c>
      <c r="N133" s="114">
        <v>0</v>
      </c>
      <c r="O133" s="114">
        <v>0</v>
      </c>
      <c r="P133" s="114">
        <f t="shared" si="18"/>
        <v>10.780000000000001</v>
      </c>
    </row>
    <row r="134" spans="1:16" x14ac:dyDescent="0.2">
      <c r="B134" s="2" t="s">
        <v>312</v>
      </c>
      <c r="D134" s="114">
        <v>9.6999999999999993</v>
      </c>
      <c r="E134" s="114">
        <v>6.6</v>
      </c>
      <c r="F134" s="114">
        <v>6.52</v>
      </c>
      <c r="G134" s="114">
        <v>6.11</v>
      </c>
      <c r="H134" s="114">
        <v>6.61</v>
      </c>
      <c r="I134" s="114">
        <v>5.46</v>
      </c>
      <c r="J134" s="114">
        <v>6.09</v>
      </c>
      <c r="K134" s="114">
        <v>6.41</v>
      </c>
      <c r="L134" s="114">
        <v>6.16</v>
      </c>
      <c r="M134" s="114">
        <v>5.01</v>
      </c>
      <c r="N134" s="114">
        <v>4.59</v>
      </c>
      <c r="O134" s="114">
        <v>5.58</v>
      </c>
      <c r="P134" s="114">
        <f t="shared" si="18"/>
        <v>74.84</v>
      </c>
    </row>
    <row r="135" spans="1:16" x14ac:dyDescent="0.2">
      <c r="B135" s="2" t="s">
        <v>321</v>
      </c>
      <c r="D135" s="114">
        <v>28.8</v>
      </c>
      <c r="E135" s="114">
        <v>24.72</v>
      </c>
      <c r="F135" s="114">
        <v>31.92</v>
      </c>
      <c r="G135" s="114">
        <v>28.7</v>
      </c>
      <c r="H135" s="114">
        <v>26.44</v>
      </c>
      <c r="I135" s="114">
        <v>33.36</v>
      </c>
      <c r="J135" s="114">
        <v>32.159999999999997</v>
      </c>
      <c r="K135" s="114">
        <v>27.73</v>
      </c>
      <c r="L135" s="114">
        <v>32.1</v>
      </c>
      <c r="M135" s="114">
        <v>27.78</v>
      </c>
      <c r="N135" s="114">
        <v>24.65</v>
      </c>
      <c r="O135" s="114">
        <v>26.54</v>
      </c>
      <c r="P135" s="114">
        <f t="shared" si="18"/>
        <v>344.90000000000003</v>
      </c>
    </row>
    <row r="136" spans="1:16" x14ac:dyDescent="0.2">
      <c r="B136" s="2" t="s">
        <v>322</v>
      </c>
      <c r="D136" s="114">
        <v>5.84</v>
      </c>
      <c r="E136" s="114">
        <v>5.07</v>
      </c>
      <c r="F136" s="114">
        <v>0.9</v>
      </c>
      <c r="G136" s="114">
        <v>3.1</v>
      </c>
      <c r="H136" s="114">
        <v>1.08</v>
      </c>
      <c r="I136" s="114">
        <v>3.8</v>
      </c>
      <c r="J136" s="114">
        <v>0.94</v>
      </c>
      <c r="K136" s="114">
        <v>0.56999999999999995</v>
      </c>
      <c r="L136" s="114">
        <v>0.53</v>
      </c>
      <c r="M136" s="114">
        <v>0.6</v>
      </c>
      <c r="N136" s="114">
        <v>0.72</v>
      </c>
      <c r="O136" s="114">
        <v>1.29</v>
      </c>
      <c r="P136" s="114">
        <f t="shared" si="18"/>
        <v>24.44</v>
      </c>
    </row>
    <row r="137" spans="1:16" x14ac:dyDescent="0.2">
      <c r="D137" s="7"/>
      <c r="E137" s="7"/>
      <c r="F137" s="7"/>
      <c r="G137" s="7"/>
      <c r="H137" s="7"/>
      <c r="I137" s="7"/>
      <c r="J137" s="7"/>
      <c r="K137" s="7"/>
      <c r="L137" s="7"/>
      <c r="M137" s="7"/>
      <c r="N137" s="7"/>
      <c r="O137" s="7"/>
      <c r="P137" s="7"/>
    </row>
    <row r="138" spans="1:16" s="4" customFormat="1" ht="15" x14ac:dyDescent="0.25">
      <c r="A138" s="3" t="s">
        <v>121</v>
      </c>
      <c r="D138" s="19">
        <f t="shared" ref="D138:O138" si="19">SUM(D140:D141)</f>
        <v>1.6400000000000001</v>
      </c>
      <c r="E138" s="19">
        <f t="shared" si="19"/>
        <v>1.51</v>
      </c>
      <c r="F138" s="19">
        <f t="shared" si="19"/>
        <v>2.79</v>
      </c>
      <c r="G138" s="19">
        <f t="shared" si="19"/>
        <v>2.6500000000000004</v>
      </c>
      <c r="H138" s="19">
        <f t="shared" si="19"/>
        <v>0.98</v>
      </c>
      <c r="I138" s="19">
        <f t="shared" si="19"/>
        <v>1.17</v>
      </c>
      <c r="J138" s="19">
        <f t="shared" si="19"/>
        <v>0.85</v>
      </c>
      <c r="K138" s="19">
        <f t="shared" si="19"/>
        <v>0.82</v>
      </c>
      <c r="L138" s="19">
        <f t="shared" si="19"/>
        <v>1.02</v>
      </c>
      <c r="M138" s="19">
        <f t="shared" si="19"/>
        <v>1.26</v>
      </c>
      <c r="N138" s="19">
        <f t="shared" si="19"/>
        <v>0.67</v>
      </c>
      <c r="O138" s="19">
        <f t="shared" si="19"/>
        <v>1.19</v>
      </c>
      <c r="P138" s="19">
        <f>SUM(D138:O138)</f>
        <v>16.55</v>
      </c>
    </row>
    <row r="139" spans="1:16" x14ac:dyDescent="0.2">
      <c r="D139" s="114"/>
      <c r="E139" s="114"/>
      <c r="F139" s="114"/>
      <c r="G139" s="114"/>
      <c r="H139" s="114"/>
      <c r="I139" s="114"/>
      <c r="J139" s="114"/>
      <c r="K139" s="114"/>
      <c r="L139" s="114"/>
      <c r="M139" s="114"/>
      <c r="N139" s="114"/>
      <c r="O139" s="114"/>
      <c r="P139" s="114"/>
    </row>
    <row r="140" spans="1:16" x14ac:dyDescent="0.2">
      <c r="B140" s="2" t="s">
        <v>582</v>
      </c>
      <c r="D140" s="114">
        <v>0.03</v>
      </c>
      <c r="E140" s="114">
        <v>0.02</v>
      </c>
      <c r="F140" s="114">
        <v>0.08</v>
      </c>
      <c r="G140" s="114">
        <v>0.28000000000000003</v>
      </c>
      <c r="H140" s="114">
        <v>0.02</v>
      </c>
      <c r="I140" s="114">
        <v>0.01</v>
      </c>
      <c r="J140" s="114">
        <v>0</v>
      </c>
      <c r="K140" s="114">
        <v>0</v>
      </c>
      <c r="L140" s="114">
        <v>0</v>
      </c>
      <c r="M140" s="114">
        <v>0</v>
      </c>
      <c r="N140" s="114">
        <v>0</v>
      </c>
      <c r="O140" s="114">
        <v>0</v>
      </c>
      <c r="P140" s="114">
        <f>SUM(D140:O140)</f>
        <v>0.44000000000000006</v>
      </c>
    </row>
    <row r="141" spans="1:16" x14ac:dyDescent="0.2">
      <c r="B141" s="2" t="s">
        <v>312</v>
      </c>
      <c r="D141" s="114">
        <v>1.61</v>
      </c>
      <c r="E141" s="114">
        <v>1.49</v>
      </c>
      <c r="F141" s="114">
        <v>2.71</v>
      </c>
      <c r="G141" s="114">
        <v>2.37</v>
      </c>
      <c r="H141" s="114">
        <v>0.96</v>
      </c>
      <c r="I141" s="114">
        <v>1.1599999999999999</v>
      </c>
      <c r="J141" s="114">
        <v>0.85</v>
      </c>
      <c r="K141" s="114">
        <v>0.82</v>
      </c>
      <c r="L141" s="114">
        <v>1.02</v>
      </c>
      <c r="M141" s="114">
        <v>1.26</v>
      </c>
      <c r="N141" s="114">
        <v>0.67</v>
      </c>
      <c r="O141" s="114">
        <v>1.19</v>
      </c>
      <c r="P141" s="114">
        <f>SUM(D141:O141)</f>
        <v>16.11</v>
      </c>
    </row>
    <row r="142" spans="1:16" x14ac:dyDescent="0.2">
      <c r="D142" s="7"/>
      <c r="E142" s="7"/>
      <c r="F142" s="7"/>
      <c r="G142" s="7"/>
      <c r="H142" s="7"/>
      <c r="I142" s="7"/>
      <c r="J142" s="7"/>
      <c r="K142" s="7"/>
      <c r="L142" s="7"/>
      <c r="M142" s="7"/>
      <c r="N142" s="7"/>
      <c r="O142" s="7"/>
      <c r="P142" s="7"/>
    </row>
    <row r="143" spans="1:16" s="4" customFormat="1" ht="15" x14ac:dyDescent="0.25">
      <c r="A143" s="3" t="s">
        <v>324</v>
      </c>
      <c r="D143" s="19">
        <f>SUM(D145:D156)</f>
        <v>16.190000000000001</v>
      </c>
      <c r="E143" s="19">
        <f t="shared" ref="E143:O143" si="20">SUM(E145:E156)</f>
        <v>9.4599999999999991</v>
      </c>
      <c r="F143" s="19">
        <f t="shared" si="20"/>
        <v>11.870000000000001</v>
      </c>
      <c r="G143" s="19">
        <f t="shared" si="20"/>
        <v>12.45</v>
      </c>
      <c r="H143" s="19">
        <f t="shared" si="20"/>
        <v>19.18</v>
      </c>
      <c r="I143" s="19">
        <f t="shared" si="20"/>
        <v>12.39</v>
      </c>
      <c r="J143" s="19">
        <f t="shared" si="20"/>
        <v>6.22</v>
      </c>
      <c r="K143" s="19">
        <f t="shared" si="20"/>
        <v>16.560000000000002</v>
      </c>
      <c r="L143" s="19">
        <f t="shared" si="20"/>
        <v>5.24</v>
      </c>
      <c r="M143" s="19">
        <f t="shared" si="20"/>
        <v>4.4899999999999993</v>
      </c>
      <c r="N143" s="19">
        <f t="shared" si="20"/>
        <v>3.2999999999999994</v>
      </c>
      <c r="O143" s="19">
        <f t="shared" si="20"/>
        <v>6.5200000000000014</v>
      </c>
      <c r="P143" s="19">
        <f>SUM(D143:O143)</f>
        <v>123.86999999999999</v>
      </c>
    </row>
    <row r="144" spans="1:16" x14ac:dyDescent="0.2">
      <c r="D144" s="114"/>
      <c r="E144" s="114"/>
      <c r="F144" s="114"/>
      <c r="G144" s="114"/>
      <c r="H144" s="114"/>
      <c r="I144" s="114"/>
      <c r="J144" s="114"/>
      <c r="K144" s="114"/>
      <c r="L144" s="114"/>
      <c r="M144" s="114"/>
      <c r="N144" s="114"/>
      <c r="O144" s="114"/>
      <c r="P144" s="114"/>
    </row>
    <row r="145" spans="1:16" x14ac:dyDescent="0.2">
      <c r="B145" s="2" t="s">
        <v>793</v>
      </c>
      <c r="D145" s="123">
        <v>3.2</v>
      </c>
      <c r="E145" s="123">
        <v>4.9400000000000004</v>
      </c>
      <c r="F145" s="123">
        <v>3.39</v>
      </c>
      <c r="G145" s="123">
        <v>3.27</v>
      </c>
      <c r="H145" s="123">
        <v>6.57</v>
      </c>
      <c r="I145" s="123">
        <v>4.5599999999999996</v>
      </c>
      <c r="J145" s="114">
        <v>5.43</v>
      </c>
      <c r="K145" s="114">
        <v>15.98</v>
      </c>
      <c r="L145" s="114">
        <v>3.95</v>
      </c>
      <c r="M145" s="114">
        <v>3.95</v>
      </c>
      <c r="N145" s="114">
        <v>2.7</v>
      </c>
      <c r="O145" s="114">
        <v>4.99</v>
      </c>
      <c r="P145" s="114">
        <f t="shared" ref="P145:P156" si="21">SUM(D145:O145)</f>
        <v>62.930000000000014</v>
      </c>
    </row>
    <row r="146" spans="1:16" x14ac:dyDescent="0.2">
      <c r="B146" s="2" t="s">
        <v>639</v>
      </c>
      <c r="D146" s="123">
        <v>6.71</v>
      </c>
      <c r="E146" s="123">
        <v>2.0099999999999998</v>
      </c>
      <c r="F146" s="123">
        <v>5.13</v>
      </c>
      <c r="G146" s="123">
        <v>4.76</v>
      </c>
      <c r="H146" s="123">
        <v>9.5399999999999991</v>
      </c>
      <c r="I146" s="123">
        <v>4.0599999999999996</v>
      </c>
      <c r="J146" s="114">
        <v>0</v>
      </c>
      <c r="K146" s="114">
        <v>0</v>
      </c>
      <c r="L146" s="114">
        <v>0</v>
      </c>
      <c r="M146" s="114">
        <v>0</v>
      </c>
      <c r="N146" s="114">
        <v>0</v>
      </c>
      <c r="O146" s="114">
        <v>0</v>
      </c>
      <c r="P146" s="114">
        <f t="shared" si="21"/>
        <v>32.21</v>
      </c>
    </row>
    <row r="147" spans="1:16" x14ac:dyDescent="0.2">
      <c r="B147" s="2" t="s">
        <v>794</v>
      </c>
      <c r="D147" s="114">
        <v>0.38</v>
      </c>
      <c r="E147" s="114">
        <v>0.1</v>
      </c>
      <c r="F147" s="114">
        <v>0.14000000000000001</v>
      </c>
      <c r="G147" s="114">
        <v>0.05</v>
      </c>
      <c r="H147" s="114">
        <v>0.05</v>
      </c>
      <c r="I147" s="114">
        <v>0.09</v>
      </c>
      <c r="J147" s="114">
        <v>0.01</v>
      </c>
      <c r="K147" s="114">
        <v>0.01</v>
      </c>
      <c r="L147" s="114">
        <v>0.01</v>
      </c>
      <c r="M147" s="114">
        <v>0.01</v>
      </c>
      <c r="N147" s="114">
        <v>0.01</v>
      </c>
      <c r="O147" s="114">
        <v>0.03</v>
      </c>
      <c r="P147" s="114">
        <f t="shared" si="21"/>
        <v>0.89000000000000012</v>
      </c>
    </row>
    <row r="148" spans="1:16" x14ac:dyDescent="0.2">
      <c r="B148" s="2" t="s">
        <v>638</v>
      </c>
      <c r="D148" s="123">
        <v>0.05</v>
      </c>
      <c r="E148" s="123">
        <v>0.04</v>
      </c>
      <c r="F148" s="123">
        <v>0.04</v>
      </c>
      <c r="G148" s="123">
        <v>0.12</v>
      </c>
      <c r="H148" s="123">
        <v>0.05</v>
      </c>
      <c r="I148" s="123">
        <v>2.2000000000000002</v>
      </c>
      <c r="J148" s="114">
        <v>0.03</v>
      </c>
      <c r="K148" s="114">
        <v>0.03</v>
      </c>
      <c r="L148" s="114">
        <v>0.05</v>
      </c>
      <c r="M148" s="114">
        <v>0.01</v>
      </c>
      <c r="N148" s="114">
        <v>0.01</v>
      </c>
      <c r="O148" s="114">
        <v>0.03</v>
      </c>
      <c r="P148" s="114">
        <f t="shared" si="21"/>
        <v>2.6599999999999988</v>
      </c>
    </row>
    <row r="149" spans="1:16" x14ac:dyDescent="0.2">
      <c r="B149" s="2" t="s">
        <v>583</v>
      </c>
      <c r="D149" s="114">
        <v>0.17</v>
      </c>
      <c r="E149" s="114">
        <v>0.13</v>
      </c>
      <c r="F149" s="114">
        <v>0.14000000000000001</v>
      </c>
      <c r="G149" s="114">
        <v>0.28000000000000003</v>
      </c>
      <c r="H149" s="114">
        <v>0.24</v>
      </c>
      <c r="I149" s="114">
        <v>0.15</v>
      </c>
      <c r="J149" s="114">
        <v>0.09</v>
      </c>
      <c r="K149" s="114">
        <v>0.1</v>
      </c>
      <c r="L149" s="114">
        <v>7.0000000000000007E-2</v>
      </c>
      <c r="M149" s="114">
        <v>0.05</v>
      </c>
      <c r="N149" s="114">
        <v>0.11</v>
      </c>
      <c r="O149" s="114">
        <v>0.16</v>
      </c>
      <c r="P149" s="114">
        <f t="shared" si="21"/>
        <v>1.6900000000000004</v>
      </c>
    </row>
    <row r="150" spans="1:16" x14ac:dyDescent="0.2">
      <c r="B150" s="2" t="s">
        <v>640</v>
      </c>
      <c r="D150" s="114">
        <v>0.01</v>
      </c>
      <c r="E150" s="114">
        <v>0.01</v>
      </c>
      <c r="F150" s="114">
        <v>0.02</v>
      </c>
      <c r="G150" s="114">
        <v>0.02</v>
      </c>
      <c r="H150" s="114">
        <v>0.02</v>
      </c>
      <c r="I150" s="114">
        <v>0</v>
      </c>
      <c r="J150" s="114">
        <v>0</v>
      </c>
      <c r="K150" s="114">
        <v>0</v>
      </c>
      <c r="L150" s="114">
        <v>0</v>
      </c>
      <c r="M150" s="114">
        <v>0</v>
      </c>
      <c r="N150" s="114">
        <v>0</v>
      </c>
      <c r="O150" s="114">
        <v>0.02</v>
      </c>
      <c r="P150" s="114">
        <f t="shared" si="21"/>
        <v>0.1</v>
      </c>
    </row>
    <row r="151" spans="1:16" x14ac:dyDescent="0.2">
      <c r="B151" s="2" t="s">
        <v>327</v>
      </c>
      <c r="D151" s="123">
        <v>0.5</v>
      </c>
      <c r="E151" s="123">
        <v>0.42</v>
      </c>
      <c r="F151" s="123">
        <v>0.47</v>
      </c>
      <c r="G151" s="123">
        <v>0.73</v>
      </c>
      <c r="H151" s="123">
        <v>0.77</v>
      </c>
      <c r="I151" s="123">
        <v>0.76</v>
      </c>
      <c r="J151" s="114">
        <v>0</v>
      </c>
      <c r="K151" s="114">
        <v>0.03</v>
      </c>
      <c r="L151" s="114">
        <v>0.71</v>
      </c>
      <c r="M151" s="114">
        <v>0.03</v>
      </c>
      <c r="N151" s="114">
        <v>0.03</v>
      </c>
      <c r="O151" s="114">
        <v>0.03</v>
      </c>
      <c r="P151" s="114">
        <f t="shared" si="21"/>
        <v>4.4800000000000013</v>
      </c>
    </row>
    <row r="152" spans="1:16" x14ac:dyDescent="0.2">
      <c r="B152" s="2" t="s">
        <v>326</v>
      </c>
      <c r="D152" s="123">
        <v>0.9</v>
      </c>
      <c r="E152" s="123">
        <v>0.55000000000000004</v>
      </c>
      <c r="F152" s="123">
        <v>0.33</v>
      </c>
      <c r="G152" s="123">
        <v>1.82</v>
      </c>
      <c r="H152" s="123">
        <v>0.96</v>
      </c>
      <c r="I152" s="123">
        <v>0.39</v>
      </c>
      <c r="J152" s="114">
        <v>0.56999999999999995</v>
      </c>
      <c r="K152" s="114">
        <v>0.41</v>
      </c>
      <c r="L152" s="114">
        <v>0.4</v>
      </c>
      <c r="M152" s="114">
        <v>0.4</v>
      </c>
      <c r="N152" s="114">
        <v>0.19</v>
      </c>
      <c r="O152" s="114">
        <v>0.78</v>
      </c>
      <c r="P152" s="114">
        <f t="shared" si="21"/>
        <v>7.700000000000002</v>
      </c>
    </row>
    <row r="153" spans="1:16" x14ac:dyDescent="0.2">
      <c r="B153" s="2" t="s">
        <v>637</v>
      </c>
      <c r="D153" s="123">
        <v>0.6</v>
      </c>
      <c r="E153" s="123">
        <v>0</v>
      </c>
      <c r="F153" s="123">
        <v>0</v>
      </c>
      <c r="G153" s="123">
        <v>0</v>
      </c>
      <c r="H153" s="123">
        <v>0</v>
      </c>
      <c r="I153" s="123">
        <v>0.09</v>
      </c>
      <c r="J153" s="114">
        <v>0.01</v>
      </c>
      <c r="K153" s="114">
        <v>0</v>
      </c>
      <c r="L153" s="114">
        <v>0.01</v>
      </c>
      <c r="M153" s="114">
        <v>0.02</v>
      </c>
      <c r="N153" s="114">
        <v>0</v>
      </c>
      <c r="O153" s="114">
        <v>0.11</v>
      </c>
      <c r="P153" s="114">
        <f t="shared" si="21"/>
        <v>0.84</v>
      </c>
    </row>
    <row r="154" spans="1:16" x14ac:dyDescent="0.2">
      <c r="B154" s="2" t="s">
        <v>328</v>
      </c>
      <c r="D154" s="123">
        <v>1.99</v>
      </c>
      <c r="E154" s="123">
        <v>0.16</v>
      </c>
      <c r="F154" s="123">
        <v>0.66</v>
      </c>
      <c r="G154" s="123">
        <v>0.09</v>
      </c>
      <c r="H154" s="123">
        <v>0.15</v>
      </c>
      <c r="I154" s="123">
        <v>0.09</v>
      </c>
      <c r="J154" s="114">
        <v>0.05</v>
      </c>
      <c r="K154" s="114">
        <v>0</v>
      </c>
      <c r="L154" s="114">
        <v>0.03</v>
      </c>
      <c r="M154" s="114">
        <v>0.01</v>
      </c>
      <c r="N154" s="114">
        <v>0.13</v>
      </c>
      <c r="O154" s="114">
        <v>0.27</v>
      </c>
      <c r="P154" s="114">
        <f t="shared" si="21"/>
        <v>3.629999999999999</v>
      </c>
    </row>
    <row r="155" spans="1:16" x14ac:dyDescent="0.2">
      <c r="B155" s="2" t="s">
        <v>330</v>
      </c>
      <c r="D155" s="123">
        <v>1.68</v>
      </c>
      <c r="E155" s="123">
        <v>1.1000000000000001</v>
      </c>
      <c r="F155" s="123">
        <v>0.97</v>
      </c>
      <c r="G155" s="123">
        <v>0.01</v>
      </c>
      <c r="H155" s="123">
        <v>0.01</v>
      </c>
      <c r="I155" s="123">
        <v>0</v>
      </c>
      <c r="J155" s="114">
        <v>0.03</v>
      </c>
      <c r="K155" s="114">
        <v>0</v>
      </c>
      <c r="L155" s="114">
        <v>0.01</v>
      </c>
      <c r="M155" s="114">
        <v>0.01</v>
      </c>
      <c r="N155" s="114">
        <v>0</v>
      </c>
      <c r="O155" s="114">
        <v>0.02</v>
      </c>
      <c r="P155" s="114">
        <f t="shared" si="21"/>
        <v>3.839999999999999</v>
      </c>
    </row>
    <row r="156" spans="1:16" x14ac:dyDescent="0.2">
      <c r="B156" s="2" t="s">
        <v>419</v>
      </c>
      <c r="D156" s="114">
        <v>0</v>
      </c>
      <c r="E156" s="114">
        <v>0</v>
      </c>
      <c r="F156" s="114">
        <v>0.57999999999999996</v>
      </c>
      <c r="G156" s="114">
        <v>1.3</v>
      </c>
      <c r="H156" s="114">
        <v>0.82</v>
      </c>
      <c r="I156" s="114">
        <v>0</v>
      </c>
      <c r="J156" s="114">
        <v>0</v>
      </c>
      <c r="K156" s="114">
        <v>0</v>
      </c>
      <c r="L156" s="114">
        <v>0</v>
      </c>
      <c r="M156" s="114">
        <v>0</v>
      </c>
      <c r="N156" s="114">
        <v>0.12</v>
      </c>
      <c r="O156" s="114">
        <v>0.08</v>
      </c>
      <c r="P156" s="114">
        <f t="shared" si="21"/>
        <v>2.9</v>
      </c>
    </row>
    <row r="157" spans="1:16" x14ac:dyDescent="0.2">
      <c r="D157" s="7"/>
      <c r="E157" s="7"/>
      <c r="F157" s="7"/>
      <c r="G157" s="7"/>
      <c r="H157" s="7"/>
      <c r="I157" s="7"/>
      <c r="J157" s="7"/>
      <c r="K157" s="7"/>
      <c r="L157" s="7"/>
      <c r="M157" s="7"/>
      <c r="N157" s="7"/>
      <c r="O157" s="7"/>
      <c r="P157" s="7"/>
    </row>
    <row r="158" spans="1:16" s="4" customFormat="1" ht="15" x14ac:dyDescent="0.25">
      <c r="A158" s="3" t="s">
        <v>122</v>
      </c>
      <c r="D158" s="19">
        <f>SUM(D160:D165)</f>
        <v>23.69</v>
      </c>
      <c r="E158" s="19">
        <f t="shared" ref="E158:O158" si="22">SUM(E160:E165)</f>
        <v>30.1</v>
      </c>
      <c r="F158" s="19">
        <f t="shared" si="22"/>
        <v>24.770000000000003</v>
      </c>
      <c r="G158" s="19">
        <f t="shared" si="22"/>
        <v>27.779999999999998</v>
      </c>
      <c r="H158" s="19">
        <f t="shared" si="22"/>
        <v>43.13</v>
      </c>
      <c r="I158" s="19">
        <f t="shared" si="22"/>
        <v>27.660000000000004</v>
      </c>
      <c r="J158" s="19">
        <f t="shared" si="22"/>
        <v>26.900000000000002</v>
      </c>
      <c r="K158" s="19">
        <f t="shared" si="22"/>
        <v>25.330000000000002</v>
      </c>
      <c r="L158" s="19">
        <f t="shared" si="22"/>
        <v>29.450000000000003</v>
      </c>
      <c r="M158" s="19">
        <f t="shared" si="22"/>
        <v>19.660000000000004</v>
      </c>
      <c r="N158" s="19">
        <f t="shared" si="22"/>
        <v>30.84</v>
      </c>
      <c r="O158" s="19">
        <f t="shared" si="22"/>
        <v>23.240000000000002</v>
      </c>
      <c r="P158" s="19">
        <f>SUM(D158:O158)</f>
        <v>332.55</v>
      </c>
    </row>
    <row r="159" spans="1:16" ht="15" x14ac:dyDescent="0.25">
      <c r="A159" s="1"/>
      <c r="D159" s="114"/>
      <c r="E159" s="114"/>
      <c r="F159" s="114"/>
      <c r="G159" s="114"/>
      <c r="H159" s="114"/>
      <c r="I159" s="114"/>
      <c r="J159" s="114"/>
      <c r="K159" s="114"/>
      <c r="L159" s="114"/>
      <c r="M159" s="114"/>
      <c r="N159" s="114"/>
      <c r="O159" s="114"/>
      <c r="P159" s="114"/>
    </row>
    <row r="160" spans="1:16" ht="15" x14ac:dyDescent="0.25">
      <c r="A160" s="1"/>
      <c r="B160" s="2" t="s">
        <v>641</v>
      </c>
      <c r="D160" s="114">
        <v>0</v>
      </c>
      <c r="E160" s="114">
        <v>0.01</v>
      </c>
      <c r="F160" s="114">
        <v>0</v>
      </c>
      <c r="G160" s="114">
        <v>0.01</v>
      </c>
      <c r="H160" s="114">
        <v>0</v>
      </c>
      <c r="I160" s="114">
        <v>0.01</v>
      </c>
      <c r="J160" s="114">
        <v>0</v>
      </c>
      <c r="K160" s="114">
        <v>0</v>
      </c>
      <c r="L160" s="114">
        <v>0</v>
      </c>
      <c r="M160" s="114">
        <v>0</v>
      </c>
      <c r="N160" s="114">
        <v>0.01</v>
      </c>
      <c r="O160" s="114">
        <v>0.01</v>
      </c>
      <c r="P160" s="114">
        <f t="shared" ref="P160:P165" si="23">SUM(D160:O160)</f>
        <v>0.05</v>
      </c>
    </row>
    <row r="161" spans="1:16" x14ac:dyDescent="0.2">
      <c r="B161" s="2" t="s">
        <v>642</v>
      </c>
      <c r="D161" s="114">
        <v>0.1</v>
      </c>
      <c r="E161" s="114">
        <v>0.01</v>
      </c>
      <c r="F161" s="114">
        <v>0.09</v>
      </c>
      <c r="G161" s="114">
        <v>0.05</v>
      </c>
      <c r="H161" s="114">
        <v>0.01</v>
      </c>
      <c r="I161" s="114">
        <v>0.05</v>
      </c>
      <c r="J161" s="114">
        <v>0.02</v>
      </c>
      <c r="K161" s="114">
        <v>0.01</v>
      </c>
      <c r="L161" s="114">
        <v>0.01</v>
      </c>
      <c r="M161" s="114">
        <v>0</v>
      </c>
      <c r="N161" s="114">
        <v>0.04</v>
      </c>
      <c r="O161" s="114">
        <v>0</v>
      </c>
      <c r="P161" s="114">
        <f t="shared" si="23"/>
        <v>0.39</v>
      </c>
    </row>
    <row r="162" spans="1:16" x14ac:dyDescent="0.2">
      <c r="B162" s="2" t="s">
        <v>331</v>
      </c>
      <c r="D162" s="114">
        <v>0.5</v>
      </c>
      <c r="E162" s="114">
        <v>0.09</v>
      </c>
      <c r="F162" s="114">
        <v>0.04</v>
      </c>
      <c r="G162" s="114">
        <v>0.67</v>
      </c>
      <c r="H162" s="114">
        <v>7.0000000000000007E-2</v>
      </c>
      <c r="I162" s="114">
        <v>0.06</v>
      </c>
      <c r="J162" s="114">
        <v>0.16</v>
      </c>
      <c r="K162" s="114">
        <v>0.24</v>
      </c>
      <c r="L162" s="114">
        <v>0.17</v>
      </c>
      <c r="M162" s="114">
        <v>0.46</v>
      </c>
      <c r="N162" s="114">
        <v>0.4</v>
      </c>
      <c r="O162" s="114">
        <v>0.11</v>
      </c>
      <c r="P162" s="114">
        <f t="shared" si="23"/>
        <v>2.9699999999999998</v>
      </c>
    </row>
    <row r="163" spans="1:16" x14ac:dyDescent="0.2">
      <c r="B163" s="2" t="s">
        <v>332</v>
      </c>
      <c r="D163" s="114">
        <v>23.02</v>
      </c>
      <c r="E163" s="114">
        <v>29.98</v>
      </c>
      <c r="F163" s="114">
        <v>24.37</v>
      </c>
      <c r="G163" s="114">
        <v>26.97</v>
      </c>
      <c r="H163" s="114">
        <v>42.77</v>
      </c>
      <c r="I163" s="114">
        <v>27.52</v>
      </c>
      <c r="J163" s="114">
        <v>26.67</v>
      </c>
      <c r="K163" s="114">
        <v>25.06</v>
      </c>
      <c r="L163" s="114">
        <v>29.26</v>
      </c>
      <c r="M163" s="114">
        <v>19.170000000000002</v>
      </c>
      <c r="N163" s="114">
        <v>30.37</v>
      </c>
      <c r="O163" s="114">
        <v>23.07</v>
      </c>
      <c r="P163" s="114">
        <f t="shared" si="23"/>
        <v>328.23</v>
      </c>
    </row>
    <row r="164" spans="1:16" x14ac:dyDescent="0.2">
      <c r="B164" s="2" t="s">
        <v>450</v>
      </c>
      <c r="D164" s="114">
        <v>0.06</v>
      </c>
      <c r="E164" s="114">
        <v>0</v>
      </c>
      <c r="F164" s="114">
        <v>0.26</v>
      </c>
      <c r="G164" s="114">
        <v>0.06</v>
      </c>
      <c r="H164" s="114">
        <v>0.26</v>
      </c>
      <c r="I164" s="114">
        <v>0.01</v>
      </c>
      <c r="J164" s="114">
        <v>0</v>
      </c>
      <c r="K164" s="114">
        <v>0.01</v>
      </c>
      <c r="L164" s="114">
        <v>0</v>
      </c>
      <c r="M164" s="114">
        <v>0</v>
      </c>
      <c r="N164" s="114">
        <v>0</v>
      </c>
      <c r="O164" s="114">
        <v>0</v>
      </c>
      <c r="P164" s="114">
        <f t="shared" si="23"/>
        <v>0.66</v>
      </c>
    </row>
    <row r="165" spans="1:16" x14ac:dyDescent="0.2">
      <c r="B165" s="2" t="s">
        <v>335</v>
      </c>
      <c r="D165" s="114">
        <v>0.01</v>
      </c>
      <c r="E165" s="114">
        <v>0.01</v>
      </c>
      <c r="F165" s="114">
        <v>0.01</v>
      </c>
      <c r="G165" s="114">
        <v>0.02</v>
      </c>
      <c r="H165" s="114">
        <v>0.02</v>
      </c>
      <c r="I165" s="114">
        <v>0.01</v>
      </c>
      <c r="J165" s="114">
        <v>0.05</v>
      </c>
      <c r="K165" s="114">
        <v>0.01</v>
      </c>
      <c r="L165" s="114">
        <v>0.01</v>
      </c>
      <c r="M165" s="114">
        <v>0.03</v>
      </c>
      <c r="N165" s="114">
        <v>0.02</v>
      </c>
      <c r="O165" s="114">
        <v>0.05</v>
      </c>
      <c r="P165" s="114">
        <f t="shared" si="23"/>
        <v>0.25</v>
      </c>
    </row>
    <row r="166" spans="1:16" x14ac:dyDescent="0.2">
      <c r="D166" s="7"/>
      <c r="E166" s="7"/>
      <c r="F166" s="7"/>
      <c r="G166" s="7"/>
      <c r="H166" s="7"/>
      <c r="I166" s="7"/>
      <c r="J166" s="7"/>
      <c r="K166" s="7"/>
      <c r="L166" s="7"/>
      <c r="M166" s="7"/>
      <c r="N166" s="7"/>
      <c r="O166" s="7"/>
      <c r="P166" s="7"/>
    </row>
    <row r="167" spans="1:16" s="4" customFormat="1" ht="15" x14ac:dyDescent="0.25">
      <c r="A167" s="3" t="s">
        <v>128</v>
      </c>
      <c r="D167" s="19">
        <f t="shared" ref="D167:O167" si="24">SUM(D169:D170)</f>
        <v>26.88</v>
      </c>
      <c r="E167" s="19">
        <f t="shared" si="24"/>
        <v>22.5</v>
      </c>
      <c r="F167" s="19">
        <f t="shared" si="24"/>
        <v>25.14</v>
      </c>
      <c r="G167" s="19">
        <f t="shared" si="24"/>
        <v>37.07</v>
      </c>
      <c r="H167" s="19">
        <f t="shared" si="24"/>
        <v>20.79</v>
      </c>
      <c r="I167" s="19">
        <f t="shared" si="24"/>
        <v>21.86</v>
      </c>
      <c r="J167" s="19">
        <f t="shared" si="24"/>
        <v>7.79</v>
      </c>
      <c r="K167" s="19">
        <f t="shared" si="24"/>
        <v>11.5</v>
      </c>
      <c r="L167" s="19">
        <f t="shared" si="24"/>
        <v>15.99</v>
      </c>
      <c r="M167" s="19">
        <f t="shared" si="24"/>
        <v>17.86</v>
      </c>
      <c r="N167" s="19">
        <f t="shared" si="24"/>
        <v>9.17</v>
      </c>
      <c r="O167" s="19">
        <f t="shared" si="24"/>
        <v>7.42</v>
      </c>
      <c r="P167" s="19">
        <f>SUM(D167:O167)</f>
        <v>223.96999999999997</v>
      </c>
    </row>
    <row r="168" spans="1:16" x14ac:dyDescent="0.2">
      <c r="D168" s="123"/>
      <c r="E168" s="123"/>
      <c r="F168" s="123"/>
      <c r="G168" s="123"/>
      <c r="H168" s="123"/>
      <c r="I168" s="123"/>
      <c r="J168" s="123"/>
      <c r="K168" s="123"/>
      <c r="L168" s="123"/>
      <c r="M168" s="123"/>
      <c r="N168" s="123"/>
      <c r="O168" s="123"/>
      <c r="P168" s="123"/>
    </row>
    <row r="169" spans="1:16" x14ac:dyDescent="0.2">
      <c r="B169" s="82" t="s">
        <v>795</v>
      </c>
      <c r="D169" s="114">
        <v>25.34</v>
      </c>
      <c r="E169" s="114">
        <v>21.23</v>
      </c>
      <c r="F169" s="114">
        <v>23.88</v>
      </c>
      <c r="G169" s="114">
        <v>35.96</v>
      </c>
      <c r="H169" s="114">
        <v>16.46</v>
      </c>
      <c r="I169" s="114">
        <v>19.899999999999999</v>
      </c>
      <c r="J169" s="114">
        <v>6.3</v>
      </c>
      <c r="K169" s="114">
        <v>8.36</v>
      </c>
      <c r="L169" s="114">
        <v>7.4</v>
      </c>
      <c r="M169" s="114">
        <v>11.95</v>
      </c>
      <c r="N169" s="114">
        <v>8.16</v>
      </c>
      <c r="O169" s="114">
        <v>6.78</v>
      </c>
      <c r="P169" s="114">
        <f>SUM(D169:O169)</f>
        <v>191.72</v>
      </c>
    </row>
    <row r="170" spans="1:16" x14ac:dyDescent="0.2">
      <c r="B170" s="82" t="s">
        <v>131</v>
      </c>
      <c r="D170" s="114">
        <v>1.54</v>
      </c>
      <c r="E170" s="114">
        <v>1.27</v>
      </c>
      <c r="F170" s="114">
        <v>1.26</v>
      </c>
      <c r="G170" s="114">
        <v>1.1100000000000001</v>
      </c>
      <c r="H170" s="114">
        <v>4.33</v>
      </c>
      <c r="I170" s="114">
        <v>1.96</v>
      </c>
      <c r="J170" s="114">
        <v>1.49</v>
      </c>
      <c r="K170" s="114">
        <v>3.14</v>
      </c>
      <c r="L170" s="114">
        <v>8.59</v>
      </c>
      <c r="M170" s="114">
        <v>5.91</v>
      </c>
      <c r="N170" s="114">
        <v>1.01</v>
      </c>
      <c r="O170" s="114">
        <v>0.64</v>
      </c>
      <c r="P170" s="114">
        <f>SUM(D170:O170)</f>
        <v>32.25</v>
      </c>
    </row>
    <row r="171" spans="1:16" x14ac:dyDescent="0.2">
      <c r="D171" s="7"/>
      <c r="E171" s="7"/>
      <c r="F171" s="7"/>
      <c r="G171" s="7"/>
      <c r="H171" s="7"/>
      <c r="I171" s="7"/>
      <c r="J171" s="7"/>
      <c r="K171" s="7"/>
      <c r="L171" s="7"/>
      <c r="M171" s="7"/>
      <c r="N171" s="7"/>
      <c r="O171" s="7"/>
      <c r="P171" s="7"/>
    </row>
    <row r="172" spans="1:16" s="4" customFormat="1" ht="15" x14ac:dyDescent="0.25">
      <c r="A172" s="3" t="s">
        <v>140</v>
      </c>
      <c r="D172" s="19">
        <f t="shared" ref="D172:O172" si="25">SUM(D174:D193)</f>
        <v>13.410000000000002</v>
      </c>
      <c r="E172" s="19">
        <f t="shared" si="25"/>
        <v>11.600000000000001</v>
      </c>
      <c r="F172" s="19">
        <f t="shared" si="25"/>
        <v>10.109999999999998</v>
      </c>
      <c r="G172" s="19">
        <f t="shared" si="25"/>
        <v>12.59</v>
      </c>
      <c r="H172" s="19">
        <f t="shared" si="25"/>
        <v>8.6300000000000026</v>
      </c>
      <c r="I172" s="19">
        <f t="shared" si="25"/>
        <v>10.34</v>
      </c>
      <c r="J172" s="19">
        <f t="shared" si="25"/>
        <v>6.5</v>
      </c>
      <c r="K172" s="19">
        <f t="shared" si="25"/>
        <v>5.4499999999999993</v>
      </c>
      <c r="L172" s="19">
        <f t="shared" si="25"/>
        <v>6.7199999999999989</v>
      </c>
      <c r="M172" s="19">
        <f t="shared" si="25"/>
        <v>6.6099999999999994</v>
      </c>
      <c r="N172" s="19">
        <f t="shared" si="25"/>
        <v>5.36</v>
      </c>
      <c r="O172" s="19">
        <f t="shared" si="25"/>
        <v>3.9699999999999998</v>
      </c>
      <c r="P172" s="19">
        <f>SUM(D172:O172)</f>
        <v>101.29</v>
      </c>
    </row>
    <row r="173" spans="1:16" ht="15" x14ac:dyDescent="0.25">
      <c r="A173" s="1"/>
      <c r="D173" s="114"/>
      <c r="E173" s="114"/>
      <c r="F173" s="114"/>
      <c r="G173" s="114"/>
      <c r="H173" s="114"/>
      <c r="I173" s="114"/>
      <c r="J173" s="114"/>
      <c r="K173" s="114"/>
      <c r="L173" s="114"/>
      <c r="M173" s="114"/>
      <c r="N173" s="114"/>
      <c r="O173" s="114"/>
      <c r="P173" s="114"/>
    </row>
    <row r="174" spans="1:16" x14ac:dyDescent="0.2">
      <c r="B174" s="2" t="s">
        <v>142</v>
      </c>
      <c r="D174" s="114">
        <v>0</v>
      </c>
      <c r="E174" s="114">
        <v>0</v>
      </c>
      <c r="F174" s="114">
        <v>0.12</v>
      </c>
      <c r="G174" s="114">
        <v>0</v>
      </c>
      <c r="H174" s="114">
        <v>0.01</v>
      </c>
      <c r="I174" s="114">
        <v>0</v>
      </c>
      <c r="J174" s="114">
        <v>0</v>
      </c>
      <c r="K174" s="114">
        <v>0</v>
      </c>
      <c r="L174" s="114">
        <v>0</v>
      </c>
      <c r="M174" s="114">
        <v>0</v>
      </c>
      <c r="N174" s="114">
        <v>0</v>
      </c>
      <c r="O174" s="114">
        <v>0</v>
      </c>
      <c r="P174" s="114">
        <f t="shared" ref="P174:P193" si="26">SUM(D174:O174)</f>
        <v>0.13</v>
      </c>
    </row>
    <row r="175" spans="1:16" x14ac:dyDescent="0.2">
      <c r="B175" s="2" t="s">
        <v>141</v>
      </c>
      <c r="D175" s="114">
        <v>2.74</v>
      </c>
      <c r="E175" s="114">
        <v>4.4000000000000004</v>
      </c>
      <c r="F175" s="114">
        <v>2.5499999999999998</v>
      </c>
      <c r="G175" s="114">
        <v>3.69</v>
      </c>
      <c r="H175" s="114">
        <v>1.71</v>
      </c>
      <c r="I175" s="114">
        <v>1.67</v>
      </c>
      <c r="J175" s="114">
        <v>0.38</v>
      </c>
      <c r="K175" s="114">
        <v>0.4</v>
      </c>
      <c r="L175" s="114">
        <v>0.28999999999999998</v>
      </c>
      <c r="M175" s="114">
        <v>0.45</v>
      </c>
      <c r="N175" s="114">
        <v>0.28000000000000003</v>
      </c>
      <c r="O175" s="114">
        <v>0.46</v>
      </c>
      <c r="P175" s="114">
        <f t="shared" si="26"/>
        <v>19.019999999999996</v>
      </c>
    </row>
    <row r="176" spans="1:16" x14ac:dyDescent="0.2">
      <c r="B176" s="2" t="s">
        <v>143</v>
      </c>
      <c r="D176" s="114">
        <v>0.08</v>
      </c>
      <c r="E176" s="114">
        <v>0.08</v>
      </c>
      <c r="F176" s="114">
        <v>0.04</v>
      </c>
      <c r="G176" s="114">
        <v>0.19</v>
      </c>
      <c r="H176" s="114">
        <v>0.19</v>
      </c>
      <c r="I176" s="114">
        <v>0.43</v>
      </c>
      <c r="J176" s="114">
        <v>0.1</v>
      </c>
      <c r="K176" s="114">
        <v>0.08</v>
      </c>
      <c r="L176" s="114">
        <v>0.23</v>
      </c>
      <c r="M176" s="114">
        <v>0.13</v>
      </c>
      <c r="N176" s="114">
        <v>7.0000000000000007E-2</v>
      </c>
      <c r="O176" s="114">
        <v>0.06</v>
      </c>
      <c r="P176" s="114">
        <f t="shared" si="26"/>
        <v>1.6800000000000004</v>
      </c>
    </row>
    <row r="177" spans="2:16" x14ac:dyDescent="0.2">
      <c r="B177" s="2" t="s">
        <v>774</v>
      </c>
      <c r="D177" s="114">
        <v>1.04</v>
      </c>
      <c r="E177" s="114">
        <v>0.1</v>
      </c>
      <c r="F177" s="114">
        <v>0.04</v>
      </c>
      <c r="G177" s="114">
        <v>1.74</v>
      </c>
      <c r="H177" s="114">
        <v>0.08</v>
      </c>
      <c r="I177" s="114">
        <v>0.47</v>
      </c>
      <c r="J177" s="114">
        <v>0.03</v>
      </c>
      <c r="K177" s="114">
        <v>0.05</v>
      </c>
      <c r="L177" s="114">
        <v>0.02</v>
      </c>
      <c r="M177" s="114">
        <v>0.03</v>
      </c>
      <c r="N177" s="114">
        <v>0.08</v>
      </c>
      <c r="O177" s="114">
        <v>0.1</v>
      </c>
      <c r="P177" s="114">
        <f t="shared" si="26"/>
        <v>3.7799999999999994</v>
      </c>
    </row>
    <row r="178" spans="2:16" x14ac:dyDescent="0.2">
      <c r="B178" s="2" t="s">
        <v>145</v>
      </c>
      <c r="D178" s="114">
        <v>0.9</v>
      </c>
      <c r="E178" s="114">
        <v>1.1200000000000001</v>
      </c>
      <c r="F178" s="114">
        <v>0.86</v>
      </c>
      <c r="G178" s="114">
        <v>0.91</v>
      </c>
      <c r="H178" s="114">
        <v>1.03</v>
      </c>
      <c r="I178" s="114">
        <v>1.04</v>
      </c>
      <c r="J178" s="114">
        <v>0.92</v>
      </c>
      <c r="K178" s="114">
        <v>0.89</v>
      </c>
      <c r="L178" s="114">
        <v>1.43</v>
      </c>
      <c r="M178" s="114">
        <v>1.1100000000000001</v>
      </c>
      <c r="N178" s="114">
        <v>1.54</v>
      </c>
      <c r="O178" s="114">
        <v>0.57999999999999996</v>
      </c>
      <c r="P178" s="114">
        <f t="shared" si="26"/>
        <v>12.33</v>
      </c>
    </row>
    <row r="179" spans="2:16" x14ac:dyDescent="0.2">
      <c r="B179" s="2" t="s">
        <v>146</v>
      </c>
      <c r="D179" s="114">
        <v>1.1599999999999999</v>
      </c>
      <c r="E179" s="114">
        <v>1.81</v>
      </c>
      <c r="F179" s="114">
        <v>2.27</v>
      </c>
      <c r="G179" s="114">
        <v>1.69</v>
      </c>
      <c r="H179" s="114">
        <v>1.85</v>
      </c>
      <c r="I179" s="114">
        <v>2.62</v>
      </c>
      <c r="J179" s="114">
        <v>3.54</v>
      </c>
      <c r="K179" s="114">
        <v>2.2999999999999998</v>
      </c>
      <c r="L179" s="114">
        <v>2.4</v>
      </c>
      <c r="M179" s="114">
        <v>1.97</v>
      </c>
      <c r="N179" s="114">
        <v>1.81</v>
      </c>
      <c r="O179" s="114">
        <v>1.38</v>
      </c>
      <c r="P179" s="114">
        <f t="shared" si="26"/>
        <v>24.799999999999994</v>
      </c>
    </row>
    <row r="180" spans="2:16" x14ac:dyDescent="0.2">
      <c r="B180" s="2" t="s">
        <v>147</v>
      </c>
      <c r="D180" s="114">
        <v>0.01</v>
      </c>
      <c r="E180" s="114">
        <v>0</v>
      </c>
      <c r="F180" s="114">
        <v>0</v>
      </c>
      <c r="G180" s="114">
        <v>0</v>
      </c>
      <c r="H180" s="114">
        <v>0.02</v>
      </c>
      <c r="I180" s="114">
        <v>0.01</v>
      </c>
      <c r="J180" s="114">
        <v>0</v>
      </c>
      <c r="K180" s="114">
        <v>0</v>
      </c>
      <c r="L180" s="114">
        <v>0.01</v>
      </c>
      <c r="M180" s="114">
        <v>0.05</v>
      </c>
      <c r="N180" s="114">
        <v>0</v>
      </c>
      <c r="O180" s="114">
        <v>0</v>
      </c>
      <c r="P180" s="114">
        <f t="shared" si="26"/>
        <v>0.1</v>
      </c>
    </row>
    <row r="181" spans="2:16" x14ac:dyDescent="0.2">
      <c r="B181" s="2" t="s">
        <v>518</v>
      </c>
      <c r="D181" s="114">
        <v>0</v>
      </c>
      <c r="E181" s="114">
        <v>0.03</v>
      </c>
      <c r="F181" s="114">
        <v>0</v>
      </c>
      <c r="G181" s="114">
        <v>0</v>
      </c>
      <c r="H181" s="114">
        <v>0</v>
      </c>
      <c r="I181" s="114">
        <v>0.02</v>
      </c>
      <c r="J181" s="114">
        <v>0</v>
      </c>
      <c r="K181" s="114">
        <v>0</v>
      </c>
      <c r="L181" s="114">
        <v>0</v>
      </c>
      <c r="M181" s="114">
        <v>0</v>
      </c>
      <c r="N181" s="114">
        <v>0</v>
      </c>
      <c r="O181" s="114">
        <v>0</v>
      </c>
      <c r="P181" s="114">
        <f t="shared" si="26"/>
        <v>0.05</v>
      </c>
    </row>
    <row r="182" spans="2:16" ht="28.5" x14ac:dyDescent="0.2">
      <c r="B182" s="125" t="s">
        <v>796</v>
      </c>
      <c r="D182" s="114">
        <v>0.13</v>
      </c>
      <c r="E182" s="114">
        <v>0.12</v>
      </c>
      <c r="F182" s="114">
        <v>7.0000000000000007E-2</v>
      </c>
      <c r="G182" s="114">
        <v>7.0000000000000007E-2</v>
      </c>
      <c r="H182" s="114">
        <v>0.11</v>
      </c>
      <c r="I182" s="114">
        <v>0.1</v>
      </c>
      <c r="J182" s="114">
        <v>0.08</v>
      </c>
      <c r="K182" s="114">
        <v>0.09</v>
      </c>
      <c r="L182" s="114">
        <v>0.13</v>
      </c>
      <c r="M182" s="114">
        <v>0.17</v>
      </c>
      <c r="N182" s="114">
        <v>0.23</v>
      </c>
      <c r="O182" s="114">
        <v>0.15</v>
      </c>
      <c r="P182" s="114">
        <f t="shared" si="26"/>
        <v>1.4499999999999997</v>
      </c>
    </row>
    <row r="183" spans="2:16" ht="28.5" x14ac:dyDescent="0.2">
      <c r="B183" s="125" t="s">
        <v>797</v>
      </c>
      <c r="D183" s="114">
        <v>0.15</v>
      </c>
      <c r="E183" s="114">
        <v>0.32</v>
      </c>
      <c r="F183" s="114">
        <v>0.3</v>
      </c>
      <c r="G183" s="114">
        <v>0.35</v>
      </c>
      <c r="H183" s="114">
        <v>7.0000000000000007E-2</v>
      </c>
      <c r="I183" s="114">
        <v>0.11</v>
      </c>
      <c r="J183" s="114">
        <v>0</v>
      </c>
      <c r="K183" s="114">
        <v>0</v>
      </c>
      <c r="L183" s="114">
        <v>0</v>
      </c>
      <c r="M183" s="114">
        <v>0</v>
      </c>
      <c r="N183" s="114">
        <v>0</v>
      </c>
      <c r="O183" s="114">
        <v>0</v>
      </c>
      <c r="P183" s="114">
        <f t="shared" si="26"/>
        <v>1.3000000000000003</v>
      </c>
    </row>
    <row r="184" spans="2:16" ht="28.5" x14ac:dyDescent="0.2">
      <c r="B184" s="125" t="s">
        <v>798</v>
      </c>
      <c r="D184" s="114">
        <v>0.05</v>
      </c>
      <c r="E184" s="114">
        <v>0.05</v>
      </c>
      <c r="F184" s="114">
        <v>0.43</v>
      </c>
      <c r="G184" s="114">
        <v>0.15</v>
      </c>
      <c r="H184" s="114">
        <v>7.0000000000000007E-2</v>
      </c>
      <c r="I184" s="114">
        <v>0</v>
      </c>
      <c r="J184" s="114">
        <v>0</v>
      </c>
      <c r="K184" s="114">
        <v>0</v>
      </c>
      <c r="L184" s="114">
        <v>0</v>
      </c>
      <c r="M184" s="114">
        <v>0.02</v>
      </c>
      <c r="N184" s="114">
        <v>0</v>
      </c>
      <c r="O184" s="114">
        <v>0.01</v>
      </c>
      <c r="P184" s="114">
        <f t="shared" si="26"/>
        <v>0.78</v>
      </c>
    </row>
    <row r="185" spans="2:16" ht="28.5" x14ac:dyDescent="0.2">
      <c r="B185" s="125" t="s">
        <v>799</v>
      </c>
      <c r="D185" s="114">
        <v>1.1599999999999999</v>
      </c>
      <c r="E185" s="114">
        <v>0</v>
      </c>
      <c r="F185" s="114">
        <v>0</v>
      </c>
      <c r="G185" s="114">
        <v>0.01</v>
      </c>
      <c r="H185" s="114">
        <v>0</v>
      </c>
      <c r="I185" s="114">
        <v>0</v>
      </c>
      <c r="J185" s="114">
        <v>0</v>
      </c>
      <c r="K185" s="114">
        <v>0</v>
      </c>
      <c r="L185" s="114">
        <v>0</v>
      </c>
      <c r="M185" s="114">
        <v>0.01</v>
      </c>
      <c r="N185" s="114">
        <v>0</v>
      </c>
      <c r="O185" s="114">
        <v>0</v>
      </c>
      <c r="P185" s="114">
        <f t="shared" si="26"/>
        <v>1.18</v>
      </c>
    </row>
    <row r="186" spans="2:16" x14ac:dyDescent="0.2">
      <c r="B186" s="2" t="s">
        <v>804</v>
      </c>
      <c r="D186" s="114">
        <v>0.06</v>
      </c>
      <c r="E186" s="114">
        <v>0.19</v>
      </c>
      <c r="F186" s="114">
        <v>0.56999999999999995</v>
      </c>
      <c r="G186" s="114">
        <v>0.12</v>
      </c>
      <c r="H186" s="114">
        <v>0</v>
      </c>
      <c r="I186" s="114">
        <v>0.01</v>
      </c>
      <c r="J186" s="114">
        <v>0.01</v>
      </c>
      <c r="K186" s="114">
        <v>0</v>
      </c>
      <c r="L186" s="114">
        <v>0</v>
      </c>
      <c r="M186" s="114">
        <v>1.1499999999999999</v>
      </c>
      <c r="N186" s="114">
        <v>0</v>
      </c>
      <c r="O186" s="114">
        <v>0</v>
      </c>
      <c r="P186" s="114">
        <f t="shared" si="26"/>
        <v>2.11</v>
      </c>
    </row>
    <row r="187" spans="2:16" x14ac:dyDescent="0.2">
      <c r="B187" s="2" t="s">
        <v>803</v>
      </c>
      <c r="D187" s="114">
        <v>0.12</v>
      </c>
      <c r="E187" s="114">
        <v>0.13</v>
      </c>
      <c r="F187" s="114">
        <v>0.05</v>
      </c>
      <c r="G187" s="114">
        <v>0.03</v>
      </c>
      <c r="H187" s="114">
        <v>0.03</v>
      </c>
      <c r="I187" s="114">
        <v>0.2</v>
      </c>
      <c r="J187" s="114">
        <v>0.03</v>
      </c>
      <c r="K187" s="114">
        <v>0.03</v>
      </c>
      <c r="L187" s="114">
        <v>0.04</v>
      </c>
      <c r="M187" s="114">
        <v>0.03</v>
      </c>
      <c r="N187" s="114">
        <v>0.03</v>
      </c>
      <c r="O187" s="114">
        <v>0.04</v>
      </c>
      <c r="P187" s="114">
        <f t="shared" si="26"/>
        <v>0.76000000000000023</v>
      </c>
    </row>
    <row r="188" spans="2:16" x14ac:dyDescent="0.2">
      <c r="B188" s="2" t="s">
        <v>802</v>
      </c>
      <c r="D188" s="114">
        <v>1.54</v>
      </c>
      <c r="E188" s="114">
        <v>2.2200000000000002</v>
      </c>
      <c r="F188" s="114">
        <v>1.98</v>
      </c>
      <c r="G188" s="114">
        <v>1.84</v>
      </c>
      <c r="H188" s="114">
        <v>1.27</v>
      </c>
      <c r="I188" s="114">
        <v>1.07</v>
      </c>
      <c r="J188" s="114">
        <v>1.1200000000000001</v>
      </c>
      <c r="K188" s="114">
        <v>1.02</v>
      </c>
      <c r="L188" s="114">
        <v>1.21</v>
      </c>
      <c r="M188" s="114">
        <v>0.97</v>
      </c>
      <c r="N188" s="114">
        <v>0.83</v>
      </c>
      <c r="O188" s="114">
        <v>0.66</v>
      </c>
      <c r="P188" s="114">
        <f t="shared" si="26"/>
        <v>15.73</v>
      </c>
    </row>
    <row r="189" spans="2:16" x14ac:dyDescent="0.2">
      <c r="B189" s="2" t="s">
        <v>800</v>
      </c>
      <c r="D189" s="123">
        <v>3.46</v>
      </c>
      <c r="E189" s="123">
        <v>0.36</v>
      </c>
      <c r="F189" s="123">
        <v>0.1</v>
      </c>
      <c r="G189" s="123">
        <v>0.09</v>
      </c>
      <c r="H189" s="123">
        <v>1.03</v>
      </c>
      <c r="I189" s="123">
        <v>1.46</v>
      </c>
      <c r="J189" s="114">
        <v>0.13</v>
      </c>
      <c r="K189" s="114">
        <v>0.44</v>
      </c>
      <c r="L189" s="114">
        <v>0.69</v>
      </c>
      <c r="M189" s="114">
        <v>0.39</v>
      </c>
      <c r="N189" s="114">
        <v>0.22</v>
      </c>
      <c r="O189" s="114">
        <v>0.37</v>
      </c>
      <c r="P189" s="114">
        <f t="shared" si="26"/>
        <v>8.74</v>
      </c>
    </row>
    <row r="190" spans="2:16" x14ac:dyDescent="0.2">
      <c r="B190" s="2" t="s">
        <v>801</v>
      </c>
      <c r="D190" s="114">
        <v>0.09</v>
      </c>
      <c r="E190" s="114">
        <v>0.14000000000000001</v>
      </c>
      <c r="F190" s="114">
        <v>0.17</v>
      </c>
      <c r="G190" s="114">
        <v>0.24</v>
      </c>
      <c r="H190" s="114">
        <v>0.17</v>
      </c>
      <c r="I190" s="114">
        <v>0.22</v>
      </c>
      <c r="J190" s="114">
        <v>0.13</v>
      </c>
      <c r="K190" s="114">
        <v>0.14000000000000001</v>
      </c>
      <c r="L190" s="114">
        <v>0.26</v>
      </c>
      <c r="M190" s="114">
        <v>0.13</v>
      </c>
      <c r="N190" s="114">
        <v>0.12</v>
      </c>
      <c r="O190" s="114">
        <v>0.09</v>
      </c>
      <c r="P190" s="114">
        <f t="shared" si="26"/>
        <v>1.9000000000000006</v>
      </c>
    </row>
    <row r="191" spans="2:16" x14ac:dyDescent="0.2">
      <c r="B191" s="2" t="s">
        <v>158</v>
      </c>
      <c r="D191" s="114">
        <v>0.01</v>
      </c>
      <c r="E191" s="114">
        <v>0.01</v>
      </c>
      <c r="F191" s="114">
        <v>0.01</v>
      </c>
      <c r="G191" s="114">
        <v>7.0000000000000007E-2</v>
      </c>
      <c r="H191" s="114">
        <v>0.01</v>
      </c>
      <c r="I191" s="114">
        <v>0.03</v>
      </c>
      <c r="J191" s="114">
        <v>0.01</v>
      </c>
      <c r="K191" s="114">
        <v>0.01</v>
      </c>
      <c r="L191" s="114">
        <v>0.01</v>
      </c>
      <c r="M191" s="114">
        <v>0</v>
      </c>
      <c r="N191" s="114">
        <v>0.02</v>
      </c>
      <c r="O191" s="114">
        <v>0</v>
      </c>
      <c r="P191" s="114">
        <f t="shared" si="26"/>
        <v>0.19000000000000003</v>
      </c>
    </row>
    <row r="192" spans="2:16" x14ac:dyDescent="0.2">
      <c r="B192" s="2" t="s">
        <v>152</v>
      </c>
      <c r="D192" s="123">
        <v>0.64</v>
      </c>
      <c r="E192" s="123">
        <v>0.52</v>
      </c>
      <c r="F192" s="123">
        <v>0.54</v>
      </c>
      <c r="G192" s="123">
        <v>1.1399999999999999</v>
      </c>
      <c r="H192" s="123">
        <v>0.92</v>
      </c>
      <c r="I192" s="123">
        <v>0.69</v>
      </c>
      <c r="J192" s="114">
        <v>0.02</v>
      </c>
      <c r="K192" s="114">
        <v>0</v>
      </c>
      <c r="L192" s="114">
        <v>0</v>
      </c>
      <c r="M192" s="114">
        <v>0</v>
      </c>
      <c r="N192" s="114">
        <v>0.13</v>
      </c>
      <c r="O192" s="114">
        <v>7.0000000000000007E-2</v>
      </c>
      <c r="P192" s="114">
        <f t="shared" si="26"/>
        <v>4.669999999999999</v>
      </c>
    </row>
    <row r="193" spans="1:16" x14ac:dyDescent="0.2">
      <c r="B193" s="2" t="s">
        <v>524</v>
      </c>
      <c r="D193" s="114">
        <v>7.0000000000000007E-2</v>
      </c>
      <c r="E193" s="114">
        <v>0</v>
      </c>
      <c r="F193" s="114">
        <v>0.01</v>
      </c>
      <c r="G193" s="114">
        <v>0.26</v>
      </c>
      <c r="H193" s="114">
        <v>0.06</v>
      </c>
      <c r="I193" s="114">
        <v>0.19</v>
      </c>
      <c r="J193" s="114">
        <v>0</v>
      </c>
      <c r="K193" s="114">
        <v>0</v>
      </c>
      <c r="L193" s="114">
        <v>0</v>
      </c>
      <c r="M193" s="114">
        <v>0</v>
      </c>
      <c r="N193" s="114">
        <v>0</v>
      </c>
      <c r="O193" s="114">
        <v>0</v>
      </c>
      <c r="P193" s="114">
        <f t="shared" si="26"/>
        <v>0.59000000000000008</v>
      </c>
    </row>
    <row r="194" spans="1:16" x14ac:dyDescent="0.2">
      <c r="D194" s="7"/>
      <c r="E194" s="7"/>
      <c r="F194" s="7"/>
      <c r="G194" s="7"/>
      <c r="H194" s="7"/>
      <c r="I194" s="7"/>
      <c r="J194" s="7"/>
      <c r="K194" s="7"/>
      <c r="L194" s="7"/>
      <c r="M194" s="7"/>
      <c r="N194" s="7"/>
      <c r="O194" s="7"/>
      <c r="P194" s="7"/>
    </row>
    <row r="195" spans="1:16" s="4" customFormat="1" ht="15" x14ac:dyDescent="0.25">
      <c r="A195" s="3" t="s">
        <v>159</v>
      </c>
      <c r="C195" s="3"/>
      <c r="D195" s="19">
        <f t="shared" ref="D195:O195" si="27">SUM(D197:D198)</f>
        <v>2.69</v>
      </c>
      <c r="E195" s="19">
        <f t="shared" si="27"/>
        <v>1.46</v>
      </c>
      <c r="F195" s="19">
        <f t="shared" si="27"/>
        <v>2.2999999999999998</v>
      </c>
      <c r="G195" s="19">
        <f t="shared" si="27"/>
        <v>2.42</v>
      </c>
      <c r="H195" s="19">
        <f t="shared" si="27"/>
        <v>1.85</v>
      </c>
      <c r="I195" s="19">
        <f t="shared" si="27"/>
        <v>1.75</v>
      </c>
      <c r="J195" s="19">
        <f t="shared" si="27"/>
        <v>0.8</v>
      </c>
      <c r="K195" s="19">
        <f t="shared" si="27"/>
        <v>0.87</v>
      </c>
      <c r="L195" s="19">
        <f t="shared" si="27"/>
        <v>0.89</v>
      </c>
      <c r="M195" s="19">
        <f t="shared" si="27"/>
        <v>1.08</v>
      </c>
      <c r="N195" s="19">
        <f t="shared" si="27"/>
        <v>0.78</v>
      </c>
      <c r="O195" s="19">
        <f t="shared" si="27"/>
        <v>1.05</v>
      </c>
      <c r="P195" s="19">
        <f>SUM(D195:O195)</f>
        <v>17.940000000000001</v>
      </c>
    </row>
    <row r="196" spans="1:16" x14ac:dyDescent="0.2">
      <c r="D196" s="114"/>
      <c r="E196" s="114"/>
      <c r="F196" s="114"/>
      <c r="G196" s="114"/>
      <c r="H196" s="114"/>
      <c r="I196" s="114"/>
      <c r="J196" s="114"/>
      <c r="K196" s="114"/>
      <c r="L196" s="114"/>
      <c r="M196" s="114"/>
      <c r="N196" s="114"/>
      <c r="O196" s="114"/>
      <c r="P196" s="114"/>
    </row>
    <row r="197" spans="1:16" x14ac:dyDescent="0.2">
      <c r="B197" s="2" t="s">
        <v>591</v>
      </c>
      <c r="D197" s="114">
        <v>0</v>
      </c>
      <c r="E197" s="114">
        <v>0.01</v>
      </c>
      <c r="F197" s="114">
        <v>0</v>
      </c>
      <c r="G197" s="114">
        <v>0</v>
      </c>
      <c r="H197" s="114">
        <v>0</v>
      </c>
      <c r="I197" s="114">
        <v>0</v>
      </c>
      <c r="J197" s="114">
        <v>0</v>
      </c>
      <c r="K197" s="114">
        <v>0</v>
      </c>
      <c r="L197" s="114">
        <v>0</v>
      </c>
      <c r="M197" s="114">
        <v>0</v>
      </c>
      <c r="N197" s="114">
        <v>0</v>
      </c>
      <c r="O197" s="114">
        <v>0</v>
      </c>
      <c r="P197" s="114">
        <f>SUM(D197:O197)</f>
        <v>0.01</v>
      </c>
    </row>
    <row r="198" spans="1:16" x14ac:dyDescent="0.2">
      <c r="B198" s="2" t="s">
        <v>363</v>
      </c>
      <c r="D198" s="114">
        <v>2.69</v>
      </c>
      <c r="E198" s="114">
        <v>1.45</v>
      </c>
      <c r="F198" s="114">
        <v>2.2999999999999998</v>
      </c>
      <c r="G198" s="114">
        <v>2.42</v>
      </c>
      <c r="H198" s="114">
        <v>1.85</v>
      </c>
      <c r="I198" s="114">
        <v>1.75</v>
      </c>
      <c r="J198" s="114">
        <v>0.8</v>
      </c>
      <c r="K198" s="114">
        <v>0.87</v>
      </c>
      <c r="L198" s="114">
        <v>0.89</v>
      </c>
      <c r="M198" s="114">
        <v>1.08</v>
      </c>
      <c r="N198" s="114">
        <v>0.78</v>
      </c>
      <c r="O198" s="114">
        <v>1.05</v>
      </c>
      <c r="P198" s="114">
        <f>SUM(D198:O198)</f>
        <v>17.930000000000003</v>
      </c>
    </row>
    <row r="199" spans="1:16" x14ac:dyDescent="0.2">
      <c r="D199" s="7"/>
      <c r="E199" s="7"/>
      <c r="F199" s="7"/>
      <c r="G199" s="7"/>
      <c r="H199" s="7"/>
      <c r="I199" s="7"/>
      <c r="J199" s="7"/>
      <c r="K199" s="7"/>
      <c r="L199" s="7"/>
      <c r="M199" s="7"/>
      <c r="N199" s="7"/>
      <c r="O199" s="7"/>
      <c r="P199" s="7"/>
    </row>
    <row r="200" spans="1:16" s="4" customFormat="1" ht="15" x14ac:dyDescent="0.25">
      <c r="A200" s="3" t="s">
        <v>161</v>
      </c>
      <c r="D200" s="19">
        <f t="shared" ref="D200:O200" si="28">SUM(D202:D204)</f>
        <v>2.66</v>
      </c>
      <c r="E200" s="19">
        <f t="shared" si="28"/>
        <v>2.78</v>
      </c>
      <c r="F200" s="19">
        <f t="shared" si="28"/>
        <v>2.35</v>
      </c>
      <c r="G200" s="19">
        <f t="shared" si="28"/>
        <v>2.73</v>
      </c>
      <c r="H200" s="19">
        <f t="shared" si="28"/>
        <v>3.79</v>
      </c>
      <c r="I200" s="19">
        <f t="shared" si="28"/>
        <v>2.23</v>
      </c>
      <c r="J200" s="19">
        <f t="shared" si="28"/>
        <v>4.46</v>
      </c>
      <c r="K200" s="19">
        <f t="shared" si="28"/>
        <v>2.2999999999999998</v>
      </c>
      <c r="L200" s="19">
        <f t="shared" si="28"/>
        <v>1.9</v>
      </c>
      <c r="M200" s="19">
        <f t="shared" si="28"/>
        <v>1.7000000000000002</v>
      </c>
      <c r="N200" s="19">
        <f t="shared" si="28"/>
        <v>1.75</v>
      </c>
      <c r="O200" s="19">
        <f t="shared" si="28"/>
        <v>1.8699999999999999</v>
      </c>
      <c r="P200" s="19">
        <f>SUM(D200:O200)</f>
        <v>30.52</v>
      </c>
    </row>
    <row r="201" spans="1:16" x14ac:dyDescent="0.2">
      <c r="D201" s="114"/>
      <c r="E201" s="114"/>
      <c r="F201" s="114"/>
      <c r="G201" s="114"/>
      <c r="H201" s="114"/>
      <c r="I201" s="114"/>
      <c r="J201" s="114"/>
      <c r="K201" s="114"/>
      <c r="L201" s="114"/>
      <c r="M201" s="114"/>
      <c r="N201" s="114"/>
      <c r="O201" s="114"/>
      <c r="P201" s="114"/>
    </row>
    <row r="202" spans="1:16" x14ac:dyDescent="0.2">
      <c r="B202" s="2" t="s">
        <v>163</v>
      </c>
      <c r="D202" s="114">
        <v>0</v>
      </c>
      <c r="E202" s="114">
        <v>0.05</v>
      </c>
      <c r="F202" s="114">
        <v>0</v>
      </c>
      <c r="G202" s="114">
        <v>0</v>
      </c>
      <c r="H202" s="114">
        <v>0</v>
      </c>
      <c r="I202" s="114">
        <v>0.05</v>
      </c>
      <c r="J202" s="114">
        <v>0</v>
      </c>
      <c r="K202" s="114">
        <v>0.03</v>
      </c>
      <c r="L202" s="114">
        <v>0</v>
      </c>
      <c r="M202" s="114">
        <v>0</v>
      </c>
      <c r="N202" s="114">
        <v>0</v>
      </c>
      <c r="O202" s="114">
        <v>0</v>
      </c>
      <c r="P202" s="114">
        <f>SUM(D202:O202)</f>
        <v>0.13</v>
      </c>
    </row>
    <row r="203" spans="1:16" x14ac:dyDescent="0.2">
      <c r="B203" s="2" t="s">
        <v>165</v>
      </c>
      <c r="D203" s="114">
        <v>2.52</v>
      </c>
      <c r="E203" s="114">
        <v>2.5299999999999998</v>
      </c>
      <c r="F203" s="114">
        <v>2.06</v>
      </c>
      <c r="G203" s="114">
        <v>2.5299999999999998</v>
      </c>
      <c r="H203" s="114">
        <v>3.61</v>
      </c>
      <c r="I203" s="114">
        <v>1.94</v>
      </c>
      <c r="J203" s="114">
        <v>4.16</v>
      </c>
      <c r="K203" s="114">
        <v>2.14</v>
      </c>
      <c r="L203" s="114">
        <v>1.69</v>
      </c>
      <c r="M203" s="114">
        <v>1.59</v>
      </c>
      <c r="N203" s="114">
        <v>1.58</v>
      </c>
      <c r="O203" s="114">
        <v>1.72</v>
      </c>
      <c r="P203" s="114">
        <f>SUM(D203:O203)</f>
        <v>28.07</v>
      </c>
    </row>
    <row r="204" spans="1:16" x14ac:dyDescent="0.2">
      <c r="B204" s="2" t="s">
        <v>805</v>
      </c>
      <c r="D204" s="114">
        <v>0.14000000000000001</v>
      </c>
      <c r="E204" s="114">
        <v>0.2</v>
      </c>
      <c r="F204" s="114">
        <v>0.28999999999999998</v>
      </c>
      <c r="G204" s="114">
        <v>0.2</v>
      </c>
      <c r="H204" s="114">
        <v>0.18</v>
      </c>
      <c r="I204" s="114">
        <v>0.24</v>
      </c>
      <c r="J204" s="114">
        <v>0.3</v>
      </c>
      <c r="K204" s="114">
        <v>0.13</v>
      </c>
      <c r="L204" s="114">
        <v>0.21</v>
      </c>
      <c r="M204" s="114">
        <v>0.11</v>
      </c>
      <c r="N204" s="114">
        <v>0.17</v>
      </c>
      <c r="O204" s="114">
        <v>0.15</v>
      </c>
      <c r="P204" s="114">
        <f>SUM(D204:O204)</f>
        <v>2.3199999999999998</v>
      </c>
    </row>
    <row r="205" spans="1:16" x14ac:dyDescent="0.2">
      <c r="D205" s="7"/>
      <c r="E205" s="7"/>
      <c r="F205" s="7"/>
      <c r="G205" s="7"/>
      <c r="H205" s="7"/>
      <c r="I205" s="7"/>
      <c r="J205" s="7"/>
      <c r="K205" s="7"/>
      <c r="L205" s="7"/>
      <c r="M205" s="7"/>
      <c r="N205" s="7"/>
      <c r="O205" s="7"/>
      <c r="P205" s="7"/>
    </row>
    <row r="206" spans="1:16" s="4" customFormat="1" ht="15" x14ac:dyDescent="0.25">
      <c r="A206" s="3" t="s">
        <v>166</v>
      </c>
      <c r="D206" s="19">
        <f t="shared" ref="D206:O206" si="29">SUM(D208:D214)</f>
        <v>22.210000000000004</v>
      </c>
      <c r="E206" s="19">
        <f t="shared" si="29"/>
        <v>21.32</v>
      </c>
      <c r="F206" s="19">
        <f t="shared" si="29"/>
        <v>22.990000000000006</v>
      </c>
      <c r="G206" s="19">
        <f t="shared" si="29"/>
        <v>19.8</v>
      </c>
      <c r="H206" s="19">
        <f t="shared" si="29"/>
        <v>17.260000000000005</v>
      </c>
      <c r="I206" s="19">
        <f t="shared" si="29"/>
        <v>21.08</v>
      </c>
      <c r="J206" s="19">
        <f t="shared" si="29"/>
        <v>18.780000000000005</v>
      </c>
      <c r="K206" s="19">
        <f t="shared" si="29"/>
        <v>15.430000000000001</v>
      </c>
      <c r="L206" s="19">
        <f t="shared" si="29"/>
        <v>17.470000000000002</v>
      </c>
      <c r="M206" s="19">
        <f t="shared" si="29"/>
        <v>14.76</v>
      </c>
      <c r="N206" s="19">
        <f t="shared" si="29"/>
        <v>16.630000000000003</v>
      </c>
      <c r="O206" s="19">
        <f t="shared" si="29"/>
        <v>11.78</v>
      </c>
      <c r="P206" s="19">
        <f>SUM(D206:O206)</f>
        <v>219.51000000000002</v>
      </c>
    </row>
    <row r="207" spans="1:16" x14ac:dyDescent="0.2">
      <c r="D207" s="114"/>
      <c r="E207" s="114"/>
      <c r="F207" s="114"/>
      <c r="G207" s="114"/>
      <c r="H207" s="114"/>
      <c r="I207" s="114"/>
      <c r="J207" s="114"/>
      <c r="K207" s="114"/>
      <c r="L207" s="114"/>
      <c r="M207" s="114"/>
      <c r="N207" s="114"/>
      <c r="O207" s="114"/>
      <c r="P207" s="114"/>
    </row>
    <row r="208" spans="1:16" x14ac:dyDescent="0.2">
      <c r="B208" s="2" t="s">
        <v>368</v>
      </c>
      <c r="D208" s="114">
        <v>1.95</v>
      </c>
      <c r="E208" s="114">
        <v>2.5499999999999998</v>
      </c>
      <c r="F208" s="114">
        <v>2.91</v>
      </c>
      <c r="G208" s="114">
        <v>5.2</v>
      </c>
      <c r="H208" s="114">
        <v>2.38</v>
      </c>
      <c r="I208" s="114">
        <v>2.2000000000000002</v>
      </c>
      <c r="J208" s="114">
        <v>2.08</v>
      </c>
      <c r="K208" s="114">
        <v>1.83</v>
      </c>
      <c r="L208" s="114">
        <v>1.83</v>
      </c>
      <c r="M208" s="114">
        <v>2.21</v>
      </c>
      <c r="N208" s="114">
        <v>2.0299999999999998</v>
      </c>
      <c r="O208" s="114">
        <v>2.0299999999999998</v>
      </c>
      <c r="P208" s="114">
        <f t="shared" ref="P208:P214" si="30">SUM(D208:O208)</f>
        <v>29.199999999999996</v>
      </c>
    </row>
    <row r="209" spans="1:16" x14ac:dyDescent="0.2">
      <c r="B209" s="2" t="s">
        <v>369</v>
      </c>
      <c r="D209" s="123">
        <v>0.16</v>
      </c>
      <c r="E209" s="123">
        <v>0.16</v>
      </c>
      <c r="F209" s="123">
        <v>0.1</v>
      </c>
      <c r="G209" s="123">
        <v>0.06</v>
      </c>
      <c r="H209" s="123">
        <v>7.0000000000000007E-2</v>
      </c>
      <c r="I209" s="123">
        <v>0.05</v>
      </c>
      <c r="J209" s="114">
        <v>0.09</v>
      </c>
      <c r="K209" s="114">
        <v>0.06</v>
      </c>
      <c r="L209" s="114">
        <v>0.06</v>
      </c>
      <c r="M209" s="114">
        <v>0.04</v>
      </c>
      <c r="N209" s="114">
        <v>0.04</v>
      </c>
      <c r="O209" s="114">
        <v>0.03</v>
      </c>
      <c r="P209" s="114">
        <f t="shared" si="30"/>
        <v>0.92000000000000015</v>
      </c>
    </row>
    <row r="210" spans="1:16" x14ac:dyDescent="0.2">
      <c r="B210" s="2" t="s">
        <v>370</v>
      </c>
      <c r="D210" s="114">
        <v>0.27</v>
      </c>
      <c r="E210" s="114">
        <v>0</v>
      </c>
      <c r="F210" s="114">
        <v>0</v>
      </c>
      <c r="G210" s="114">
        <v>0</v>
      </c>
      <c r="H210" s="114">
        <v>0</v>
      </c>
      <c r="I210" s="114">
        <v>0</v>
      </c>
      <c r="J210" s="114">
        <v>0</v>
      </c>
      <c r="K210" s="114">
        <v>0</v>
      </c>
      <c r="L210" s="114">
        <v>0</v>
      </c>
      <c r="M210" s="114">
        <v>0</v>
      </c>
      <c r="N210" s="114">
        <v>0</v>
      </c>
      <c r="O210" s="114">
        <v>0</v>
      </c>
      <c r="P210" s="114">
        <f t="shared" si="30"/>
        <v>0.27</v>
      </c>
    </row>
    <row r="211" spans="1:16" x14ac:dyDescent="0.2">
      <c r="B211" s="2" t="s">
        <v>367</v>
      </c>
      <c r="D211" s="114">
        <v>18.87</v>
      </c>
      <c r="E211" s="114">
        <v>17.46</v>
      </c>
      <c r="F211" s="114">
        <v>17.04</v>
      </c>
      <c r="G211" s="114">
        <v>14.09</v>
      </c>
      <c r="H211" s="114">
        <v>13.63</v>
      </c>
      <c r="I211" s="114">
        <v>16</v>
      </c>
      <c r="J211" s="114">
        <v>14.68</v>
      </c>
      <c r="K211" s="114">
        <v>12.98</v>
      </c>
      <c r="L211" s="114">
        <v>13.43</v>
      </c>
      <c r="M211" s="114">
        <v>11.81</v>
      </c>
      <c r="N211" s="114">
        <v>12.39</v>
      </c>
      <c r="O211" s="114">
        <v>8.44</v>
      </c>
      <c r="P211" s="114">
        <f t="shared" si="30"/>
        <v>170.82</v>
      </c>
    </row>
    <row r="212" spans="1:16" x14ac:dyDescent="0.2">
      <c r="B212" s="2" t="s">
        <v>596</v>
      </c>
      <c r="D212" s="114">
        <v>0.01</v>
      </c>
      <c r="E212" s="114">
        <v>0</v>
      </c>
      <c r="F212" s="114">
        <v>0.01</v>
      </c>
      <c r="G212" s="114">
        <v>0</v>
      </c>
      <c r="H212" s="114">
        <v>0.01</v>
      </c>
      <c r="I212" s="114">
        <v>0.02</v>
      </c>
      <c r="J212" s="114">
        <v>0</v>
      </c>
      <c r="K212" s="114">
        <v>0.01</v>
      </c>
      <c r="L212" s="114">
        <v>0</v>
      </c>
      <c r="M212" s="114">
        <v>0</v>
      </c>
      <c r="N212" s="114">
        <v>0</v>
      </c>
      <c r="O212" s="114">
        <v>0.01</v>
      </c>
      <c r="P212" s="114">
        <f t="shared" si="30"/>
        <v>7.0000000000000007E-2</v>
      </c>
    </row>
    <row r="213" spans="1:16" x14ac:dyDescent="0.2">
      <c r="B213" s="2" t="s">
        <v>372</v>
      </c>
      <c r="D213" s="114">
        <v>0.92</v>
      </c>
      <c r="E213" s="114">
        <v>1.1299999999999999</v>
      </c>
      <c r="F213" s="114">
        <v>2.92</v>
      </c>
      <c r="G213" s="114">
        <v>0.45</v>
      </c>
      <c r="H213" s="114">
        <v>1.1000000000000001</v>
      </c>
      <c r="I213" s="114">
        <v>2.79</v>
      </c>
      <c r="J213" s="114">
        <v>1.92</v>
      </c>
      <c r="K213" s="114">
        <v>0.54</v>
      </c>
      <c r="L213" s="114">
        <v>1.92</v>
      </c>
      <c r="M213" s="114">
        <v>0.69</v>
      </c>
      <c r="N213" s="114">
        <v>2.14</v>
      </c>
      <c r="O213" s="114">
        <v>1.25</v>
      </c>
      <c r="P213" s="114">
        <f t="shared" si="30"/>
        <v>17.77</v>
      </c>
    </row>
    <row r="214" spans="1:16" x14ac:dyDescent="0.2">
      <c r="B214" s="2" t="s">
        <v>806</v>
      </c>
      <c r="D214" s="114">
        <v>0.03</v>
      </c>
      <c r="E214" s="114">
        <v>0.02</v>
      </c>
      <c r="F214" s="114">
        <v>0.01</v>
      </c>
      <c r="G214" s="114">
        <v>0</v>
      </c>
      <c r="H214" s="114">
        <v>7.0000000000000007E-2</v>
      </c>
      <c r="I214" s="114">
        <v>0.02</v>
      </c>
      <c r="J214" s="114">
        <v>0.01</v>
      </c>
      <c r="K214" s="114">
        <v>0.01</v>
      </c>
      <c r="L214" s="114">
        <v>0.23</v>
      </c>
      <c r="M214" s="114">
        <v>0.01</v>
      </c>
      <c r="N214" s="114">
        <v>0.03</v>
      </c>
      <c r="O214" s="114">
        <v>0.02</v>
      </c>
      <c r="P214" s="114">
        <f t="shared" si="30"/>
        <v>0.46000000000000008</v>
      </c>
    </row>
    <row r="215" spans="1:16" x14ac:dyDescent="0.2">
      <c r="D215" s="7"/>
      <c r="E215" s="7"/>
      <c r="F215" s="7"/>
      <c r="G215" s="7"/>
      <c r="H215" s="7"/>
      <c r="I215" s="7"/>
      <c r="J215" s="7"/>
      <c r="K215" s="7"/>
      <c r="L215" s="7"/>
      <c r="M215" s="7"/>
      <c r="N215" s="7"/>
      <c r="O215" s="7"/>
      <c r="P215" s="7"/>
    </row>
    <row r="216" spans="1:16" s="4" customFormat="1" ht="15" x14ac:dyDescent="0.25">
      <c r="A216" s="3" t="s">
        <v>174</v>
      </c>
      <c r="C216" s="3"/>
      <c r="D216" s="19">
        <f t="shared" ref="D216:O216" si="31">SUM(D218:D225)</f>
        <v>417.17</v>
      </c>
      <c r="E216" s="19">
        <f t="shared" si="31"/>
        <v>434.28</v>
      </c>
      <c r="F216" s="19">
        <f t="shared" si="31"/>
        <v>453.8</v>
      </c>
      <c r="G216" s="19">
        <f t="shared" si="31"/>
        <v>515.25</v>
      </c>
      <c r="H216" s="19">
        <f t="shared" si="31"/>
        <v>452.32</v>
      </c>
      <c r="I216" s="19">
        <f t="shared" si="31"/>
        <v>344.62999999999994</v>
      </c>
      <c r="J216" s="19">
        <f t="shared" si="31"/>
        <v>537.86999999999989</v>
      </c>
      <c r="K216" s="19">
        <f t="shared" si="31"/>
        <v>410.95000000000005</v>
      </c>
      <c r="L216" s="19">
        <f t="shared" si="31"/>
        <v>561.19000000000005</v>
      </c>
      <c r="M216" s="19">
        <f t="shared" si="31"/>
        <v>329.63000000000005</v>
      </c>
      <c r="N216" s="19">
        <f t="shared" si="31"/>
        <v>359.99</v>
      </c>
      <c r="O216" s="19">
        <f t="shared" si="31"/>
        <v>308.65000000000003</v>
      </c>
      <c r="P216" s="19">
        <f>SUM(D216:O216)</f>
        <v>5125.7300000000005</v>
      </c>
    </row>
    <row r="217" spans="1:16" x14ac:dyDescent="0.2">
      <c r="D217" s="114"/>
      <c r="E217" s="114"/>
      <c r="F217" s="114"/>
      <c r="G217" s="114"/>
      <c r="H217" s="114"/>
      <c r="I217" s="114"/>
      <c r="J217" s="114"/>
      <c r="K217" s="114"/>
      <c r="L217" s="114"/>
      <c r="M217" s="114"/>
      <c r="N217" s="114"/>
      <c r="O217" s="114"/>
      <c r="P217" s="114"/>
    </row>
    <row r="218" spans="1:16" x14ac:dyDescent="0.2">
      <c r="B218" s="2" t="s">
        <v>377</v>
      </c>
      <c r="D218" s="114">
        <v>159.79</v>
      </c>
      <c r="E218" s="114">
        <v>189.71</v>
      </c>
      <c r="F218" s="114">
        <v>191.36</v>
      </c>
      <c r="G218" s="114">
        <v>247.03</v>
      </c>
      <c r="H218" s="114">
        <v>160.62</v>
      </c>
      <c r="I218" s="114">
        <v>39.58</v>
      </c>
      <c r="J218" s="114">
        <v>255.77</v>
      </c>
      <c r="K218" s="114">
        <v>122.57</v>
      </c>
      <c r="L218" s="114">
        <v>271.49</v>
      </c>
      <c r="M218" s="114">
        <v>49.25</v>
      </c>
      <c r="N218" s="114">
        <v>167.04</v>
      </c>
      <c r="O218" s="114">
        <v>112.8</v>
      </c>
      <c r="P218" s="114">
        <f t="shared" ref="P218:P225" si="32">SUM(D218:O218)</f>
        <v>1967.01</v>
      </c>
    </row>
    <row r="219" spans="1:16" x14ac:dyDescent="0.2">
      <c r="B219" s="2" t="s">
        <v>602</v>
      </c>
      <c r="D219" s="114">
        <v>0</v>
      </c>
      <c r="E219" s="114">
        <v>0</v>
      </c>
      <c r="F219" s="114">
        <v>0</v>
      </c>
      <c r="G219" s="114">
        <v>0</v>
      </c>
      <c r="H219" s="114">
        <v>0</v>
      </c>
      <c r="I219" s="114">
        <v>0</v>
      </c>
      <c r="J219" s="114">
        <v>1.5</v>
      </c>
      <c r="K219" s="114">
        <v>0.91</v>
      </c>
      <c r="L219" s="114">
        <v>1.75</v>
      </c>
      <c r="M219" s="114">
        <v>0.96</v>
      </c>
      <c r="N219" s="114">
        <v>1.47</v>
      </c>
      <c r="O219" s="114">
        <v>1.19</v>
      </c>
      <c r="P219" s="114">
        <f t="shared" si="32"/>
        <v>7.7799999999999994</v>
      </c>
    </row>
    <row r="220" spans="1:16" x14ac:dyDescent="0.2">
      <c r="B220" s="2" t="s">
        <v>374</v>
      </c>
      <c r="D220" s="114">
        <v>6.66</v>
      </c>
      <c r="E220" s="114">
        <v>5.66</v>
      </c>
      <c r="F220" s="114">
        <v>5.44</v>
      </c>
      <c r="G220" s="114">
        <v>5.77</v>
      </c>
      <c r="H220" s="114">
        <v>6.29</v>
      </c>
      <c r="I220" s="114">
        <v>6.36</v>
      </c>
      <c r="J220" s="114">
        <v>7.41</v>
      </c>
      <c r="K220" s="114">
        <v>6.87</v>
      </c>
      <c r="L220" s="114">
        <v>5.75</v>
      </c>
      <c r="M220" s="114">
        <v>10.52</v>
      </c>
      <c r="N220" s="114">
        <v>6.41</v>
      </c>
      <c r="O220" s="114">
        <v>3.5</v>
      </c>
      <c r="P220" s="114">
        <f t="shared" si="32"/>
        <v>76.64</v>
      </c>
    </row>
    <row r="221" spans="1:16" x14ac:dyDescent="0.2">
      <c r="B221" s="2" t="s">
        <v>807</v>
      </c>
      <c r="D221" s="114">
        <v>35.43</v>
      </c>
      <c r="E221" s="114">
        <v>35.69</v>
      </c>
      <c r="F221" s="114">
        <v>36.340000000000003</v>
      </c>
      <c r="G221" s="114">
        <v>36.47</v>
      </c>
      <c r="H221" s="114">
        <v>38.049999999999997</v>
      </c>
      <c r="I221" s="114">
        <v>38.840000000000003</v>
      </c>
      <c r="J221" s="114">
        <v>29.97</v>
      </c>
      <c r="K221" s="114">
        <v>34.79</v>
      </c>
      <c r="L221" s="114">
        <v>32.79</v>
      </c>
      <c r="M221" s="114">
        <v>28.76</v>
      </c>
      <c r="N221" s="114">
        <v>24.61</v>
      </c>
      <c r="O221" s="114">
        <v>21.31</v>
      </c>
      <c r="P221" s="114">
        <f t="shared" si="32"/>
        <v>393.05000000000007</v>
      </c>
    </row>
    <row r="222" spans="1:16" x14ac:dyDescent="0.2">
      <c r="B222" s="2" t="s">
        <v>808</v>
      </c>
      <c r="D222" s="114">
        <v>33.03</v>
      </c>
      <c r="E222" s="114">
        <v>32.630000000000003</v>
      </c>
      <c r="F222" s="114">
        <v>35.78</v>
      </c>
      <c r="G222" s="114">
        <v>34.08</v>
      </c>
      <c r="H222" s="114">
        <v>48.81</v>
      </c>
      <c r="I222" s="114">
        <v>49.93</v>
      </c>
      <c r="J222" s="114">
        <v>57.38</v>
      </c>
      <c r="K222" s="114">
        <v>48.2</v>
      </c>
      <c r="L222" s="114">
        <v>53.62</v>
      </c>
      <c r="M222" s="114">
        <v>57.63</v>
      </c>
      <c r="N222" s="114">
        <v>21.97</v>
      </c>
      <c r="O222" s="114">
        <v>29.4</v>
      </c>
      <c r="P222" s="114">
        <f t="shared" si="32"/>
        <v>502.45999999999992</v>
      </c>
    </row>
    <row r="223" spans="1:16" x14ac:dyDescent="0.2">
      <c r="B223" s="2" t="s">
        <v>376</v>
      </c>
      <c r="D223" s="114">
        <v>157.79</v>
      </c>
      <c r="E223" s="114">
        <v>154.47999999999999</v>
      </c>
      <c r="F223" s="114">
        <v>167.13</v>
      </c>
      <c r="G223" s="114">
        <v>172.01</v>
      </c>
      <c r="H223" s="114">
        <v>180.97</v>
      </c>
      <c r="I223" s="114">
        <v>190.82</v>
      </c>
      <c r="J223" s="114">
        <v>167.79</v>
      </c>
      <c r="K223" s="114">
        <v>179.4</v>
      </c>
      <c r="L223" s="114">
        <v>176.27</v>
      </c>
      <c r="M223" s="114">
        <v>160.33000000000001</v>
      </c>
      <c r="N223" s="114">
        <v>125.7</v>
      </c>
      <c r="O223" s="114">
        <v>127.04</v>
      </c>
      <c r="P223" s="114">
        <f t="shared" si="32"/>
        <v>1959.73</v>
      </c>
    </row>
    <row r="224" spans="1:16" x14ac:dyDescent="0.2">
      <c r="B224" s="2" t="s">
        <v>378</v>
      </c>
      <c r="D224" s="114">
        <v>24.3</v>
      </c>
      <c r="E224" s="114">
        <v>15.99</v>
      </c>
      <c r="F224" s="114">
        <v>17.579999999999998</v>
      </c>
      <c r="G224" s="114">
        <v>19.63</v>
      </c>
      <c r="H224" s="114">
        <v>17.39</v>
      </c>
      <c r="I224" s="114">
        <v>18.95</v>
      </c>
      <c r="J224" s="114">
        <v>17.899999999999999</v>
      </c>
      <c r="K224" s="114">
        <v>18.170000000000002</v>
      </c>
      <c r="L224" s="114">
        <v>19.52</v>
      </c>
      <c r="M224" s="114">
        <v>22.18</v>
      </c>
      <c r="N224" s="114">
        <v>12.79</v>
      </c>
      <c r="O224" s="114">
        <v>13.41</v>
      </c>
      <c r="P224" s="114">
        <f t="shared" si="32"/>
        <v>217.81000000000003</v>
      </c>
    </row>
    <row r="225" spans="1:17" x14ac:dyDescent="0.2">
      <c r="B225" s="2" t="s">
        <v>643</v>
      </c>
      <c r="D225" s="114">
        <v>0.17</v>
      </c>
      <c r="E225" s="114">
        <v>0.12</v>
      </c>
      <c r="F225" s="114">
        <v>0.17</v>
      </c>
      <c r="G225" s="114">
        <v>0.26</v>
      </c>
      <c r="H225" s="114">
        <v>0.19</v>
      </c>
      <c r="I225" s="114">
        <v>0.15</v>
      </c>
      <c r="J225" s="114">
        <v>0.15</v>
      </c>
      <c r="K225" s="114">
        <v>0.04</v>
      </c>
      <c r="L225" s="114">
        <v>0</v>
      </c>
      <c r="M225" s="114">
        <v>0</v>
      </c>
      <c r="N225" s="114">
        <v>0</v>
      </c>
      <c r="O225" s="114">
        <v>0</v>
      </c>
      <c r="P225" s="114">
        <f t="shared" si="32"/>
        <v>1.25</v>
      </c>
    </row>
    <row r="226" spans="1:17" x14ac:dyDescent="0.2">
      <c r="D226" s="7"/>
      <c r="E226" s="7"/>
      <c r="F226" s="7"/>
      <c r="G226" s="7"/>
      <c r="H226" s="7"/>
      <c r="I226" s="7"/>
      <c r="J226" s="7"/>
      <c r="K226" s="7"/>
      <c r="L226" s="7"/>
      <c r="M226" s="7"/>
      <c r="N226" s="7"/>
      <c r="O226" s="7"/>
      <c r="P226" s="7"/>
    </row>
    <row r="227" spans="1:17" s="4" customFormat="1" ht="15" x14ac:dyDescent="0.25">
      <c r="A227" s="3" t="s">
        <v>182</v>
      </c>
      <c r="D227" s="19">
        <f t="shared" ref="D227:O227" si="33">SUM(D229:D276)</f>
        <v>116.05000000000001</v>
      </c>
      <c r="E227" s="19">
        <f t="shared" si="33"/>
        <v>41.02</v>
      </c>
      <c r="F227" s="19">
        <f t="shared" si="33"/>
        <v>93.460000000000008</v>
      </c>
      <c r="G227" s="19">
        <f t="shared" si="33"/>
        <v>40.660000000000004</v>
      </c>
      <c r="H227" s="19">
        <f t="shared" si="33"/>
        <v>24.630000000000003</v>
      </c>
      <c r="I227" s="19">
        <f t="shared" si="33"/>
        <v>115.97</v>
      </c>
      <c r="J227" s="19">
        <f t="shared" si="33"/>
        <v>118.36</v>
      </c>
      <c r="K227" s="19">
        <f t="shared" si="33"/>
        <v>120.85000000000001</v>
      </c>
      <c r="L227" s="19">
        <f t="shared" si="33"/>
        <v>266.14</v>
      </c>
      <c r="M227" s="19">
        <f t="shared" si="33"/>
        <v>236.08</v>
      </c>
      <c r="N227" s="19">
        <f t="shared" si="33"/>
        <v>224.02000000000004</v>
      </c>
      <c r="O227" s="19">
        <f t="shared" si="33"/>
        <v>123.23</v>
      </c>
      <c r="P227" s="19">
        <f>SUM(D227:O227)</f>
        <v>1520.47</v>
      </c>
      <c r="Q227" s="13"/>
    </row>
    <row r="228" spans="1:17" x14ac:dyDescent="0.2">
      <c r="D228" s="114"/>
      <c r="E228" s="114"/>
      <c r="F228" s="114"/>
      <c r="G228" s="114"/>
      <c r="H228" s="114"/>
      <c r="I228" s="114"/>
      <c r="J228" s="114"/>
      <c r="K228" s="114"/>
      <c r="L228" s="114"/>
      <c r="M228" s="114"/>
      <c r="N228" s="114"/>
      <c r="O228" s="114"/>
      <c r="P228" s="114"/>
    </row>
    <row r="229" spans="1:17" x14ac:dyDescent="0.2">
      <c r="B229" s="2" t="s">
        <v>661</v>
      </c>
      <c r="D229" s="123">
        <v>0</v>
      </c>
      <c r="E229" s="123">
        <v>0</v>
      </c>
      <c r="F229" s="123">
        <v>0</v>
      </c>
      <c r="G229" s="123">
        <v>0</v>
      </c>
      <c r="H229" s="123">
        <v>0</v>
      </c>
      <c r="I229" s="123">
        <v>0.01</v>
      </c>
      <c r="J229" s="123">
        <v>0</v>
      </c>
      <c r="K229" s="114">
        <v>0</v>
      </c>
      <c r="L229" s="123">
        <v>0</v>
      </c>
      <c r="M229" s="123">
        <v>0</v>
      </c>
      <c r="N229" s="123">
        <v>0</v>
      </c>
      <c r="O229" s="123">
        <v>0</v>
      </c>
      <c r="P229" s="114">
        <f t="shared" ref="P229:P276" si="34">SUM(D229:O229)</f>
        <v>0.01</v>
      </c>
    </row>
    <row r="230" spans="1:17" x14ac:dyDescent="0.2">
      <c r="B230" s="2" t="s">
        <v>402</v>
      </c>
      <c r="D230" s="123">
        <v>0.01</v>
      </c>
      <c r="E230" s="123">
        <v>0.01</v>
      </c>
      <c r="F230" s="123">
        <v>0.01</v>
      </c>
      <c r="G230" s="123">
        <v>0</v>
      </c>
      <c r="H230" s="123">
        <v>0</v>
      </c>
      <c r="I230" s="123">
        <v>0</v>
      </c>
      <c r="J230" s="123">
        <v>0</v>
      </c>
      <c r="K230" s="114">
        <v>0</v>
      </c>
      <c r="L230" s="123">
        <v>0</v>
      </c>
      <c r="M230" s="123">
        <v>0</v>
      </c>
      <c r="N230" s="123">
        <v>0</v>
      </c>
      <c r="O230" s="123">
        <v>0</v>
      </c>
      <c r="P230" s="114">
        <f t="shared" si="34"/>
        <v>0.03</v>
      </c>
    </row>
    <row r="231" spans="1:17" x14ac:dyDescent="0.2">
      <c r="B231" s="2" t="s">
        <v>382</v>
      </c>
      <c r="D231" s="123">
        <v>0</v>
      </c>
      <c r="E231" s="123">
        <v>0</v>
      </c>
      <c r="F231" s="123">
        <v>0</v>
      </c>
      <c r="G231" s="123">
        <v>0</v>
      </c>
      <c r="H231" s="123">
        <v>0</v>
      </c>
      <c r="I231" s="123">
        <v>0</v>
      </c>
      <c r="J231" s="123">
        <v>0</v>
      </c>
      <c r="K231" s="114">
        <v>0</v>
      </c>
      <c r="L231" s="123">
        <v>0</v>
      </c>
      <c r="M231" s="123">
        <v>0</v>
      </c>
      <c r="N231" s="123">
        <v>0</v>
      </c>
      <c r="O231" s="123">
        <v>0.03</v>
      </c>
      <c r="P231" s="114">
        <f t="shared" si="34"/>
        <v>0.03</v>
      </c>
    </row>
    <row r="232" spans="1:17" x14ac:dyDescent="0.2">
      <c r="B232" s="2" t="s">
        <v>383</v>
      </c>
      <c r="D232" s="123">
        <v>50.67</v>
      </c>
      <c r="E232" s="123">
        <v>3.4</v>
      </c>
      <c r="F232" s="123">
        <v>4.42</v>
      </c>
      <c r="G232" s="123">
        <v>15.64</v>
      </c>
      <c r="H232" s="123">
        <v>2.31</v>
      </c>
      <c r="I232" s="123">
        <v>1.1200000000000001</v>
      </c>
      <c r="J232" s="123">
        <v>0.84</v>
      </c>
      <c r="K232" s="114">
        <v>0.28000000000000003</v>
      </c>
      <c r="L232" s="123">
        <v>6.46</v>
      </c>
      <c r="M232" s="123">
        <v>108.42</v>
      </c>
      <c r="N232" s="123">
        <v>119.65</v>
      </c>
      <c r="O232" s="123">
        <v>27.52</v>
      </c>
      <c r="P232" s="114">
        <f t="shared" si="34"/>
        <v>340.73</v>
      </c>
    </row>
    <row r="233" spans="1:17" x14ac:dyDescent="0.2">
      <c r="B233" s="2" t="s">
        <v>385</v>
      </c>
      <c r="D233" s="123">
        <v>0</v>
      </c>
      <c r="E233" s="123">
        <v>0</v>
      </c>
      <c r="F233" s="123">
        <v>0</v>
      </c>
      <c r="G233" s="123">
        <v>0</v>
      </c>
      <c r="H233" s="123">
        <v>0.05</v>
      </c>
      <c r="I233" s="123">
        <v>0</v>
      </c>
      <c r="J233" s="123">
        <v>0</v>
      </c>
      <c r="K233" s="114">
        <v>0</v>
      </c>
      <c r="L233" s="123">
        <v>0</v>
      </c>
      <c r="M233" s="123">
        <v>0</v>
      </c>
      <c r="N233" s="123">
        <v>0.06</v>
      </c>
      <c r="O233" s="123">
        <v>0.01</v>
      </c>
      <c r="P233" s="114">
        <f t="shared" si="34"/>
        <v>0.12</v>
      </c>
    </row>
    <row r="234" spans="1:17" x14ac:dyDescent="0.2">
      <c r="B234" s="2" t="s">
        <v>811</v>
      </c>
      <c r="D234" s="123">
        <v>3.13</v>
      </c>
      <c r="E234" s="123">
        <v>1.69</v>
      </c>
      <c r="F234" s="123">
        <v>2.1</v>
      </c>
      <c r="G234" s="123">
        <v>1.31</v>
      </c>
      <c r="H234" s="123">
        <v>2.0699999999999998</v>
      </c>
      <c r="I234" s="123">
        <v>2.19</v>
      </c>
      <c r="J234" s="123">
        <v>2.94</v>
      </c>
      <c r="K234" s="114">
        <v>3.08</v>
      </c>
      <c r="L234" s="123">
        <v>2.04</v>
      </c>
      <c r="M234" s="123">
        <v>2.94</v>
      </c>
      <c r="N234" s="123">
        <v>2.23</v>
      </c>
      <c r="O234" s="123">
        <v>1.94</v>
      </c>
      <c r="P234" s="114">
        <f t="shared" si="34"/>
        <v>27.66</v>
      </c>
    </row>
    <row r="235" spans="1:17" x14ac:dyDescent="0.2">
      <c r="B235" s="2" t="s">
        <v>409</v>
      </c>
      <c r="D235" s="123">
        <v>0.02</v>
      </c>
      <c r="E235" s="123">
        <v>0.04</v>
      </c>
      <c r="F235" s="123">
        <v>0</v>
      </c>
      <c r="G235" s="123">
        <v>0</v>
      </c>
      <c r="H235" s="123">
        <v>0.01</v>
      </c>
      <c r="I235" s="123">
        <v>0</v>
      </c>
      <c r="J235" s="123">
        <v>0</v>
      </c>
      <c r="K235" s="114">
        <v>0</v>
      </c>
      <c r="L235" s="123">
        <v>0</v>
      </c>
      <c r="M235" s="123">
        <v>0</v>
      </c>
      <c r="N235" s="123">
        <v>0</v>
      </c>
      <c r="O235" s="123">
        <v>0</v>
      </c>
      <c r="P235" s="114">
        <f t="shared" si="34"/>
        <v>6.9999999999999993E-2</v>
      </c>
    </row>
    <row r="236" spans="1:17" x14ac:dyDescent="0.2">
      <c r="B236" s="2" t="s">
        <v>651</v>
      </c>
      <c r="D236" s="123">
        <v>0.16</v>
      </c>
      <c r="E236" s="123">
        <v>0</v>
      </c>
      <c r="F236" s="123">
        <v>0</v>
      </c>
      <c r="G236" s="123">
        <v>0.01</v>
      </c>
      <c r="H236" s="123">
        <v>0.04</v>
      </c>
      <c r="I236" s="123">
        <v>0</v>
      </c>
      <c r="J236" s="123">
        <v>0</v>
      </c>
      <c r="K236" s="114">
        <v>0</v>
      </c>
      <c r="L236" s="123">
        <v>0</v>
      </c>
      <c r="M236" s="123">
        <v>0</v>
      </c>
      <c r="N236" s="123">
        <v>0</v>
      </c>
      <c r="O236" s="123">
        <v>0</v>
      </c>
      <c r="P236" s="114">
        <f t="shared" si="34"/>
        <v>0.21000000000000002</v>
      </c>
    </row>
    <row r="237" spans="1:17" x14ac:dyDescent="0.2">
      <c r="B237" s="2" t="s">
        <v>403</v>
      </c>
      <c r="D237" s="123">
        <v>0.01</v>
      </c>
      <c r="E237" s="123">
        <v>0.01</v>
      </c>
      <c r="F237" s="123">
        <v>55.62</v>
      </c>
      <c r="G237" s="123">
        <v>0</v>
      </c>
      <c r="H237" s="123">
        <v>0.01</v>
      </c>
      <c r="I237" s="123">
        <v>0</v>
      </c>
      <c r="J237" s="123">
        <v>0</v>
      </c>
      <c r="K237" s="114">
        <v>0</v>
      </c>
      <c r="L237" s="123">
        <v>0</v>
      </c>
      <c r="M237" s="123">
        <v>0</v>
      </c>
      <c r="N237" s="123">
        <v>0</v>
      </c>
      <c r="O237" s="123">
        <v>0</v>
      </c>
      <c r="P237" s="114">
        <f t="shared" si="34"/>
        <v>55.65</v>
      </c>
    </row>
    <row r="238" spans="1:17" x14ac:dyDescent="0.2">
      <c r="B238" s="2" t="s">
        <v>650</v>
      </c>
      <c r="D238" s="123">
        <v>0.09</v>
      </c>
      <c r="E238" s="123">
        <v>0.01</v>
      </c>
      <c r="F238" s="123">
        <v>0.02</v>
      </c>
      <c r="G238" s="123">
        <v>0.03</v>
      </c>
      <c r="H238" s="123">
        <v>0.01</v>
      </c>
      <c r="I238" s="123">
        <v>0.5</v>
      </c>
      <c r="J238" s="123">
        <v>0</v>
      </c>
      <c r="K238" s="114">
        <v>0</v>
      </c>
      <c r="L238" s="123">
        <v>0</v>
      </c>
      <c r="M238" s="123">
        <v>0</v>
      </c>
      <c r="N238" s="123">
        <v>0</v>
      </c>
      <c r="O238" s="123">
        <v>0</v>
      </c>
      <c r="P238" s="114">
        <f t="shared" si="34"/>
        <v>0.66</v>
      </c>
    </row>
    <row r="239" spans="1:17" x14ac:dyDescent="0.2">
      <c r="B239" s="2" t="s">
        <v>653</v>
      </c>
      <c r="D239" s="123">
        <v>26.47</v>
      </c>
      <c r="E239" s="123">
        <v>14.92</v>
      </c>
      <c r="F239" s="123">
        <v>14.41</v>
      </c>
      <c r="G239" s="123">
        <v>6.75</v>
      </c>
      <c r="H239" s="123">
        <v>0.23</v>
      </c>
      <c r="I239" s="123">
        <v>26.75</v>
      </c>
      <c r="J239" s="123">
        <v>0</v>
      </c>
      <c r="K239" s="114">
        <v>0</v>
      </c>
      <c r="L239" s="123">
        <v>0</v>
      </c>
      <c r="M239" s="123">
        <v>0</v>
      </c>
      <c r="N239" s="123">
        <v>0</v>
      </c>
      <c r="O239" s="123">
        <v>0</v>
      </c>
      <c r="P239" s="114">
        <f t="shared" si="34"/>
        <v>89.53</v>
      </c>
    </row>
    <row r="240" spans="1:17" x14ac:dyDescent="0.2">
      <c r="B240" s="2" t="s">
        <v>662</v>
      </c>
      <c r="D240" s="123">
        <v>4.1900000000000004</v>
      </c>
      <c r="E240" s="123">
        <v>6.11</v>
      </c>
      <c r="F240" s="123">
        <v>3.51</v>
      </c>
      <c r="G240" s="123">
        <v>4.01</v>
      </c>
      <c r="H240" s="123">
        <v>5.39</v>
      </c>
      <c r="I240" s="123">
        <v>4.63</v>
      </c>
      <c r="J240" s="123">
        <v>0</v>
      </c>
      <c r="K240" s="114">
        <v>0</v>
      </c>
      <c r="L240" s="123">
        <v>0</v>
      </c>
      <c r="M240" s="123">
        <v>0</v>
      </c>
      <c r="N240" s="123">
        <v>0</v>
      </c>
      <c r="O240" s="123">
        <v>0</v>
      </c>
      <c r="P240" s="114">
        <f t="shared" si="34"/>
        <v>27.84</v>
      </c>
    </row>
    <row r="241" spans="2:16" x14ac:dyDescent="0.2">
      <c r="B241" s="2" t="s">
        <v>394</v>
      </c>
      <c r="D241" s="123">
        <v>7.0000000000000007E-2</v>
      </c>
      <c r="E241" s="123">
        <v>0.09</v>
      </c>
      <c r="F241" s="123">
        <v>0.1</v>
      </c>
      <c r="G241" s="123">
        <v>0.06</v>
      </c>
      <c r="H241" s="123">
        <v>0</v>
      </c>
      <c r="I241" s="123">
        <v>0</v>
      </c>
      <c r="J241" s="123">
        <v>0.03</v>
      </c>
      <c r="K241" s="114">
        <v>0.02</v>
      </c>
      <c r="L241" s="123">
        <v>0.02</v>
      </c>
      <c r="M241" s="123">
        <v>0.24</v>
      </c>
      <c r="N241" s="123">
        <v>0.02</v>
      </c>
      <c r="O241" s="123">
        <v>0.13</v>
      </c>
      <c r="P241" s="114">
        <f t="shared" si="34"/>
        <v>0.78</v>
      </c>
    </row>
    <row r="242" spans="2:16" x14ac:dyDescent="0.2">
      <c r="B242" s="2" t="s">
        <v>657</v>
      </c>
      <c r="D242" s="123">
        <v>0.01</v>
      </c>
      <c r="E242" s="123">
        <v>0.01</v>
      </c>
      <c r="F242" s="123">
        <v>0.01</v>
      </c>
      <c r="G242" s="123">
        <v>0.01</v>
      </c>
      <c r="H242" s="123">
        <v>0</v>
      </c>
      <c r="I242" s="123">
        <v>0.01</v>
      </c>
      <c r="J242" s="123">
        <v>0</v>
      </c>
      <c r="K242" s="114">
        <v>0</v>
      </c>
      <c r="L242" s="123">
        <v>0</v>
      </c>
      <c r="M242" s="123">
        <v>0</v>
      </c>
      <c r="N242" s="123">
        <v>0</v>
      </c>
      <c r="O242" s="123">
        <v>0</v>
      </c>
      <c r="P242" s="114">
        <f t="shared" si="34"/>
        <v>0.05</v>
      </c>
    </row>
    <row r="243" spans="2:16" x14ac:dyDescent="0.2">
      <c r="B243" s="2" t="s">
        <v>562</v>
      </c>
      <c r="D243" s="123">
        <v>0</v>
      </c>
      <c r="E243" s="123">
        <v>0.2</v>
      </c>
      <c r="F243" s="123">
        <v>0.02</v>
      </c>
      <c r="G243" s="123">
        <v>0.39</v>
      </c>
      <c r="H243" s="123">
        <v>0.15</v>
      </c>
      <c r="I243" s="123">
        <v>41.62</v>
      </c>
      <c r="J243" s="114">
        <v>0</v>
      </c>
      <c r="K243" s="114">
        <v>0</v>
      </c>
      <c r="L243" s="123">
        <v>0</v>
      </c>
      <c r="M243" s="123">
        <v>0</v>
      </c>
      <c r="N243" s="123">
        <v>0</v>
      </c>
      <c r="O243" s="123">
        <v>0</v>
      </c>
      <c r="P243" s="114">
        <f t="shared" si="34"/>
        <v>42.379999999999995</v>
      </c>
    </row>
    <row r="244" spans="2:16" x14ac:dyDescent="0.2">
      <c r="B244" s="2" t="s">
        <v>620</v>
      </c>
      <c r="D244" s="123">
        <v>0.06</v>
      </c>
      <c r="E244" s="123">
        <v>0.02</v>
      </c>
      <c r="F244" s="123">
        <v>0.04</v>
      </c>
      <c r="G244" s="123">
        <v>0.03</v>
      </c>
      <c r="H244" s="123">
        <v>0.05</v>
      </c>
      <c r="I244" s="123">
        <v>0.01</v>
      </c>
      <c r="J244" s="123">
        <v>0</v>
      </c>
      <c r="K244" s="114">
        <v>0</v>
      </c>
      <c r="L244" s="123">
        <v>0</v>
      </c>
      <c r="M244" s="123">
        <v>0</v>
      </c>
      <c r="N244" s="123">
        <v>0</v>
      </c>
      <c r="O244" s="123">
        <v>0</v>
      </c>
      <c r="P244" s="114">
        <f t="shared" si="34"/>
        <v>0.21000000000000002</v>
      </c>
    </row>
    <row r="245" spans="2:16" x14ac:dyDescent="0.2">
      <c r="B245" s="2" t="s">
        <v>652</v>
      </c>
      <c r="D245" s="123">
        <v>0.05</v>
      </c>
      <c r="E245" s="123">
        <v>0.67</v>
      </c>
      <c r="F245" s="123">
        <v>0</v>
      </c>
      <c r="G245" s="123">
        <v>0</v>
      </c>
      <c r="H245" s="123">
        <v>0.4</v>
      </c>
      <c r="I245" s="123">
        <v>0.74</v>
      </c>
      <c r="J245" s="123">
        <v>0</v>
      </c>
      <c r="K245" s="114">
        <v>0</v>
      </c>
      <c r="L245" s="123">
        <v>0</v>
      </c>
      <c r="M245" s="123">
        <v>0</v>
      </c>
      <c r="N245" s="123">
        <v>0</v>
      </c>
      <c r="O245" s="123">
        <v>0</v>
      </c>
      <c r="P245" s="114">
        <f t="shared" si="34"/>
        <v>1.86</v>
      </c>
    </row>
    <row r="246" spans="2:16" x14ac:dyDescent="0.2">
      <c r="B246" s="2" t="s">
        <v>558</v>
      </c>
      <c r="D246" s="114">
        <v>0</v>
      </c>
      <c r="E246" s="114">
        <v>0.02</v>
      </c>
      <c r="F246" s="114">
        <v>0</v>
      </c>
      <c r="G246" s="114">
        <v>0</v>
      </c>
      <c r="H246" s="114">
        <v>0</v>
      </c>
      <c r="I246" s="114">
        <v>0</v>
      </c>
      <c r="J246" s="114">
        <v>0</v>
      </c>
      <c r="K246" s="114">
        <v>0</v>
      </c>
      <c r="L246" s="114">
        <v>0</v>
      </c>
      <c r="M246" s="114">
        <v>0</v>
      </c>
      <c r="N246" s="114">
        <v>0</v>
      </c>
      <c r="O246" s="114">
        <v>0</v>
      </c>
      <c r="P246" s="114">
        <f t="shared" si="34"/>
        <v>0.02</v>
      </c>
    </row>
    <row r="247" spans="2:16" x14ac:dyDescent="0.2">
      <c r="B247" s="2" t="s">
        <v>644</v>
      </c>
      <c r="D247" s="114">
        <v>0</v>
      </c>
      <c r="E247" s="114">
        <v>0.01</v>
      </c>
      <c r="F247" s="114">
        <v>0.01</v>
      </c>
      <c r="G247" s="114">
        <v>0</v>
      </c>
      <c r="H247" s="114">
        <v>0</v>
      </c>
      <c r="I247" s="114">
        <v>0</v>
      </c>
      <c r="J247" s="114">
        <v>0</v>
      </c>
      <c r="K247" s="114">
        <v>0</v>
      </c>
      <c r="L247" s="114">
        <v>0</v>
      </c>
      <c r="M247" s="114">
        <v>0</v>
      </c>
      <c r="N247" s="114">
        <v>0</v>
      </c>
      <c r="O247" s="114">
        <v>0</v>
      </c>
      <c r="P247" s="114">
        <f t="shared" si="34"/>
        <v>0.02</v>
      </c>
    </row>
    <row r="248" spans="2:16" x14ac:dyDescent="0.2">
      <c r="B248" s="2" t="s">
        <v>420</v>
      </c>
      <c r="D248" s="123">
        <v>0</v>
      </c>
      <c r="E248" s="123">
        <v>0</v>
      </c>
      <c r="F248" s="123">
        <v>0</v>
      </c>
      <c r="G248" s="123">
        <v>0.14000000000000001</v>
      </c>
      <c r="H248" s="123">
        <v>0</v>
      </c>
      <c r="I248" s="123">
        <v>0</v>
      </c>
      <c r="J248" s="123">
        <v>0</v>
      </c>
      <c r="K248" s="114">
        <v>0</v>
      </c>
      <c r="L248" s="123">
        <v>0</v>
      </c>
      <c r="M248" s="123">
        <v>0</v>
      </c>
      <c r="N248" s="123">
        <v>0</v>
      </c>
      <c r="O248" s="123">
        <v>0</v>
      </c>
      <c r="P248" s="114">
        <f t="shared" si="34"/>
        <v>0.14000000000000001</v>
      </c>
    </row>
    <row r="249" spans="2:16" x14ac:dyDescent="0.2">
      <c r="B249" s="2" t="s">
        <v>616</v>
      </c>
      <c r="D249" s="123">
        <v>0.02</v>
      </c>
      <c r="E249" s="123">
        <v>0</v>
      </c>
      <c r="F249" s="123">
        <v>0</v>
      </c>
      <c r="G249" s="123">
        <v>0.01</v>
      </c>
      <c r="H249" s="123">
        <v>0</v>
      </c>
      <c r="I249" s="123">
        <v>0</v>
      </c>
      <c r="J249" s="123">
        <v>0.1</v>
      </c>
      <c r="K249" s="114">
        <v>0.14000000000000001</v>
      </c>
      <c r="L249" s="123">
        <v>0.27</v>
      </c>
      <c r="M249" s="123">
        <v>0.01</v>
      </c>
      <c r="N249" s="123">
        <v>0</v>
      </c>
      <c r="O249" s="123">
        <v>0</v>
      </c>
      <c r="P249" s="114">
        <f t="shared" si="34"/>
        <v>0.55000000000000004</v>
      </c>
    </row>
    <row r="250" spans="2:16" x14ac:dyDescent="0.2">
      <c r="B250" s="2" t="s">
        <v>649</v>
      </c>
      <c r="D250" s="123">
        <v>0.01</v>
      </c>
      <c r="E250" s="123">
        <v>0.01</v>
      </c>
      <c r="F250" s="123">
        <v>0</v>
      </c>
      <c r="G250" s="123">
        <v>0.08</v>
      </c>
      <c r="H250" s="123">
        <v>0.03</v>
      </c>
      <c r="I250" s="123">
        <v>0</v>
      </c>
      <c r="J250" s="114">
        <v>0</v>
      </c>
      <c r="K250" s="114">
        <v>0</v>
      </c>
      <c r="L250" s="123">
        <v>0</v>
      </c>
      <c r="M250" s="123">
        <v>0</v>
      </c>
      <c r="N250" s="123">
        <v>0</v>
      </c>
      <c r="O250" s="123">
        <v>0</v>
      </c>
      <c r="P250" s="114">
        <f t="shared" si="34"/>
        <v>0.13</v>
      </c>
    </row>
    <row r="251" spans="2:16" x14ac:dyDescent="0.2">
      <c r="B251" s="2" t="s">
        <v>618</v>
      </c>
      <c r="D251" s="123">
        <v>0.47</v>
      </c>
      <c r="E251" s="123">
        <v>0.02</v>
      </c>
      <c r="F251" s="123">
        <v>0</v>
      </c>
      <c r="G251" s="123">
        <v>0.01</v>
      </c>
      <c r="H251" s="123">
        <v>0.01</v>
      </c>
      <c r="I251" s="123">
        <v>0</v>
      </c>
      <c r="J251" s="123">
        <v>0</v>
      </c>
      <c r="K251" s="114">
        <v>0</v>
      </c>
      <c r="L251" s="123">
        <v>0</v>
      </c>
      <c r="M251" s="123">
        <v>0</v>
      </c>
      <c r="N251" s="123">
        <v>0</v>
      </c>
      <c r="O251" s="123">
        <v>0</v>
      </c>
      <c r="P251" s="114">
        <f t="shared" si="34"/>
        <v>0.51</v>
      </c>
    </row>
    <row r="252" spans="2:16" x14ac:dyDescent="0.2">
      <c r="B252" s="2" t="s">
        <v>645</v>
      </c>
      <c r="D252" s="114">
        <v>0.01</v>
      </c>
      <c r="E252" s="114">
        <v>0.15</v>
      </c>
      <c r="F252" s="114">
        <v>0</v>
      </c>
      <c r="G252" s="114">
        <v>0.02</v>
      </c>
      <c r="H252" s="114">
        <v>0</v>
      </c>
      <c r="I252" s="114">
        <v>0</v>
      </c>
      <c r="J252" s="114">
        <v>0</v>
      </c>
      <c r="K252" s="114">
        <v>0</v>
      </c>
      <c r="L252" s="114">
        <v>0</v>
      </c>
      <c r="M252" s="114">
        <v>0</v>
      </c>
      <c r="N252" s="114">
        <v>0</v>
      </c>
      <c r="O252" s="114">
        <v>0</v>
      </c>
      <c r="P252" s="114">
        <f t="shared" si="34"/>
        <v>0.18</v>
      </c>
    </row>
    <row r="253" spans="2:16" x14ac:dyDescent="0.2">
      <c r="B253" s="2" t="s">
        <v>655</v>
      </c>
      <c r="D253" s="123">
        <v>0.01</v>
      </c>
      <c r="E253" s="123">
        <v>0</v>
      </c>
      <c r="F253" s="123">
        <v>0</v>
      </c>
      <c r="G253" s="123">
        <v>0</v>
      </c>
      <c r="H253" s="123">
        <v>0</v>
      </c>
      <c r="I253" s="123">
        <v>0</v>
      </c>
      <c r="J253" s="123">
        <v>0</v>
      </c>
      <c r="K253" s="114">
        <v>0</v>
      </c>
      <c r="L253" s="123">
        <v>0</v>
      </c>
      <c r="M253" s="123">
        <v>0</v>
      </c>
      <c r="N253" s="123">
        <v>0</v>
      </c>
      <c r="O253" s="123">
        <v>0</v>
      </c>
      <c r="P253" s="114">
        <f t="shared" si="34"/>
        <v>0.01</v>
      </c>
    </row>
    <row r="254" spans="2:16" x14ac:dyDescent="0.2">
      <c r="B254" s="2" t="s">
        <v>379</v>
      </c>
      <c r="D254" s="123">
        <v>0</v>
      </c>
      <c r="E254" s="123">
        <v>0</v>
      </c>
      <c r="F254" s="123">
        <v>0</v>
      </c>
      <c r="G254" s="123">
        <v>0</v>
      </c>
      <c r="H254" s="123">
        <v>0</v>
      </c>
      <c r="I254" s="123">
        <v>0.01</v>
      </c>
      <c r="J254" s="123">
        <v>0</v>
      </c>
      <c r="K254" s="114">
        <v>0</v>
      </c>
      <c r="L254" s="123">
        <v>0</v>
      </c>
      <c r="M254" s="123">
        <v>0</v>
      </c>
      <c r="N254" s="123">
        <v>0</v>
      </c>
      <c r="O254" s="123">
        <v>0</v>
      </c>
      <c r="P254" s="114">
        <f t="shared" si="34"/>
        <v>0.01</v>
      </c>
    </row>
    <row r="255" spans="2:16" x14ac:dyDescent="0.2">
      <c r="B255" s="2" t="s">
        <v>606</v>
      </c>
      <c r="D255" s="123">
        <v>0</v>
      </c>
      <c r="E255" s="123">
        <v>0.11</v>
      </c>
      <c r="F255" s="123">
        <v>0</v>
      </c>
      <c r="G255" s="123">
        <v>0</v>
      </c>
      <c r="H255" s="123">
        <v>0</v>
      </c>
      <c r="I255" s="123">
        <v>0</v>
      </c>
      <c r="J255" s="123">
        <v>0</v>
      </c>
      <c r="K255" s="114">
        <v>0</v>
      </c>
      <c r="L255" s="123">
        <v>0</v>
      </c>
      <c r="M255" s="123">
        <v>0</v>
      </c>
      <c r="N255" s="123">
        <v>0</v>
      </c>
      <c r="O255" s="123">
        <v>0</v>
      </c>
      <c r="P255" s="114">
        <f t="shared" si="34"/>
        <v>0.11</v>
      </c>
    </row>
    <row r="256" spans="2:16" x14ac:dyDescent="0.2">
      <c r="B256" s="2" t="s">
        <v>792</v>
      </c>
      <c r="D256" s="123">
        <v>0</v>
      </c>
      <c r="E256" s="123">
        <v>0</v>
      </c>
      <c r="F256" s="123">
        <v>0</v>
      </c>
      <c r="G256" s="123">
        <v>0</v>
      </c>
      <c r="H256" s="123">
        <v>0</v>
      </c>
      <c r="I256" s="123">
        <v>0.01</v>
      </c>
      <c r="J256" s="123">
        <v>0</v>
      </c>
      <c r="K256" s="114">
        <v>0</v>
      </c>
      <c r="L256" s="123">
        <v>0</v>
      </c>
      <c r="M256" s="123">
        <v>0</v>
      </c>
      <c r="N256" s="123">
        <v>0</v>
      </c>
      <c r="O256" s="123">
        <v>0</v>
      </c>
      <c r="P256" s="114">
        <f t="shared" si="34"/>
        <v>0.01</v>
      </c>
    </row>
    <row r="257" spans="2:16" x14ac:dyDescent="0.2">
      <c r="B257" s="2" t="s">
        <v>658</v>
      </c>
      <c r="D257" s="123">
        <v>0.01</v>
      </c>
      <c r="E257" s="123">
        <v>0</v>
      </c>
      <c r="F257" s="123">
        <v>0</v>
      </c>
      <c r="G257" s="123">
        <v>0.01</v>
      </c>
      <c r="H257" s="123">
        <v>0</v>
      </c>
      <c r="I257" s="123">
        <v>0</v>
      </c>
      <c r="J257" s="123">
        <v>0</v>
      </c>
      <c r="K257" s="114">
        <v>0</v>
      </c>
      <c r="L257" s="123">
        <v>0</v>
      </c>
      <c r="M257" s="123">
        <v>0</v>
      </c>
      <c r="N257" s="123">
        <v>0</v>
      </c>
      <c r="O257" s="123">
        <v>0</v>
      </c>
      <c r="P257" s="114">
        <f t="shared" si="34"/>
        <v>0.02</v>
      </c>
    </row>
    <row r="258" spans="2:16" x14ac:dyDescent="0.2">
      <c r="B258" s="2" t="s">
        <v>455</v>
      </c>
      <c r="D258" s="123">
        <v>0</v>
      </c>
      <c r="E258" s="123">
        <v>0</v>
      </c>
      <c r="F258" s="123">
        <v>0</v>
      </c>
      <c r="G258" s="123">
        <v>0</v>
      </c>
      <c r="H258" s="123">
        <v>0</v>
      </c>
      <c r="I258" s="123">
        <v>0</v>
      </c>
      <c r="J258" s="123">
        <v>0</v>
      </c>
      <c r="K258" s="114">
        <v>0</v>
      </c>
      <c r="L258" s="123">
        <v>0</v>
      </c>
      <c r="M258" s="123">
        <v>0.01</v>
      </c>
      <c r="N258" s="123">
        <v>0</v>
      </c>
      <c r="O258" s="123">
        <v>0</v>
      </c>
      <c r="P258" s="114">
        <f t="shared" si="34"/>
        <v>0.01</v>
      </c>
    </row>
    <row r="259" spans="2:16" x14ac:dyDescent="0.2">
      <c r="B259" s="2" t="s">
        <v>607</v>
      </c>
      <c r="D259" s="123">
        <v>0</v>
      </c>
      <c r="E259" s="123">
        <v>0.02</v>
      </c>
      <c r="F259" s="123">
        <v>0</v>
      </c>
      <c r="G259" s="123">
        <v>0</v>
      </c>
      <c r="H259" s="123">
        <v>0</v>
      </c>
      <c r="I259" s="123">
        <v>0</v>
      </c>
      <c r="J259" s="123">
        <v>0</v>
      </c>
      <c r="K259" s="114">
        <v>0</v>
      </c>
      <c r="L259" s="123">
        <v>0</v>
      </c>
      <c r="M259" s="123">
        <v>0</v>
      </c>
      <c r="N259" s="123">
        <v>0</v>
      </c>
      <c r="O259" s="123">
        <v>0</v>
      </c>
      <c r="P259" s="114">
        <f t="shared" si="34"/>
        <v>0.02</v>
      </c>
    </row>
    <row r="260" spans="2:16" x14ac:dyDescent="0.2">
      <c r="B260" s="2" t="s">
        <v>810</v>
      </c>
      <c r="D260" s="123">
        <v>0.06</v>
      </c>
      <c r="E260" s="123">
        <v>0</v>
      </c>
      <c r="F260" s="123">
        <v>0.05</v>
      </c>
      <c r="G260" s="123">
        <v>0.03</v>
      </c>
      <c r="H260" s="123">
        <v>0</v>
      </c>
      <c r="I260" s="123">
        <v>0.2</v>
      </c>
      <c r="J260" s="123">
        <v>0.03</v>
      </c>
      <c r="K260" s="114">
        <v>0</v>
      </c>
      <c r="L260" s="123">
        <v>0.02</v>
      </c>
      <c r="M260" s="123">
        <v>0.04</v>
      </c>
      <c r="N260" s="123">
        <v>0.01</v>
      </c>
      <c r="O260" s="123">
        <v>0.05</v>
      </c>
      <c r="P260" s="114">
        <f t="shared" si="34"/>
        <v>0.49</v>
      </c>
    </row>
    <row r="261" spans="2:16" x14ac:dyDescent="0.2">
      <c r="B261" s="2" t="s">
        <v>648</v>
      </c>
      <c r="D261" s="123">
        <v>0.01</v>
      </c>
      <c r="E261" s="123">
        <v>0.02</v>
      </c>
      <c r="F261" s="123">
        <v>0</v>
      </c>
      <c r="G261" s="123">
        <v>0</v>
      </c>
      <c r="H261" s="123">
        <v>0.01</v>
      </c>
      <c r="I261" s="123">
        <v>0</v>
      </c>
      <c r="J261" s="114">
        <v>0</v>
      </c>
      <c r="K261" s="114">
        <v>0</v>
      </c>
      <c r="L261" s="123">
        <v>0</v>
      </c>
      <c r="M261" s="123">
        <v>0</v>
      </c>
      <c r="N261" s="123">
        <v>0</v>
      </c>
      <c r="O261" s="123">
        <v>0</v>
      </c>
      <c r="P261" s="114">
        <f t="shared" si="34"/>
        <v>0.04</v>
      </c>
    </row>
    <row r="262" spans="2:16" x14ac:dyDescent="0.2">
      <c r="B262" s="2" t="s">
        <v>603</v>
      </c>
      <c r="D262" s="123">
        <v>0.05</v>
      </c>
      <c r="E262" s="123">
        <v>0.15</v>
      </c>
      <c r="F262" s="123">
        <v>1.1200000000000001</v>
      </c>
      <c r="G262" s="123">
        <v>1.89</v>
      </c>
      <c r="H262" s="123">
        <v>0.59</v>
      </c>
      <c r="I262" s="123">
        <v>3.08</v>
      </c>
      <c r="J262" s="123">
        <v>0.03</v>
      </c>
      <c r="K262" s="114">
        <v>0</v>
      </c>
      <c r="L262" s="123">
        <v>0</v>
      </c>
      <c r="M262" s="123">
        <v>0</v>
      </c>
      <c r="N262" s="123">
        <v>0</v>
      </c>
      <c r="O262" s="123">
        <v>0</v>
      </c>
      <c r="P262" s="114">
        <f t="shared" si="34"/>
        <v>6.91</v>
      </c>
    </row>
    <row r="263" spans="2:16" x14ac:dyDescent="0.2">
      <c r="B263" s="2" t="s">
        <v>659</v>
      </c>
      <c r="D263" s="123">
        <v>0.24</v>
      </c>
      <c r="E263" s="123">
        <v>0.01</v>
      </c>
      <c r="F263" s="123">
        <v>0.02</v>
      </c>
      <c r="G263" s="123">
        <v>0.03</v>
      </c>
      <c r="H263" s="123">
        <v>0.01</v>
      </c>
      <c r="I263" s="123">
        <v>0</v>
      </c>
      <c r="J263" s="123">
        <v>0</v>
      </c>
      <c r="K263" s="114">
        <v>0</v>
      </c>
      <c r="L263" s="123">
        <v>0</v>
      </c>
      <c r="M263" s="123">
        <v>0</v>
      </c>
      <c r="N263" s="123">
        <v>0</v>
      </c>
      <c r="O263" s="123">
        <v>0</v>
      </c>
      <c r="P263" s="114">
        <f t="shared" si="34"/>
        <v>0.31000000000000005</v>
      </c>
    </row>
    <row r="264" spans="2:16" x14ac:dyDescent="0.2">
      <c r="B264" s="2" t="s">
        <v>266</v>
      </c>
      <c r="D264" s="123">
        <v>0</v>
      </c>
      <c r="E264" s="123">
        <v>0.01</v>
      </c>
      <c r="F264" s="123">
        <v>0.01</v>
      </c>
      <c r="G264" s="123">
        <v>0</v>
      </c>
      <c r="H264" s="123">
        <v>0</v>
      </c>
      <c r="I264" s="123">
        <v>0</v>
      </c>
      <c r="J264" s="123">
        <v>0</v>
      </c>
      <c r="K264" s="114">
        <v>0</v>
      </c>
      <c r="L264" s="123">
        <v>0</v>
      </c>
      <c r="M264" s="123">
        <v>0</v>
      </c>
      <c r="N264" s="123">
        <v>0</v>
      </c>
      <c r="O264" s="123">
        <v>0</v>
      </c>
      <c r="P264" s="114">
        <f t="shared" si="34"/>
        <v>0.02</v>
      </c>
    </row>
    <row r="265" spans="2:16" x14ac:dyDescent="0.2">
      <c r="B265" s="2" t="s">
        <v>654</v>
      </c>
      <c r="D265" s="123">
        <v>0</v>
      </c>
      <c r="E265" s="123">
        <v>0.01</v>
      </c>
      <c r="F265" s="123">
        <v>0</v>
      </c>
      <c r="G265" s="123">
        <v>0</v>
      </c>
      <c r="H265" s="123">
        <v>1.3</v>
      </c>
      <c r="I265" s="123">
        <v>0</v>
      </c>
      <c r="J265" s="123">
        <v>0</v>
      </c>
      <c r="K265" s="114">
        <v>0</v>
      </c>
      <c r="L265" s="123">
        <v>0</v>
      </c>
      <c r="M265" s="123">
        <v>0</v>
      </c>
      <c r="N265" s="123">
        <v>0</v>
      </c>
      <c r="O265" s="123">
        <v>0</v>
      </c>
      <c r="P265" s="114">
        <f t="shared" si="34"/>
        <v>1.31</v>
      </c>
    </row>
    <row r="266" spans="2:16" x14ac:dyDescent="0.2">
      <c r="B266" s="2" t="s">
        <v>613</v>
      </c>
      <c r="D266" s="123">
        <v>0.24</v>
      </c>
      <c r="E266" s="123">
        <v>0.05</v>
      </c>
      <c r="F266" s="123">
        <v>0.06</v>
      </c>
      <c r="G266" s="123">
        <v>0.11</v>
      </c>
      <c r="H266" s="123">
        <v>7.0000000000000007E-2</v>
      </c>
      <c r="I266" s="123">
        <v>0.05</v>
      </c>
      <c r="J266" s="123">
        <v>7.0000000000000007E-2</v>
      </c>
      <c r="K266" s="114">
        <v>0.01</v>
      </c>
      <c r="L266" s="123">
        <v>0.05</v>
      </c>
      <c r="M266" s="123">
        <v>7.0000000000000007E-2</v>
      </c>
      <c r="N266" s="123">
        <v>0.06</v>
      </c>
      <c r="O266" s="123">
        <v>0.13</v>
      </c>
      <c r="P266" s="114">
        <f t="shared" si="34"/>
        <v>0.97000000000000031</v>
      </c>
    </row>
    <row r="267" spans="2:16" x14ac:dyDescent="0.2">
      <c r="B267" s="2" t="s">
        <v>646</v>
      </c>
      <c r="D267" s="123">
        <v>0</v>
      </c>
      <c r="E267" s="123">
        <v>0</v>
      </c>
      <c r="F267" s="123">
        <v>0.02</v>
      </c>
      <c r="G267" s="123">
        <v>0.02</v>
      </c>
      <c r="H267" s="123">
        <v>0</v>
      </c>
      <c r="I267" s="123">
        <v>0</v>
      </c>
      <c r="J267" s="114">
        <v>0</v>
      </c>
      <c r="K267" s="114">
        <v>0</v>
      </c>
      <c r="L267" s="123">
        <v>0</v>
      </c>
      <c r="M267" s="123">
        <v>0</v>
      </c>
      <c r="N267" s="123">
        <v>0</v>
      </c>
      <c r="O267" s="123">
        <v>0</v>
      </c>
      <c r="P267" s="114">
        <f t="shared" si="34"/>
        <v>0.04</v>
      </c>
    </row>
    <row r="268" spans="2:16" x14ac:dyDescent="0.2">
      <c r="B268" s="2" t="s">
        <v>604</v>
      </c>
      <c r="D268" s="123">
        <v>0</v>
      </c>
      <c r="E268" s="123">
        <v>0</v>
      </c>
      <c r="F268" s="123">
        <v>0</v>
      </c>
      <c r="G268" s="123">
        <v>0</v>
      </c>
      <c r="H268" s="123">
        <v>0.01</v>
      </c>
      <c r="I268" s="123">
        <v>0</v>
      </c>
      <c r="J268" s="123">
        <v>0</v>
      </c>
      <c r="K268" s="114">
        <v>0</v>
      </c>
      <c r="L268" s="123">
        <v>0</v>
      </c>
      <c r="M268" s="123">
        <v>0</v>
      </c>
      <c r="N268" s="123">
        <v>0</v>
      </c>
      <c r="O268" s="123">
        <v>0</v>
      </c>
      <c r="P268" s="114">
        <f t="shared" si="34"/>
        <v>0.01</v>
      </c>
    </row>
    <row r="269" spans="2:16" x14ac:dyDescent="0.2">
      <c r="B269" s="2" t="s">
        <v>647</v>
      </c>
      <c r="D269" s="123">
        <v>0.02</v>
      </c>
      <c r="E269" s="123">
        <v>0.02</v>
      </c>
      <c r="F269" s="123">
        <v>0.01</v>
      </c>
      <c r="G269" s="123">
        <v>0.13</v>
      </c>
      <c r="H269" s="123">
        <v>0.06</v>
      </c>
      <c r="I269" s="123">
        <v>0.36</v>
      </c>
      <c r="J269" s="114">
        <v>0</v>
      </c>
      <c r="K269" s="114">
        <v>0</v>
      </c>
      <c r="L269" s="123">
        <v>0</v>
      </c>
      <c r="M269" s="123">
        <v>0</v>
      </c>
      <c r="N269" s="123">
        <v>0</v>
      </c>
      <c r="O269" s="123">
        <v>0</v>
      </c>
      <c r="P269" s="114">
        <f t="shared" si="34"/>
        <v>0.6</v>
      </c>
    </row>
    <row r="270" spans="2:16" x14ac:dyDescent="0.2">
      <c r="B270" s="2" t="s">
        <v>663</v>
      </c>
      <c r="D270" s="123">
        <v>15.75</v>
      </c>
      <c r="E270" s="123">
        <v>5.0199999999999996</v>
      </c>
      <c r="F270" s="123">
        <v>4.3899999999999997</v>
      </c>
      <c r="G270" s="123">
        <v>3.51</v>
      </c>
      <c r="H270" s="123">
        <v>4.3899999999999997</v>
      </c>
      <c r="I270" s="123">
        <v>2.73</v>
      </c>
      <c r="J270" s="123">
        <v>0</v>
      </c>
      <c r="K270" s="114">
        <v>0</v>
      </c>
      <c r="L270" s="123">
        <v>0</v>
      </c>
      <c r="M270" s="123">
        <v>0</v>
      </c>
      <c r="N270" s="123">
        <v>0</v>
      </c>
      <c r="O270" s="123">
        <v>0</v>
      </c>
      <c r="P270" s="114">
        <f t="shared" si="34"/>
        <v>35.79</v>
      </c>
    </row>
    <row r="271" spans="2:16" x14ac:dyDescent="0.2">
      <c r="B271" s="2" t="s">
        <v>393</v>
      </c>
      <c r="D271" s="123">
        <v>0.05</v>
      </c>
      <c r="E271" s="123">
        <v>0.01</v>
      </c>
      <c r="F271" s="123">
        <v>0.21</v>
      </c>
      <c r="G271" s="123">
        <v>7.0000000000000007E-2</v>
      </c>
      <c r="H271" s="123">
        <v>0.01</v>
      </c>
      <c r="I271" s="123">
        <v>0.02</v>
      </c>
      <c r="J271" s="123">
        <v>7.0000000000000007E-2</v>
      </c>
      <c r="K271" s="114">
        <v>0.04</v>
      </c>
      <c r="L271" s="123">
        <v>0.06</v>
      </c>
      <c r="M271" s="123">
        <v>0.02</v>
      </c>
      <c r="N271" s="123">
        <v>0</v>
      </c>
      <c r="O271" s="123">
        <v>0.01</v>
      </c>
      <c r="P271" s="114">
        <f t="shared" si="34"/>
        <v>0.57000000000000006</v>
      </c>
    </row>
    <row r="272" spans="2:16" x14ac:dyDescent="0.2">
      <c r="B272" s="2" t="s">
        <v>656</v>
      </c>
      <c r="D272" s="123">
        <v>0</v>
      </c>
      <c r="E272" s="123">
        <v>0</v>
      </c>
      <c r="F272" s="123">
        <v>0.02</v>
      </c>
      <c r="G272" s="123">
        <v>0.01</v>
      </c>
      <c r="H272" s="123">
        <v>0</v>
      </c>
      <c r="I272" s="123">
        <v>0</v>
      </c>
      <c r="J272" s="123">
        <v>0</v>
      </c>
      <c r="K272" s="114">
        <v>0</v>
      </c>
      <c r="L272" s="123">
        <v>0</v>
      </c>
      <c r="M272" s="123">
        <v>0</v>
      </c>
      <c r="N272" s="123">
        <v>0</v>
      </c>
      <c r="O272" s="123">
        <v>0</v>
      </c>
      <c r="P272" s="114">
        <f t="shared" si="34"/>
        <v>0.03</v>
      </c>
    </row>
    <row r="273" spans="2:16" x14ac:dyDescent="0.2">
      <c r="B273" s="2" t="s">
        <v>809</v>
      </c>
      <c r="D273" s="123">
        <v>0.09</v>
      </c>
      <c r="E273" s="123">
        <v>0.09</v>
      </c>
      <c r="F273" s="123">
        <v>0.12</v>
      </c>
      <c r="G273" s="123">
        <v>0.09</v>
      </c>
      <c r="H273" s="123">
        <v>0.06</v>
      </c>
      <c r="I273" s="123">
        <v>0.1</v>
      </c>
      <c r="J273" s="123">
        <v>0.1</v>
      </c>
      <c r="K273" s="114">
        <v>0.22</v>
      </c>
      <c r="L273" s="123">
        <v>0.08</v>
      </c>
      <c r="M273" s="123">
        <v>0.1</v>
      </c>
      <c r="N273" s="123">
        <v>0.06</v>
      </c>
      <c r="O273" s="123">
        <v>0.05</v>
      </c>
      <c r="P273" s="114">
        <f t="shared" si="34"/>
        <v>1.1600000000000001</v>
      </c>
    </row>
    <row r="274" spans="2:16" x14ac:dyDescent="0.2">
      <c r="B274" s="2" t="s">
        <v>410</v>
      </c>
      <c r="D274" s="123">
        <v>12.64</v>
      </c>
      <c r="E274" s="123">
        <v>7.64</v>
      </c>
      <c r="F274" s="123">
        <v>6.17</v>
      </c>
      <c r="G274" s="123">
        <v>5.05</v>
      </c>
      <c r="H274" s="123">
        <v>5.08</v>
      </c>
      <c r="I274" s="123">
        <v>30.78</v>
      </c>
      <c r="J274" s="123">
        <v>113.12</v>
      </c>
      <c r="K274" s="114">
        <v>116.19</v>
      </c>
      <c r="L274" s="123">
        <v>255.56</v>
      </c>
      <c r="M274" s="123">
        <v>123.43</v>
      </c>
      <c r="N274" s="123">
        <v>101.43</v>
      </c>
      <c r="O274" s="123">
        <v>93.15</v>
      </c>
      <c r="P274" s="114">
        <f t="shared" si="34"/>
        <v>870.24000000000012</v>
      </c>
    </row>
    <row r="275" spans="2:16" x14ac:dyDescent="0.2">
      <c r="B275" s="2" t="s">
        <v>660</v>
      </c>
      <c r="D275" s="123">
        <v>0</v>
      </c>
      <c r="E275" s="123">
        <v>0</v>
      </c>
      <c r="F275" s="123">
        <v>0</v>
      </c>
      <c r="G275" s="123">
        <v>0.01</v>
      </c>
      <c r="H275" s="123">
        <v>0</v>
      </c>
      <c r="I275" s="123">
        <v>0</v>
      </c>
      <c r="J275" s="123">
        <v>0</v>
      </c>
      <c r="K275" s="114">
        <v>0</v>
      </c>
      <c r="L275" s="123">
        <v>0</v>
      </c>
      <c r="M275" s="123">
        <v>0</v>
      </c>
      <c r="N275" s="123">
        <v>0</v>
      </c>
      <c r="O275" s="123">
        <v>0</v>
      </c>
      <c r="P275" s="114">
        <f t="shared" si="34"/>
        <v>0.01</v>
      </c>
    </row>
    <row r="276" spans="2:16" x14ac:dyDescent="0.2">
      <c r="B276" s="2" t="s">
        <v>380</v>
      </c>
      <c r="D276" s="123">
        <v>1.43</v>
      </c>
      <c r="E276" s="123">
        <v>0.47</v>
      </c>
      <c r="F276" s="123">
        <v>0.99</v>
      </c>
      <c r="G276" s="123">
        <v>1.2</v>
      </c>
      <c r="H276" s="123">
        <v>2.2799999999999998</v>
      </c>
      <c r="I276" s="123">
        <v>1.05</v>
      </c>
      <c r="J276" s="114">
        <v>1.03</v>
      </c>
      <c r="K276" s="114">
        <v>0.87</v>
      </c>
      <c r="L276" s="123">
        <v>1.58</v>
      </c>
      <c r="M276" s="123">
        <v>0.8</v>
      </c>
      <c r="N276" s="123">
        <v>0.5</v>
      </c>
      <c r="O276" s="123">
        <v>0.21</v>
      </c>
      <c r="P276" s="114">
        <f t="shared" si="34"/>
        <v>12.41</v>
      </c>
    </row>
    <row r="277" spans="2:16" x14ac:dyDescent="0.2">
      <c r="D277" s="7"/>
      <c r="E277" s="7"/>
      <c r="F277" s="7"/>
      <c r="G277" s="7"/>
      <c r="P277" s="7"/>
    </row>
    <row r="279" spans="2:16" s="14" customFormat="1" ht="15" x14ac:dyDescent="0.25">
      <c r="C279" s="15" t="s">
        <v>552</v>
      </c>
      <c r="D279" s="16">
        <f t="shared" ref="D279:P279" si="35">D10+D34+D42+D59+D64+D72+D76+D87+D95+D101+D108+D117+D127+D138+D143+D158+D167+D172+D195+D200+D206+D216+D227</f>
        <v>1645.3900000000003</v>
      </c>
      <c r="E279" s="16">
        <f t="shared" si="35"/>
        <v>2345.52</v>
      </c>
      <c r="F279" s="16">
        <f t="shared" si="35"/>
        <v>1511.87</v>
      </c>
      <c r="G279" s="16">
        <f t="shared" si="35"/>
        <v>1583.1400000000003</v>
      </c>
      <c r="H279" s="16">
        <f t="shared" si="35"/>
        <v>1458.11</v>
      </c>
      <c r="I279" s="16">
        <f t="shared" si="35"/>
        <v>1633.69</v>
      </c>
      <c r="J279" s="16">
        <f t="shared" si="35"/>
        <v>1409.4199999999998</v>
      </c>
      <c r="K279" s="16">
        <f t="shared" si="35"/>
        <v>1269.5700000000002</v>
      </c>
      <c r="L279" s="16">
        <f t="shared" si="35"/>
        <v>1643.2800000000002</v>
      </c>
      <c r="M279" s="16">
        <f t="shared" si="35"/>
        <v>2287.4599999999996</v>
      </c>
      <c r="N279" s="16">
        <f t="shared" si="35"/>
        <v>1288.6599999999999</v>
      </c>
      <c r="O279" s="16">
        <f t="shared" si="35"/>
        <v>1158.72</v>
      </c>
      <c r="P279" s="16">
        <f t="shared" si="35"/>
        <v>19234.830000000002</v>
      </c>
    </row>
    <row r="281" spans="2:16" x14ac:dyDescent="0.2">
      <c r="D281" s="7"/>
      <c r="E281" s="7"/>
      <c r="J281" s="7"/>
      <c r="K281" s="7"/>
      <c r="P281" s="7"/>
    </row>
    <row r="282" spans="2:16" x14ac:dyDescent="0.2">
      <c r="K282" s="7"/>
    </row>
    <row r="284" spans="2:16" x14ac:dyDescent="0.2">
      <c r="B284" s="2" t="s">
        <v>709</v>
      </c>
    </row>
  </sheetData>
  <sortState xmlns:xlrd2="http://schemas.microsoft.com/office/spreadsheetml/2017/richdata2" ref="B229:P276">
    <sortCondition ref="B229"/>
  </sortState>
  <mergeCells count="2">
    <mergeCell ref="A3:P3"/>
    <mergeCell ref="A7:C7"/>
  </mergeCells>
  <printOptions horizontalCentered="1"/>
  <pageMargins left="0" right="0" top="0.59055118110236227" bottom="0.59055118110236227" header="0.11811023622047245" footer="0.51181102362204722"/>
  <pageSetup paperSize="9" scale="48" orientation="portrait" r:id="rId1"/>
  <headerFooter alignWithMargins="0">
    <oddHeader>Page &amp;P</oddHeader>
  </headerFooter>
  <rowBreaks count="2" manualBreakCount="2">
    <brk id="106" max="15" man="1"/>
    <brk id="204"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'2005'!Print_Area</vt:lpstr>
      <vt:lpstr>'2006'!Print_Area</vt:lpstr>
      <vt:lpstr>'2007'!Print_Area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'2024'!Print_Area</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'2024'!Print_Titles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epawayan</dc:creator>
  <cp:lastModifiedBy>Lara T. Aduna</cp:lastModifiedBy>
  <cp:lastPrinted>2025-03-18T02:26:55Z</cp:lastPrinted>
  <dcterms:created xsi:type="dcterms:W3CDTF">2018-08-29T01:56:13Z</dcterms:created>
  <dcterms:modified xsi:type="dcterms:W3CDTF">2025-03-18T02:27:03Z</dcterms:modified>
</cp:coreProperties>
</file>