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da001\SDAD\Joann\GOVT SECURITIES\GS OS DEBT\Monthly\"/>
    </mc:Choice>
  </mc:AlternateContent>
  <xr:revisionPtr revIDLastSave="0" documentId="13_ncr:1_{726CC9BE-B395-45B9-B992-785C0E9B460F}" xr6:coauthVersionLast="47" xr6:coauthVersionMax="47" xr10:uidLastSave="{00000000-0000-0000-0000-000000000000}"/>
  <bookViews>
    <workbookView xWindow="-120" yWindow="-120" windowWidth="29040" windowHeight="15720" tabRatio="747" xr2:uid="{00000000-000D-0000-FFFF-FFFF00000000}"/>
  </bookViews>
  <sheets>
    <sheet name="2025" sheetId="135" r:id="rId1"/>
    <sheet name="2024" sheetId="134" r:id="rId2"/>
    <sheet name="2023" sheetId="133" r:id="rId3"/>
    <sheet name="2022" sheetId="132" r:id="rId4"/>
    <sheet name="2021" sheetId="121" r:id="rId5"/>
    <sheet name="2020" sheetId="118" r:id="rId6"/>
    <sheet name="2019" sheetId="106" r:id="rId7"/>
    <sheet name="2018" sheetId="94" r:id="rId8"/>
    <sheet name="2017" sheetId="91" r:id="rId9"/>
    <sheet name="2016" sheetId="89" r:id="rId10"/>
    <sheet name="2015" sheetId="86" r:id="rId11"/>
    <sheet name="2014" sheetId="85" r:id="rId12"/>
    <sheet name="2013" sheetId="79" r:id="rId13"/>
    <sheet name="2012" sheetId="80" r:id="rId14"/>
    <sheet name="2011" sheetId="81" r:id="rId15"/>
    <sheet name="2010" sheetId="83" r:id="rId16"/>
    <sheet name="2009" sheetId="84" r:id="rId17"/>
    <sheet name="2008" sheetId="130" r:id="rId18"/>
    <sheet name="2007" sheetId="129" r:id="rId19"/>
    <sheet name="2006" sheetId="128" r:id="rId20"/>
    <sheet name="2005" sheetId="127" r:id="rId21"/>
    <sheet name="2004" sheetId="126" r:id="rId22"/>
    <sheet name="2003" sheetId="125" r:id="rId23"/>
    <sheet name="2002" sheetId="124" r:id="rId24"/>
    <sheet name="2001" sheetId="123" r:id="rId25"/>
    <sheet name="2000" sheetId="122" r:id="rId26"/>
  </sheets>
  <definedNames>
    <definedName name="_xlnm.Print_Area" localSheetId="16">'2009'!$A$1:$Q$65</definedName>
    <definedName name="_xlnm.Print_Area" localSheetId="15">'2010'!$A$1:$Q$80</definedName>
    <definedName name="_xlnm.Print_Area" localSheetId="14">'2011'!$A$1:$Q$82</definedName>
    <definedName name="_xlnm.Print_Area" localSheetId="13">'2012'!$A$1:$Q$86</definedName>
    <definedName name="_xlnm.Print_Area" localSheetId="12">'2013'!$A$1:$Q$79</definedName>
    <definedName name="_xlnm.Print_Area" localSheetId="11">'2014'!$A$1:$Q$77</definedName>
    <definedName name="_xlnm.Print_Area" localSheetId="10">'2015'!$A$1:$Q$69</definedName>
    <definedName name="_xlnm.Print_Area" localSheetId="9">'2016'!$A$1:$Q$62</definedName>
    <definedName name="_xlnm.Print_Area" localSheetId="8">'2017'!$A$1:$Q$58</definedName>
    <definedName name="_xlnm.Print_Area" localSheetId="7">'2018'!$A$1:$R$57</definedName>
    <definedName name="_xlnm.Print_Area" localSheetId="6">'2019'!$A$1:$R$62</definedName>
    <definedName name="_xlnm.Print_Area" localSheetId="5">'2020'!$A$1:$R$61</definedName>
    <definedName name="_xlnm.Print_Area" localSheetId="4">'2021'!$A$1:$R$65</definedName>
    <definedName name="_xlnm.Print_Area" localSheetId="3">'2022'!$A$1:$R$62</definedName>
    <definedName name="_xlnm.Print_Area" localSheetId="2">'2023'!$A$1:$R$68</definedName>
    <definedName name="_xlnm.Print_Area" localSheetId="1">'2024'!$A$1:$R$68</definedName>
    <definedName name="_xlnm.Print_Area" localSheetId="0">'2025'!$A$1:$M$68</definedName>
  </definedNames>
  <calcPr calcId="191029"/>
</workbook>
</file>

<file path=xl/calcChain.xml><?xml version="1.0" encoding="utf-8"?>
<calcChain xmlns="http://schemas.openxmlformats.org/spreadsheetml/2006/main">
  <c r="R61" i="135" l="1"/>
  <c r="Q61" i="135"/>
  <c r="P61" i="135"/>
  <c r="O61" i="135"/>
  <c r="N61" i="135"/>
  <c r="M61" i="135"/>
  <c r="L61" i="135"/>
  <c r="K61" i="135"/>
  <c r="J61" i="135"/>
  <c r="I61" i="135"/>
  <c r="H61" i="135"/>
  <c r="G61" i="135"/>
  <c r="R56" i="135"/>
  <c r="Q56" i="135"/>
  <c r="P56" i="135"/>
  <c r="O56" i="135"/>
  <c r="N56" i="135"/>
  <c r="M56" i="135"/>
  <c r="L56" i="135"/>
  <c r="K56" i="135"/>
  <c r="J56" i="135"/>
  <c r="I56" i="135"/>
  <c r="H56" i="135"/>
  <c r="G56" i="135"/>
  <c r="G53" i="135"/>
  <c r="R44" i="135"/>
  <c r="Q44" i="135"/>
  <c r="P44" i="135"/>
  <c r="O44" i="135"/>
  <c r="N44" i="135"/>
  <c r="M44" i="135"/>
  <c r="L44" i="135"/>
  <c r="K44" i="135"/>
  <c r="J44" i="135"/>
  <c r="I44" i="135"/>
  <c r="H44" i="135"/>
  <c r="G44" i="135"/>
  <c r="R35" i="135"/>
  <c r="Q35" i="135"/>
  <c r="P35" i="135"/>
  <c r="O35" i="135"/>
  <c r="N35" i="135"/>
  <c r="M35" i="135"/>
  <c r="L35" i="135"/>
  <c r="K35" i="135"/>
  <c r="J35" i="135"/>
  <c r="I35" i="135"/>
  <c r="H35" i="135"/>
  <c r="G35" i="135"/>
  <c r="R22" i="135"/>
  <c r="Q22" i="135"/>
  <c r="P22" i="135"/>
  <c r="O22" i="135"/>
  <c r="N22" i="135"/>
  <c r="M22" i="135"/>
  <c r="L22" i="135"/>
  <c r="K22" i="135"/>
  <c r="J22" i="135"/>
  <c r="I22" i="135"/>
  <c r="H22" i="135"/>
  <c r="G22" i="135"/>
  <c r="R13" i="135"/>
  <c r="Q13" i="135"/>
  <c r="P13" i="135"/>
  <c r="O13" i="135"/>
  <c r="N13" i="135"/>
  <c r="M13" i="135"/>
  <c r="L13" i="135"/>
  <c r="K13" i="135"/>
  <c r="J13" i="135"/>
  <c r="I13" i="135"/>
  <c r="H13" i="135"/>
  <c r="G13" i="135"/>
  <c r="L22" i="134"/>
  <c r="R61" i="134"/>
  <c r="R56" i="134"/>
  <c r="R53" i="134"/>
  <c r="R44" i="134"/>
  <c r="R35" i="134"/>
  <c r="R22" i="134"/>
  <c r="R13" i="134"/>
  <c r="Q61" i="134"/>
  <c r="Q56" i="134"/>
  <c r="Q53" i="134"/>
  <c r="Q44" i="134"/>
  <c r="Q35" i="134"/>
  <c r="Q22" i="134"/>
  <c r="Q13" i="134"/>
  <c r="P61" i="134"/>
  <c r="P56" i="134"/>
  <c r="P53" i="134"/>
  <c r="P44" i="134"/>
  <c r="P35" i="134"/>
  <c r="P22" i="134"/>
  <c r="P13" i="134"/>
  <c r="O61" i="134"/>
  <c r="O56" i="134"/>
  <c r="O53" i="134"/>
  <c r="O44" i="134"/>
  <c r="O35" i="134"/>
  <c r="O22" i="134"/>
  <c r="O13" i="134"/>
  <c r="N61" i="134"/>
  <c r="N56" i="134"/>
  <c r="N53" i="134"/>
  <c r="N44" i="134"/>
  <c r="N35" i="134"/>
  <c r="N22" i="134"/>
  <c r="N13" i="134"/>
  <c r="M61" i="134"/>
  <c r="M56" i="134"/>
  <c r="M53" i="134"/>
  <c r="M44" i="134"/>
  <c r="M35" i="134"/>
  <c r="M22" i="134"/>
  <c r="M13" i="134"/>
  <c r="L61" i="134"/>
  <c r="L56" i="134"/>
  <c r="L53" i="134"/>
  <c r="L44" i="134"/>
  <c r="L35" i="134"/>
  <c r="L13" i="134"/>
  <c r="K61" i="134"/>
  <c r="K56" i="134"/>
  <c r="K53" i="134"/>
  <c r="K44" i="134"/>
  <c r="K35" i="134"/>
  <c r="K22" i="134"/>
  <c r="K13" i="134"/>
  <c r="J61" i="134"/>
  <c r="J56" i="134"/>
  <c r="J53" i="134"/>
  <c r="J44" i="134"/>
  <c r="J35" i="134"/>
  <c r="J22" i="134"/>
  <c r="J13" i="134"/>
  <c r="I61" i="134"/>
  <c r="I56" i="134"/>
  <c r="I53" i="134"/>
  <c r="I44" i="134"/>
  <c r="I35" i="134"/>
  <c r="I22" i="134"/>
  <c r="I13" i="134"/>
  <c r="H35" i="134"/>
  <c r="G34" i="135" l="1"/>
  <c r="G21" i="135" s="1"/>
  <c r="G11" i="135" s="1"/>
  <c r="G9" i="135" s="1"/>
  <c r="H34" i="135"/>
  <c r="H21" i="135" s="1"/>
  <c r="H11" i="135" s="1"/>
  <c r="H9" i="135" s="1"/>
  <c r="I34" i="135"/>
  <c r="I21" i="135" s="1"/>
  <c r="I11" i="135" s="1"/>
  <c r="I9" i="135" s="1"/>
  <c r="J34" i="135"/>
  <c r="J21" i="135" s="1"/>
  <c r="J11" i="135" s="1"/>
  <c r="J9" i="135" s="1"/>
  <c r="K34" i="135"/>
  <c r="K21" i="135" s="1"/>
  <c r="K11" i="135" s="1"/>
  <c r="K9" i="135" s="1"/>
  <c r="L34" i="135"/>
  <c r="M34" i="135"/>
  <c r="N34" i="135"/>
  <c r="O34" i="135"/>
  <c r="P34" i="135"/>
  <c r="Q34" i="135"/>
  <c r="R34" i="135"/>
  <c r="R21" i="135" s="1"/>
  <c r="R11" i="135" s="1"/>
  <c r="R9" i="135" s="1"/>
  <c r="N21" i="135"/>
  <c r="O21" i="135"/>
  <c r="O11" i="135" s="1"/>
  <c r="O9" i="135" s="1"/>
  <c r="P21" i="135"/>
  <c r="P11" i="135" s="1"/>
  <c r="P9" i="135" s="1"/>
  <c r="Q21" i="135"/>
  <c r="Q11" i="135" s="1"/>
  <c r="Q9" i="135" s="1"/>
  <c r="N11" i="135"/>
  <c r="N9" i="135" s="1"/>
  <c r="L21" i="135"/>
  <c r="L11" i="135" s="1"/>
  <c r="L9" i="135" s="1"/>
  <c r="M21" i="135"/>
  <c r="M11" i="135" s="1"/>
  <c r="M9" i="135" s="1"/>
  <c r="Q34" i="134"/>
  <c r="Q21" i="134" s="1"/>
  <c r="Q11" i="134" s="1"/>
  <c r="Q9" i="134" s="1"/>
  <c r="L34" i="134"/>
  <c r="L21" i="134" s="1"/>
  <c r="L11" i="134" s="1"/>
  <c r="L9" i="134" s="1"/>
  <c r="K34" i="134"/>
  <c r="K21" i="134" s="1"/>
  <c r="K11" i="134" s="1"/>
  <c r="K9" i="134" s="1"/>
  <c r="P34" i="134"/>
  <c r="P21" i="134" s="1"/>
  <c r="P11" i="134" s="1"/>
  <c r="P9" i="134" s="1"/>
  <c r="I34" i="134"/>
  <c r="M34" i="134"/>
  <c r="M21" i="134" s="1"/>
  <c r="M11" i="134" s="1"/>
  <c r="M9" i="134" s="1"/>
  <c r="N34" i="134"/>
  <c r="N21" i="134" s="1"/>
  <c r="N11" i="134" s="1"/>
  <c r="N9" i="134" s="1"/>
  <c r="J34" i="134"/>
  <c r="J21" i="134" s="1"/>
  <c r="J11" i="134" s="1"/>
  <c r="J9" i="134" s="1"/>
  <c r="O34" i="134"/>
  <c r="O21" i="134" s="1"/>
  <c r="O11" i="134" s="1"/>
  <c r="O9" i="134" s="1"/>
  <c r="R34" i="134"/>
  <c r="R21" i="134" s="1"/>
  <c r="R11" i="134" s="1"/>
  <c r="R9" i="134" s="1"/>
  <c r="H61" i="134"/>
  <c r="H56" i="134"/>
  <c r="H53" i="134"/>
  <c r="H44" i="134"/>
  <c r="H22" i="134"/>
  <c r="H13" i="134"/>
  <c r="G35" i="134"/>
  <c r="I21" i="134" l="1"/>
  <c r="H34" i="134"/>
  <c r="G61" i="134"/>
  <c r="G56" i="134"/>
  <c r="G53" i="134"/>
  <c r="G44" i="134"/>
  <c r="G22" i="134"/>
  <c r="G13" i="134"/>
  <c r="R61" i="133"/>
  <c r="R56" i="133"/>
  <c r="R44" i="133"/>
  <c r="R35" i="133"/>
  <c r="R22" i="133"/>
  <c r="R13" i="133"/>
  <c r="Q61" i="133"/>
  <c r="P61" i="133"/>
  <c r="O61" i="133"/>
  <c r="N61" i="133"/>
  <c r="M61" i="133"/>
  <c r="L61" i="133"/>
  <c r="K61" i="133"/>
  <c r="J61" i="133"/>
  <c r="I61" i="133"/>
  <c r="H61" i="133"/>
  <c r="G61" i="133"/>
  <c r="Q53" i="133"/>
  <c r="Q35" i="133"/>
  <c r="Q56" i="133"/>
  <c r="Q44" i="133"/>
  <c r="Q22" i="133"/>
  <c r="Q13" i="133"/>
  <c r="P13" i="133"/>
  <c r="P22" i="133"/>
  <c r="P35" i="133"/>
  <c r="P44" i="133"/>
  <c r="P53" i="133"/>
  <c r="P56" i="133"/>
  <c r="O13" i="133"/>
  <c r="O22" i="133"/>
  <c r="O35" i="133"/>
  <c r="O44" i="133"/>
  <c r="O53" i="133"/>
  <c r="O56" i="133"/>
  <c r="N13" i="133"/>
  <c r="N22" i="133"/>
  <c r="N35" i="133"/>
  <c r="N44" i="133"/>
  <c r="N53" i="133"/>
  <c r="N56" i="133"/>
  <c r="M22" i="133"/>
  <c r="M44" i="133"/>
  <c r="M35" i="133"/>
  <c r="M13" i="133"/>
  <c r="M53" i="133"/>
  <c r="M56" i="133"/>
  <c r="L13" i="133"/>
  <c r="L22" i="133"/>
  <c r="L35" i="133"/>
  <c r="L44" i="133"/>
  <c r="L53" i="133"/>
  <c r="L56" i="133"/>
  <c r="K13" i="133"/>
  <c r="K22" i="133"/>
  <c r="K35" i="133"/>
  <c r="K44" i="133"/>
  <c r="K53" i="133"/>
  <c r="K56" i="133"/>
  <c r="Q23" i="106"/>
  <c r="G12" i="121"/>
  <c r="H22" i="121"/>
  <c r="I22" i="121"/>
  <c r="J22" i="121"/>
  <c r="K22" i="121"/>
  <c r="L22" i="121"/>
  <c r="M22" i="121"/>
  <c r="N22" i="121"/>
  <c r="O22" i="121"/>
  <c r="P22" i="121"/>
  <c r="Q22" i="121"/>
  <c r="R22" i="121"/>
  <c r="G22" i="121"/>
  <c r="H32" i="121"/>
  <c r="I32" i="121"/>
  <c r="J32" i="121"/>
  <c r="K32" i="121"/>
  <c r="L32" i="121"/>
  <c r="M32" i="121"/>
  <c r="N32" i="121"/>
  <c r="O32" i="121"/>
  <c r="P32" i="121"/>
  <c r="Q32" i="121"/>
  <c r="R32" i="121"/>
  <c r="G32" i="121"/>
  <c r="G41" i="121"/>
  <c r="H41" i="121"/>
  <c r="I41" i="121"/>
  <c r="J41" i="121"/>
  <c r="K41" i="121"/>
  <c r="L41" i="121"/>
  <c r="M41" i="121"/>
  <c r="N41" i="121"/>
  <c r="O41" i="121"/>
  <c r="P41" i="121"/>
  <c r="Q41" i="121"/>
  <c r="R41" i="121"/>
  <c r="Q34" i="133" l="1"/>
  <c r="Q21" i="133" s="1"/>
  <c r="Q11" i="133" s="1"/>
  <c r="Q9" i="133" s="1"/>
  <c r="I11" i="134"/>
  <c r="H21" i="134"/>
  <c r="G34" i="134"/>
  <c r="G21" i="134" s="1"/>
  <c r="G11" i="134" s="1"/>
  <c r="R34" i="133"/>
  <c r="R21" i="133" s="1"/>
  <c r="R11" i="133" s="1"/>
  <c r="R9" i="133" s="1"/>
  <c r="M34" i="133"/>
  <c r="M21" i="133" s="1"/>
  <c r="M11" i="133" s="1"/>
  <c r="M9" i="133" s="1"/>
  <c r="P34" i="133"/>
  <c r="P21" i="133" s="1"/>
  <c r="P11" i="133" s="1"/>
  <c r="P9" i="133" s="1"/>
  <c r="O34" i="133"/>
  <c r="O21" i="133" s="1"/>
  <c r="O11" i="133" s="1"/>
  <c r="O9" i="133" s="1"/>
  <c r="N34" i="133"/>
  <c r="N21" i="133" s="1"/>
  <c r="N11" i="133" s="1"/>
  <c r="N9" i="133" s="1"/>
  <c r="L34" i="133"/>
  <c r="L21" i="133" s="1"/>
  <c r="L11" i="133" s="1"/>
  <c r="L9" i="133" s="1"/>
  <c r="K34" i="133"/>
  <c r="K21" i="133" s="1"/>
  <c r="K11" i="133" s="1"/>
  <c r="K9" i="133" s="1"/>
  <c r="I9" i="134" l="1"/>
  <c r="H11" i="134"/>
  <c r="G9" i="134"/>
  <c r="J44" i="133"/>
  <c r="J13" i="133"/>
  <c r="J22" i="133"/>
  <c r="J35" i="133"/>
  <c r="J53" i="133"/>
  <c r="J56" i="133"/>
  <c r="I13" i="133"/>
  <c r="I22" i="133"/>
  <c r="I35" i="133"/>
  <c r="I44" i="133"/>
  <c r="I53" i="133"/>
  <c r="I56" i="133"/>
  <c r="H13" i="133"/>
  <c r="H22" i="133"/>
  <c r="H35" i="133"/>
  <c r="H44" i="133"/>
  <c r="H53" i="133"/>
  <c r="H56" i="133"/>
  <c r="G56" i="133"/>
  <c r="G53" i="133"/>
  <c r="G44" i="133"/>
  <c r="G35" i="133"/>
  <c r="G22" i="133"/>
  <c r="G13" i="133"/>
  <c r="F69" i="83"/>
  <c r="H69" i="83"/>
  <c r="G69" i="83"/>
  <c r="G65" i="83"/>
  <c r="H65" i="83"/>
  <c r="I65" i="83"/>
  <c r="J65" i="83"/>
  <c r="J63" i="83" s="1"/>
  <c r="K65" i="83"/>
  <c r="K63" i="83" s="1"/>
  <c r="L65" i="83"/>
  <c r="L63" i="83" s="1"/>
  <c r="M65" i="83"/>
  <c r="M63" i="83" s="1"/>
  <c r="N65" i="83"/>
  <c r="O65" i="83"/>
  <c r="O63" i="83" s="1"/>
  <c r="P65" i="83"/>
  <c r="Q65" i="83"/>
  <c r="F65" i="83"/>
  <c r="I63" i="83"/>
  <c r="N63" i="83"/>
  <c r="P63" i="83"/>
  <c r="Q63" i="83"/>
  <c r="G47" i="83"/>
  <c r="H47" i="83"/>
  <c r="I47" i="83"/>
  <c r="J47" i="83"/>
  <c r="K47" i="83"/>
  <c r="L47" i="83"/>
  <c r="M47" i="83"/>
  <c r="N47" i="83"/>
  <c r="O47" i="83"/>
  <c r="P47" i="83"/>
  <c r="Q47" i="83"/>
  <c r="F47" i="83"/>
  <c r="G30" i="81"/>
  <c r="H30" i="81"/>
  <c r="I30" i="81"/>
  <c r="J30" i="81"/>
  <c r="K30" i="81"/>
  <c r="L30" i="81"/>
  <c r="M30" i="81"/>
  <c r="N30" i="81"/>
  <c r="O30" i="81"/>
  <c r="P30" i="81"/>
  <c r="Q30" i="81"/>
  <c r="F30" i="81"/>
  <c r="F29" i="81" s="1"/>
  <c r="G35" i="81"/>
  <c r="H35" i="81"/>
  <c r="I35" i="81"/>
  <c r="J35" i="81"/>
  <c r="K35" i="81"/>
  <c r="L35" i="81"/>
  <c r="M35" i="81"/>
  <c r="N35" i="81"/>
  <c r="O35" i="81"/>
  <c r="P35" i="81"/>
  <c r="Q35" i="81"/>
  <c r="F35" i="81"/>
  <c r="G78" i="80"/>
  <c r="H78" i="80"/>
  <c r="I78" i="80"/>
  <c r="J78" i="80"/>
  <c r="K78" i="80"/>
  <c r="L78" i="80"/>
  <c r="M78" i="80"/>
  <c r="N78" i="80"/>
  <c r="O78" i="80"/>
  <c r="P78" i="80"/>
  <c r="Q78" i="80"/>
  <c r="F78" i="80"/>
  <c r="G55" i="128"/>
  <c r="H55" i="128"/>
  <c r="I55" i="128"/>
  <c r="J55" i="128"/>
  <c r="K55" i="128"/>
  <c r="L55" i="128"/>
  <c r="N55" i="128"/>
  <c r="O55" i="128"/>
  <c r="P55" i="128"/>
  <c r="Q55" i="128"/>
  <c r="F55" i="128"/>
  <c r="F53" i="126"/>
  <c r="Q26" i="122"/>
  <c r="P26" i="122"/>
  <c r="O26" i="122"/>
  <c r="N26" i="122"/>
  <c r="M26" i="122"/>
  <c r="L26" i="122"/>
  <c r="K26" i="122"/>
  <c r="J26" i="122"/>
  <c r="I26" i="122"/>
  <c r="H26" i="122"/>
  <c r="G26" i="122"/>
  <c r="F26" i="122"/>
  <c r="F17" i="122"/>
  <c r="R13" i="132"/>
  <c r="R22" i="132"/>
  <c r="R33" i="132"/>
  <c r="R42" i="132"/>
  <c r="R51" i="132"/>
  <c r="R54" i="132"/>
  <c r="P13" i="132"/>
  <c r="Q13" i="132"/>
  <c r="P22" i="132"/>
  <c r="Q22" i="132"/>
  <c r="P33" i="132"/>
  <c r="Q33" i="132"/>
  <c r="P42" i="132"/>
  <c r="Q42" i="132"/>
  <c r="P51" i="132"/>
  <c r="Q51" i="132"/>
  <c r="P54" i="132"/>
  <c r="Q54" i="132"/>
  <c r="N13" i="132"/>
  <c r="O13" i="132"/>
  <c r="O22" i="132"/>
  <c r="O33" i="132"/>
  <c r="O42" i="132"/>
  <c r="O32" i="132" s="1"/>
  <c r="O54" i="132"/>
  <c r="H13" i="132"/>
  <c r="I13" i="132"/>
  <c r="J13" i="132"/>
  <c r="K13" i="132"/>
  <c r="L13" i="132"/>
  <c r="M13" i="132"/>
  <c r="G13" i="132"/>
  <c r="O51" i="132"/>
  <c r="G57" i="86"/>
  <c r="H57" i="86"/>
  <c r="I57" i="86"/>
  <c r="J57" i="86"/>
  <c r="K57" i="86"/>
  <c r="L57" i="86"/>
  <c r="M57" i="86"/>
  <c r="N57" i="86"/>
  <c r="O57" i="86"/>
  <c r="P57" i="86"/>
  <c r="Q57" i="86"/>
  <c r="F57" i="86"/>
  <c r="O40" i="86"/>
  <c r="O28" i="86" s="1"/>
  <c r="G49" i="86"/>
  <c r="H49" i="86"/>
  <c r="I49" i="86"/>
  <c r="J49" i="86"/>
  <c r="K49" i="86"/>
  <c r="L49" i="86"/>
  <c r="M49" i="86"/>
  <c r="N49" i="86"/>
  <c r="O49" i="86"/>
  <c r="P49" i="86"/>
  <c r="Q49" i="86"/>
  <c r="F49" i="86"/>
  <c r="G45" i="86"/>
  <c r="G40" i="86" s="1"/>
  <c r="G28" i="86" s="1"/>
  <c r="H45" i="86"/>
  <c r="H40" i="86" s="1"/>
  <c r="H28" i="86" s="1"/>
  <c r="I45" i="86"/>
  <c r="I40" i="86" s="1"/>
  <c r="I28" i="86" s="1"/>
  <c r="J45" i="86"/>
  <c r="K45" i="86"/>
  <c r="L45" i="86"/>
  <c r="M45" i="86"/>
  <c r="N45" i="86"/>
  <c r="O45" i="86"/>
  <c r="P45" i="86"/>
  <c r="P40" i="86" s="1"/>
  <c r="P28" i="86" s="1"/>
  <c r="Q45" i="86"/>
  <c r="Q40" i="86" s="1"/>
  <c r="Q28" i="86" s="1"/>
  <c r="F45" i="86"/>
  <c r="G41" i="86"/>
  <c r="H41" i="86"/>
  <c r="I41" i="86"/>
  <c r="J41" i="86"/>
  <c r="J40" i="86" s="1"/>
  <c r="J28" i="86" s="1"/>
  <c r="K41" i="86"/>
  <c r="K40" i="86" s="1"/>
  <c r="K28" i="86" s="1"/>
  <c r="L41" i="86"/>
  <c r="L40" i="86" s="1"/>
  <c r="L28" i="86" s="1"/>
  <c r="M41" i="86"/>
  <c r="M40" i="86" s="1"/>
  <c r="M28" i="86" s="1"/>
  <c r="N41" i="86"/>
  <c r="N40" i="86" s="1"/>
  <c r="N28" i="86" s="1"/>
  <c r="O41" i="86"/>
  <c r="P41" i="86"/>
  <c r="Q41" i="86"/>
  <c r="F41" i="86"/>
  <c r="F40" i="86" s="1"/>
  <c r="F28" i="86" s="1"/>
  <c r="G34" i="86"/>
  <c r="H34" i="86"/>
  <c r="I34" i="86"/>
  <c r="J34" i="86"/>
  <c r="K34" i="86"/>
  <c r="L34" i="86"/>
  <c r="M34" i="86"/>
  <c r="N34" i="86"/>
  <c r="O34" i="86"/>
  <c r="P34" i="86"/>
  <c r="Q34" i="86"/>
  <c r="F34" i="86"/>
  <c r="G30" i="86"/>
  <c r="H30" i="86"/>
  <c r="I30" i="86"/>
  <c r="J30" i="86"/>
  <c r="K30" i="86"/>
  <c r="L30" i="86"/>
  <c r="M30" i="86"/>
  <c r="N30" i="86"/>
  <c r="O30" i="86"/>
  <c r="P30" i="86"/>
  <c r="Q30" i="86"/>
  <c r="F30" i="86"/>
  <c r="G18" i="86"/>
  <c r="H18" i="86"/>
  <c r="I18" i="86"/>
  <c r="J18" i="86"/>
  <c r="K18" i="86"/>
  <c r="L18" i="86"/>
  <c r="M18" i="86"/>
  <c r="N18" i="86"/>
  <c r="O18" i="86"/>
  <c r="P18" i="86"/>
  <c r="Q18" i="86"/>
  <c r="F18" i="86"/>
  <c r="G12" i="86"/>
  <c r="G11" i="86" s="1"/>
  <c r="H12" i="86"/>
  <c r="H11" i="86" s="1"/>
  <c r="I12" i="86"/>
  <c r="I11" i="86" s="1"/>
  <c r="J12" i="86"/>
  <c r="J11" i="86" s="1"/>
  <c r="K12" i="86"/>
  <c r="L12" i="86"/>
  <c r="M12" i="86"/>
  <c r="N12" i="86"/>
  <c r="N11" i="86" s="1"/>
  <c r="O12" i="86"/>
  <c r="O11" i="86" s="1"/>
  <c r="P12" i="86"/>
  <c r="P11" i="86" s="1"/>
  <c r="Q12" i="86"/>
  <c r="Q11" i="86" s="1"/>
  <c r="F12" i="86"/>
  <c r="F11" i="86" s="1"/>
  <c r="G8" i="86"/>
  <c r="H8" i="86"/>
  <c r="I8" i="86"/>
  <c r="J8" i="86"/>
  <c r="K8" i="86"/>
  <c r="L8" i="86"/>
  <c r="M8" i="86"/>
  <c r="N8" i="86"/>
  <c r="O8" i="86"/>
  <c r="P8" i="86"/>
  <c r="Q8" i="86"/>
  <c r="F8" i="86"/>
  <c r="F12" i="91"/>
  <c r="F19" i="91"/>
  <c r="F13" i="91"/>
  <c r="F30" i="91"/>
  <c r="H13" i="94"/>
  <c r="I13" i="94"/>
  <c r="J13" i="94"/>
  <c r="K13" i="94"/>
  <c r="K11" i="94" s="1"/>
  <c r="K9" i="94" s="1"/>
  <c r="L13" i="94"/>
  <c r="L11" i="94" s="1"/>
  <c r="L9" i="94" s="1"/>
  <c r="M13" i="94"/>
  <c r="M11" i="94" s="1"/>
  <c r="M9" i="94" s="1"/>
  <c r="N13" i="94"/>
  <c r="O13" i="94"/>
  <c r="P13" i="94"/>
  <c r="Q13" i="94"/>
  <c r="R13" i="94"/>
  <c r="G13" i="94"/>
  <c r="G11" i="94" s="1"/>
  <c r="G9" i="94" s="1"/>
  <c r="P19" i="94"/>
  <c r="P11" i="94" s="1"/>
  <c r="P9" i="94" s="1"/>
  <c r="H21" i="94"/>
  <c r="I21" i="94"/>
  <c r="J21" i="94"/>
  <c r="K21" i="94"/>
  <c r="K19" i="94" s="1"/>
  <c r="L21" i="94"/>
  <c r="L19" i="94" s="1"/>
  <c r="M21" i="94"/>
  <c r="M19" i="94" s="1"/>
  <c r="N21" i="94"/>
  <c r="N19" i="94" s="1"/>
  <c r="O21" i="94"/>
  <c r="P21" i="94"/>
  <c r="Q21" i="94"/>
  <c r="R21" i="94"/>
  <c r="G21" i="94"/>
  <c r="G19" i="94" s="1"/>
  <c r="H32" i="94"/>
  <c r="H30" i="94" s="1"/>
  <c r="H19" i="94" s="1"/>
  <c r="H11" i="94" s="1"/>
  <c r="H9" i="94" s="1"/>
  <c r="I32" i="94"/>
  <c r="I30" i="94" s="1"/>
  <c r="I19" i="94" s="1"/>
  <c r="I11" i="94" s="1"/>
  <c r="I9" i="94" s="1"/>
  <c r="J32" i="94"/>
  <c r="J30" i="94" s="1"/>
  <c r="J19" i="94" s="1"/>
  <c r="J11" i="94" s="1"/>
  <c r="J9" i="94" s="1"/>
  <c r="K32" i="94"/>
  <c r="L32" i="94"/>
  <c r="L30" i="94" s="1"/>
  <c r="M32" i="94"/>
  <c r="M30" i="94" s="1"/>
  <c r="N32" i="94"/>
  <c r="N30" i="94" s="1"/>
  <c r="O32" i="94"/>
  <c r="O30" i="94" s="1"/>
  <c r="O19" i="94" s="1"/>
  <c r="O11" i="94" s="1"/>
  <c r="O9" i="94" s="1"/>
  <c r="P32" i="94"/>
  <c r="P30" i="94" s="1"/>
  <c r="Q32" i="94"/>
  <c r="Q30" i="94" s="1"/>
  <c r="Q19" i="94" s="1"/>
  <c r="Q11" i="94" s="1"/>
  <c r="Q9" i="94" s="1"/>
  <c r="R32" i="94"/>
  <c r="R30" i="94" s="1"/>
  <c r="R19" i="94" s="1"/>
  <c r="R11" i="94" s="1"/>
  <c r="R9" i="94" s="1"/>
  <c r="G32" i="94"/>
  <c r="G30" i="94" s="1"/>
  <c r="K30" i="94"/>
  <c r="H42" i="106"/>
  <c r="H32" i="106" s="1"/>
  <c r="I42" i="106"/>
  <c r="J42" i="106"/>
  <c r="J32" i="106" s="1"/>
  <c r="K42" i="106"/>
  <c r="L42" i="106"/>
  <c r="M42" i="106"/>
  <c r="N42" i="106"/>
  <c r="N32" i="106" s="1"/>
  <c r="O42" i="106"/>
  <c r="O32" i="106" s="1"/>
  <c r="P42" i="106"/>
  <c r="P32" i="106" s="1"/>
  <c r="P21" i="106" s="1"/>
  <c r="Q42" i="106"/>
  <c r="Q32" i="106" s="1"/>
  <c r="Q21" i="106" s="1"/>
  <c r="R42" i="106"/>
  <c r="R32" i="106" s="1"/>
  <c r="G42" i="106"/>
  <c r="I32" i="106"/>
  <c r="K32" i="106"/>
  <c r="L32" i="106"/>
  <c r="L21" i="106" s="1"/>
  <c r="M32" i="106"/>
  <c r="G32" i="106"/>
  <c r="H23" i="106"/>
  <c r="I23" i="106"/>
  <c r="J23" i="106"/>
  <c r="K23" i="106"/>
  <c r="L23" i="106"/>
  <c r="M23" i="106"/>
  <c r="N23" i="106"/>
  <c r="O23" i="106"/>
  <c r="P23" i="106"/>
  <c r="R23" i="106"/>
  <c r="G23" i="106"/>
  <c r="G21" i="106" s="1"/>
  <c r="L11" i="106"/>
  <c r="L9" i="106" s="1"/>
  <c r="H13" i="106"/>
  <c r="I13" i="106"/>
  <c r="J13" i="106"/>
  <c r="K13" i="106"/>
  <c r="L13" i="106"/>
  <c r="M13" i="106"/>
  <c r="N13" i="106"/>
  <c r="O13" i="106"/>
  <c r="P13" i="106"/>
  <c r="Q13" i="106"/>
  <c r="R13" i="106"/>
  <c r="G13" i="106"/>
  <c r="I21" i="118"/>
  <c r="I31" i="118"/>
  <c r="H41" i="118"/>
  <c r="I41" i="118"/>
  <c r="J41" i="118"/>
  <c r="K41" i="118"/>
  <c r="L41" i="118"/>
  <c r="M41" i="118"/>
  <c r="N41" i="118"/>
  <c r="O41" i="118"/>
  <c r="P41" i="118"/>
  <c r="Q41" i="118"/>
  <c r="R41" i="118"/>
  <c r="G41" i="118"/>
  <c r="H33" i="118"/>
  <c r="H31" i="118" s="1"/>
  <c r="I33" i="118"/>
  <c r="J33" i="118"/>
  <c r="J31" i="118" s="1"/>
  <c r="K33" i="118"/>
  <c r="K31" i="118" s="1"/>
  <c r="K21" i="118" s="1"/>
  <c r="K11" i="118" s="1"/>
  <c r="K9" i="118" s="1"/>
  <c r="L33" i="118"/>
  <c r="L31" i="118" s="1"/>
  <c r="M33" i="118"/>
  <c r="M31" i="118" s="1"/>
  <c r="M21" i="118" s="1"/>
  <c r="M11" i="118" s="1"/>
  <c r="M9" i="118" s="1"/>
  <c r="N33" i="118"/>
  <c r="N31" i="118" s="1"/>
  <c r="O33" i="118"/>
  <c r="O31" i="118" s="1"/>
  <c r="O21" i="118" s="1"/>
  <c r="P33" i="118"/>
  <c r="P31" i="118" s="1"/>
  <c r="Q33" i="118"/>
  <c r="Q31" i="118" s="1"/>
  <c r="Q21" i="118" s="1"/>
  <c r="R33" i="118"/>
  <c r="R31" i="118" s="1"/>
  <c r="R21" i="118" s="1"/>
  <c r="R11" i="118" s="1"/>
  <c r="R9" i="118" s="1"/>
  <c r="G33" i="118"/>
  <c r="G31" i="118" s="1"/>
  <c r="G21" i="118" s="1"/>
  <c r="G11" i="118" s="1"/>
  <c r="G9" i="118" s="1"/>
  <c r="H22" i="118"/>
  <c r="I22" i="118"/>
  <c r="J22" i="118"/>
  <c r="K22" i="118"/>
  <c r="L22" i="118"/>
  <c r="L21" i="118" s="1"/>
  <c r="L11" i="118" s="1"/>
  <c r="L9" i="118" s="1"/>
  <c r="M22" i="118"/>
  <c r="N22" i="118"/>
  <c r="O22" i="118"/>
  <c r="P22" i="118"/>
  <c r="Q22" i="118"/>
  <c r="R22" i="118"/>
  <c r="G22" i="118"/>
  <c r="H12" i="118"/>
  <c r="I12" i="118"/>
  <c r="I11" i="118" s="1"/>
  <c r="I9" i="118" s="1"/>
  <c r="J12" i="118"/>
  <c r="K12" i="118"/>
  <c r="L12" i="118"/>
  <c r="M12" i="118"/>
  <c r="N12" i="118"/>
  <c r="O12" i="118"/>
  <c r="P12" i="118"/>
  <c r="Q12" i="118"/>
  <c r="Q11" i="118" s="1"/>
  <c r="Q9" i="118" s="1"/>
  <c r="R12" i="118"/>
  <c r="G12" i="118"/>
  <c r="Q47" i="89"/>
  <c r="F47" i="89"/>
  <c r="G8" i="89"/>
  <c r="H8" i="89"/>
  <c r="I8" i="89"/>
  <c r="J8" i="89"/>
  <c r="K8" i="89"/>
  <c r="L8" i="89"/>
  <c r="M8" i="89"/>
  <c r="N8" i="89"/>
  <c r="O8" i="89"/>
  <c r="P8" i="89"/>
  <c r="Q8" i="89"/>
  <c r="F8" i="89"/>
  <c r="F33" i="89"/>
  <c r="G47" i="89"/>
  <c r="H47" i="89"/>
  <c r="I47" i="89"/>
  <c r="J47" i="89"/>
  <c r="K47" i="89"/>
  <c r="L47" i="89"/>
  <c r="M47" i="89"/>
  <c r="N47" i="89"/>
  <c r="O47" i="89"/>
  <c r="P47" i="89"/>
  <c r="G43" i="89"/>
  <c r="H43" i="89"/>
  <c r="I43" i="89"/>
  <c r="J43" i="89"/>
  <c r="K43" i="89"/>
  <c r="L43" i="89"/>
  <c r="M43" i="89"/>
  <c r="N43" i="89"/>
  <c r="O43" i="89"/>
  <c r="P43" i="89"/>
  <c r="Q43" i="89"/>
  <c r="F43" i="89"/>
  <c r="G40" i="89"/>
  <c r="H40" i="89"/>
  <c r="I40" i="89"/>
  <c r="J40" i="89"/>
  <c r="K40" i="89"/>
  <c r="L40" i="89"/>
  <c r="M40" i="89"/>
  <c r="M39" i="89" s="1"/>
  <c r="N40" i="89"/>
  <c r="O40" i="89"/>
  <c r="P40" i="89"/>
  <c r="Q40" i="89"/>
  <c r="F40" i="89"/>
  <c r="F39" i="89" s="1"/>
  <c r="G33" i="89"/>
  <c r="H33" i="89"/>
  <c r="I33" i="89"/>
  <c r="J33" i="89"/>
  <c r="K33" i="89"/>
  <c r="L33" i="89"/>
  <c r="M33" i="89"/>
  <c r="N33" i="89"/>
  <c r="O33" i="89"/>
  <c r="P33" i="89"/>
  <c r="Q33" i="89"/>
  <c r="G29" i="89"/>
  <c r="H29" i="89"/>
  <c r="H28" i="89" s="1"/>
  <c r="I29" i="89"/>
  <c r="J29" i="89"/>
  <c r="K29" i="89"/>
  <c r="L29" i="89"/>
  <c r="M29" i="89"/>
  <c r="N29" i="89"/>
  <c r="O29" i="89"/>
  <c r="P29" i="89"/>
  <c r="Q29" i="89"/>
  <c r="F29" i="89"/>
  <c r="G18" i="89"/>
  <c r="H18" i="89"/>
  <c r="I18" i="89"/>
  <c r="J18" i="89"/>
  <c r="K18" i="89"/>
  <c r="L18" i="89"/>
  <c r="M18" i="89"/>
  <c r="N18" i="89"/>
  <c r="O18" i="89"/>
  <c r="P18" i="89"/>
  <c r="Q18" i="89"/>
  <c r="F18" i="89"/>
  <c r="G12" i="89"/>
  <c r="H12" i="89"/>
  <c r="I12" i="89"/>
  <c r="J12" i="89"/>
  <c r="K12" i="89"/>
  <c r="L12" i="89"/>
  <c r="M12" i="89"/>
  <c r="N12" i="89"/>
  <c r="O12" i="89"/>
  <c r="P12" i="89"/>
  <c r="P11" i="89" s="1"/>
  <c r="Q12" i="89"/>
  <c r="F12" i="89"/>
  <c r="F37" i="124"/>
  <c r="F16" i="124"/>
  <c r="G11" i="124"/>
  <c r="H11" i="124"/>
  <c r="F10" i="123"/>
  <c r="F17" i="123"/>
  <c r="G34" i="123"/>
  <c r="H34" i="123"/>
  <c r="I34" i="123"/>
  <c r="J34" i="123"/>
  <c r="K34" i="123"/>
  <c r="L34" i="123"/>
  <c r="M34" i="123"/>
  <c r="N34" i="123"/>
  <c r="O34" i="123"/>
  <c r="P34" i="123"/>
  <c r="Q34" i="123"/>
  <c r="F34" i="123"/>
  <c r="G27" i="123"/>
  <c r="H27" i="123"/>
  <c r="I27" i="123"/>
  <c r="J27" i="123"/>
  <c r="K27" i="123"/>
  <c r="L27" i="123"/>
  <c r="M27" i="123"/>
  <c r="N27" i="123"/>
  <c r="O27" i="123"/>
  <c r="P27" i="123"/>
  <c r="Q27" i="123"/>
  <c r="F27" i="123"/>
  <c r="G17" i="123"/>
  <c r="H17" i="123"/>
  <c r="J17" i="123"/>
  <c r="K17" i="123"/>
  <c r="L17" i="123"/>
  <c r="M17" i="123"/>
  <c r="N17" i="123"/>
  <c r="O17" i="123"/>
  <c r="P17" i="123"/>
  <c r="Q17" i="123"/>
  <c r="G11" i="123"/>
  <c r="H11" i="123"/>
  <c r="F11" i="123"/>
  <c r="G17" i="122"/>
  <c r="H17" i="122"/>
  <c r="I17" i="122"/>
  <c r="J17" i="122"/>
  <c r="K17" i="122"/>
  <c r="L17" i="122"/>
  <c r="M17" i="122"/>
  <c r="N17" i="122"/>
  <c r="O17" i="122"/>
  <c r="P17" i="122"/>
  <c r="Q17" i="122"/>
  <c r="G11" i="122"/>
  <c r="H11" i="122"/>
  <c r="I11" i="122"/>
  <c r="J11" i="122"/>
  <c r="K11" i="122"/>
  <c r="L11" i="122"/>
  <c r="M11" i="122"/>
  <c r="N11" i="122"/>
  <c r="O11" i="122"/>
  <c r="P11" i="122"/>
  <c r="Q11" i="122"/>
  <c r="F11" i="122"/>
  <c r="G33" i="132"/>
  <c r="G22" i="132"/>
  <c r="G42" i="132"/>
  <c r="F41" i="91"/>
  <c r="G51" i="91"/>
  <c r="H51" i="91"/>
  <c r="I51" i="91"/>
  <c r="J51" i="91"/>
  <c r="K51" i="91"/>
  <c r="L51" i="91"/>
  <c r="M51" i="91"/>
  <c r="N51" i="91"/>
  <c r="O51" i="91"/>
  <c r="P51" i="91"/>
  <c r="Q51" i="91"/>
  <c r="F51" i="91"/>
  <c r="G30" i="91"/>
  <c r="H30" i="91"/>
  <c r="I30" i="91"/>
  <c r="J30" i="91"/>
  <c r="K30" i="91"/>
  <c r="L30" i="91"/>
  <c r="M30" i="91"/>
  <c r="N30" i="91"/>
  <c r="O30" i="91"/>
  <c r="P30" i="91"/>
  <c r="Q30" i="91"/>
  <c r="G34" i="91"/>
  <c r="H34" i="91"/>
  <c r="I34" i="91"/>
  <c r="J34" i="91"/>
  <c r="K34" i="91"/>
  <c r="L34" i="91"/>
  <c r="M34" i="91"/>
  <c r="N34" i="91"/>
  <c r="O34" i="91"/>
  <c r="P34" i="91"/>
  <c r="Q34" i="91"/>
  <c r="F34" i="91"/>
  <c r="G41" i="91"/>
  <c r="H41" i="91"/>
  <c r="I41" i="91"/>
  <c r="J41" i="91"/>
  <c r="K41" i="91"/>
  <c r="L41" i="91"/>
  <c r="M41" i="91"/>
  <c r="N41" i="91"/>
  <c r="O41" i="91"/>
  <c r="P41" i="91"/>
  <c r="Q41" i="91"/>
  <c r="G19" i="91"/>
  <c r="H19" i="91"/>
  <c r="I19" i="91"/>
  <c r="J19" i="91"/>
  <c r="K19" i="91"/>
  <c r="L19" i="91"/>
  <c r="M19" i="91"/>
  <c r="N19" i="91"/>
  <c r="O19" i="91"/>
  <c r="P19" i="91"/>
  <c r="Q19" i="91"/>
  <c r="G13" i="91"/>
  <c r="H13" i="91"/>
  <c r="I13" i="91"/>
  <c r="J13" i="91"/>
  <c r="K13" i="91"/>
  <c r="L13" i="91"/>
  <c r="M13" i="91"/>
  <c r="N13" i="91"/>
  <c r="O13" i="91"/>
  <c r="P13" i="91"/>
  <c r="Q13" i="91"/>
  <c r="N21" i="118" l="1"/>
  <c r="N11" i="118" s="1"/>
  <c r="N9" i="118" s="1"/>
  <c r="P11" i="118"/>
  <c r="P9" i="118" s="1"/>
  <c r="N11" i="94"/>
  <c r="N9" i="94" s="1"/>
  <c r="H11" i="106"/>
  <c r="H9" i="106" s="1"/>
  <c r="O11" i="118"/>
  <c r="O9" i="118" s="1"/>
  <c r="P21" i="118"/>
  <c r="H21" i="118"/>
  <c r="H11" i="118" s="1"/>
  <c r="H9" i="118" s="1"/>
  <c r="F11" i="89"/>
  <c r="G11" i="106"/>
  <c r="G9" i="106" s="1"/>
  <c r="R21" i="106"/>
  <c r="R11" i="106" s="1"/>
  <c r="R9" i="106" s="1"/>
  <c r="I21" i="106"/>
  <c r="H63" i="83"/>
  <c r="H21" i="106"/>
  <c r="I11" i="106"/>
  <c r="I9" i="106" s="1"/>
  <c r="O21" i="106"/>
  <c r="O11" i="106" s="1"/>
  <c r="O9" i="106" s="1"/>
  <c r="L39" i="89"/>
  <c r="N21" i="106"/>
  <c r="M11" i="86"/>
  <c r="K39" i="89"/>
  <c r="K21" i="106"/>
  <c r="K11" i="106" s="1"/>
  <c r="K9" i="106" s="1"/>
  <c r="L11" i="86"/>
  <c r="F63" i="83"/>
  <c r="K11" i="86"/>
  <c r="K29" i="81"/>
  <c r="H9" i="134"/>
  <c r="G34" i="133"/>
  <c r="G21" i="133" s="1"/>
  <c r="J21" i="106"/>
  <c r="J11" i="106" s="1"/>
  <c r="J9" i="106" s="1"/>
  <c r="M21" i="106"/>
  <c r="M11" i="106" s="1"/>
  <c r="M9" i="106" s="1"/>
  <c r="N11" i="106"/>
  <c r="N9" i="106" s="1"/>
  <c r="P11" i="106"/>
  <c r="P9" i="106" s="1"/>
  <c r="Q11" i="106"/>
  <c r="Q9" i="106" s="1"/>
  <c r="J21" i="118"/>
  <c r="J11" i="118" s="1"/>
  <c r="J9" i="118" s="1"/>
  <c r="I34" i="133"/>
  <c r="J34" i="133"/>
  <c r="J21" i="133" s="1"/>
  <c r="J11" i="133" s="1"/>
  <c r="J9" i="133" s="1"/>
  <c r="I21" i="133"/>
  <c r="I11" i="133" s="1"/>
  <c r="I9" i="133" s="1"/>
  <c r="H34" i="133"/>
  <c r="H21" i="133" s="1"/>
  <c r="H11" i="133" s="1"/>
  <c r="H9" i="133" s="1"/>
  <c r="G63" i="83"/>
  <c r="Q29" i="81"/>
  <c r="H29" i="81"/>
  <c r="G29" i="81"/>
  <c r="P29" i="81"/>
  <c r="O29" i="81"/>
  <c r="N29" i="81"/>
  <c r="M29" i="81"/>
  <c r="L29" i="81"/>
  <c r="J29" i="81"/>
  <c r="I29" i="81"/>
  <c r="R32" i="132"/>
  <c r="R21" i="132" s="1"/>
  <c r="R11" i="132" s="1"/>
  <c r="R9" i="132" s="1"/>
  <c r="F10" i="122"/>
  <c r="F9" i="122" s="1"/>
  <c r="F7" i="122" s="1"/>
  <c r="P32" i="132"/>
  <c r="P21" i="132" s="1"/>
  <c r="P11" i="132" s="1"/>
  <c r="P9" i="132" s="1"/>
  <c r="Q32" i="132"/>
  <c r="Q21" i="132" s="1"/>
  <c r="Q11" i="132" s="1"/>
  <c r="Q9" i="132" s="1"/>
  <c r="O21" i="132"/>
  <c r="Q29" i="91"/>
  <c r="Q28" i="91" s="1"/>
  <c r="M12" i="91"/>
  <c r="M11" i="91" s="1"/>
  <c r="M9" i="91" s="1"/>
  <c r="P29" i="91"/>
  <c r="P28" i="91" s="1"/>
  <c r="F29" i="91"/>
  <c r="F28" i="91" s="1"/>
  <c r="F11" i="91" s="1"/>
  <c r="F9" i="91" s="1"/>
  <c r="H39" i="89"/>
  <c r="H27" i="89" s="1"/>
  <c r="G39" i="89"/>
  <c r="I39" i="89"/>
  <c r="J28" i="89"/>
  <c r="J27" i="89" s="1"/>
  <c r="Q39" i="89"/>
  <c r="P39" i="89"/>
  <c r="O39" i="89"/>
  <c r="N39" i="89"/>
  <c r="J39" i="89"/>
  <c r="F28" i="89"/>
  <c r="F27" i="89" s="1"/>
  <c r="L28" i="89"/>
  <c r="L27" i="89" s="1"/>
  <c r="J11" i="89"/>
  <c r="I11" i="89"/>
  <c r="Q28" i="89"/>
  <c r="H11" i="89"/>
  <c r="P28" i="89"/>
  <c r="G11" i="89"/>
  <c r="O28" i="89"/>
  <c r="N28" i="89"/>
  <c r="N27" i="89" s="1"/>
  <c r="Q11" i="89"/>
  <c r="M28" i="89"/>
  <c r="M27" i="89" s="1"/>
  <c r="I28" i="89"/>
  <c r="K28" i="89"/>
  <c r="G28" i="89"/>
  <c r="N11" i="89"/>
  <c r="M11" i="89"/>
  <c r="O11" i="89"/>
  <c r="L11" i="89"/>
  <c r="K11" i="89"/>
  <c r="L29" i="91"/>
  <c r="L28" i="91" s="1"/>
  <c r="K29" i="91"/>
  <c r="K28" i="91" s="1"/>
  <c r="J29" i="91"/>
  <c r="J28" i="91" s="1"/>
  <c r="I29" i="91"/>
  <c r="I28" i="91" s="1"/>
  <c r="M29" i="91"/>
  <c r="M28" i="91" s="1"/>
  <c r="H29" i="91"/>
  <c r="H28" i="91" s="1"/>
  <c r="O29" i="91"/>
  <c r="O28" i="91" s="1"/>
  <c r="G29" i="91"/>
  <c r="G28" i="91" s="1"/>
  <c r="N29" i="91"/>
  <c r="N28" i="91" s="1"/>
  <c r="J12" i="91"/>
  <c r="J11" i="91" s="1"/>
  <c r="J9" i="91" s="1"/>
  <c r="K12" i="91"/>
  <c r="L12" i="91"/>
  <c r="N12" i="91"/>
  <c r="O12" i="91"/>
  <c r="Q12" i="91"/>
  <c r="P12" i="91"/>
  <c r="P11" i="91" s="1"/>
  <c r="P9" i="91" s="1"/>
  <c r="G12" i="91"/>
  <c r="I12" i="91"/>
  <c r="I11" i="91" s="1"/>
  <c r="I9" i="91" s="1"/>
  <c r="H12" i="91"/>
  <c r="K27" i="89" l="1"/>
  <c r="Q11" i="91"/>
  <c r="Q9" i="91" s="1"/>
  <c r="G11" i="91"/>
  <c r="G9" i="91" s="1"/>
  <c r="I27" i="89"/>
  <c r="Q27" i="89"/>
  <c r="O11" i="132"/>
  <c r="O9" i="132" s="1"/>
  <c r="O11" i="91"/>
  <c r="O9" i="91" s="1"/>
  <c r="O27" i="89"/>
  <c r="N11" i="91"/>
  <c r="N9" i="91" s="1"/>
  <c r="L11" i="91"/>
  <c r="L9" i="91" s="1"/>
  <c r="H11" i="91"/>
  <c r="H9" i="91" s="1"/>
  <c r="K11" i="91"/>
  <c r="K9" i="91" s="1"/>
  <c r="G27" i="89"/>
  <c r="P27" i="89"/>
  <c r="G11" i="133"/>
  <c r="G9" i="133" s="1"/>
  <c r="N22" i="132"/>
  <c r="N33" i="132"/>
  <c r="N42" i="132"/>
  <c r="N51" i="132"/>
  <c r="N54" i="132"/>
  <c r="M54" i="132"/>
  <c r="L54" i="132"/>
  <c r="K54" i="132"/>
  <c r="J54" i="132"/>
  <c r="I54" i="132"/>
  <c r="H54" i="132"/>
  <c r="G54" i="132"/>
  <c r="M51" i="132"/>
  <c r="L51" i="132"/>
  <c r="K51" i="132"/>
  <c r="J51" i="132"/>
  <c r="I51" i="132"/>
  <c r="H51" i="132"/>
  <c r="G51" i="132"/>
  <c r="M42" i="132"/>
  <c r="L42" i="132"/>
  <c r="K42" i="132"/>
  <c r="J42" i="132"/>
  <c r="I42" i="132"/>
  <c r="H42" i="132"/>
  <c r="M33" i="132"/>
  <c r="L33" i="132"/>
  <c r="K33" i="132"/>
  <c r="J33" i="132"/>
  <c r="I33" i="132"/>
  <c r="H33" i="132"/>
  <c r="M22" i="132"/>
  <c r="L22" i="132"/>
  <c r="K22" i="132"/>
  <c r="J22" i="132"/>
  <c r="I22" i="132"/>
  <c r="H22" i="132"/>
  <c r="G32" i="132" l="1"/>
  <c r="G21" i="132"/>
  <c r="G11" i="132" s="1"/>
  <c r="H32" i="132"/>
  <c r="I32" i="132"/>
  <c r="I21" i="132" s="1"/>
  <c r="I11" i="132" s="1"/>
  <c r="I9" i="132" s="1"/>
  <c r="J32" i="132"/>
  <c r="J21" i="132" s="1"/>
  <c r="J11" i="132" s="1"/>
  <c r="J9" i="132" s="1"/>
  <c r="K32" i="132"/>
  <c r="K21" i="132" s="1"/>
  <c r="K11" i="132" s="1"/>
  <c r="K9" i="132" s="1"/>
  <c r="L32" i="132"/>
  <c r="L21" i="132" s="1"/>
  <c r="L11" i="132" s="1"/>
  <c r="L9" i="132" s="1"/>
  <c r="M32" i="132"/>
  <c r="N32" i="132"/>
  <c r="N21" i="132" s="1"/>
  <c r="N11" i="132" s="1"/>
  <c r="N9" i="132" s="1"/>
  <c r="H21" i="132"/>
  <c r="H11" i="132" s="1"/>
  <c r="H9" i="132" s="1"/>
  <c r="M21" i="132"/>
  <c r="M11" i="132" s="1"/>
  <c r="M9" i="132" s="1"/>
  <c r="G9" i="132" l="1"/>
  <c r="H12" i="121"/>
  <c r="I12" i="121"/>
  <c r="H58" i="121" l="1"/>
  <c r="I58" i="121"/>
  <c r="J58" i="121"/>
  <c r="K58" i="121"/>
  <c r="L58" i="121"/>
  <c r="M58" i="121"/>
  <c r="N58" i="121"/>
  <c r="O58" i="121"/>
  <c r="P58" i="121"/>
  <c r="Q58" i="121"/>
  <c r="R58" i="121"/>
  <c r="G58" i="121"/>
  <c r="R12" i="121"/>
  <c r="R51" i="121"/>
  <c r="R31" i="121" s="1"/>
  <c r="R20" i="121" s="1"/>
  <c r="R54" i="121"/>
  <c r="R11" i="121" l="1"/>
  <c r="R9" i="121" s="1"/>
  <c r="Q12" i="121"/>
  <c r="Q51" i="121"/>
  <c r="Q54" i="121"/>
  <c r="Q31" i="121" l="1"/>
  <c r="Q20" i="121" s="1"/>
  <c r="Q11" i="121"/>
  <c r="Q9" i="121" s="1"/>
  <c r="H54" i="121"/>
  <c r="H31" i="121" s="1"/>
  <c r="H20" i="121" s="1"/>
  <c r="H11" i="121" s="1"/>
  <c r="H9" i="121" s="1"/>
  <c r="I54" i="121"/>
  <c r="I31" i="121" s="1"/>
  <c r="I20" i="121" s="1"/>
  <c r="I11" i="121" s="1"/>
  <c r="I9" i="121" s="1"/>
  <c r="J54" i="121"/>
  <c r="K54" i="121"/>
  <c r="L54" i="121"/>
  <c r="M54" i="121"/>
  <c r="N54" i="121"/>
  <c r="O54" i="121"/>
  <c r="G54" i="121"/>
  <c r="G31" i="121" s="1"/>
  <c r="G20" i="121" s="1"/>
  <c r="G11" i="121" s="1"/>
  <c r="G9" i="121" s="1"/>
  <c r="P54" i="121"/>
  <c r="P12" i="121"/>
  <c r="P51" i="121"/>
  <c r="P31" i="121" s="1"/>
  <c r="P20" i="121" s="1"/>
  <c r="P11" i="121" l="1"/>
  <c r="P9" i="121" s="1"/>
  <c r="O12" i="121"/>
  <c r="O51" i="121"/>
  <c r="O31" i="121" s="1"/>
  <c r="O20" i="121" s="1"/>
  <c r="O11" i="121" l="1"/>
  <c r="O9" i="121" s="1"/>
  <c r="N12" i="121"/>
  <c r="N51" i="121"/>
  <c r="N31" i="121" s="1"/>
  <c r="N20" i="121" s="1"/>
  <c r="N11" i="121" l="1"/>
  <c r="N9" i="121" s="1"/>
  <c r="M12" i="121"/>
  <c r="M51" i="121"/>
  <c r="M31" i="121" s="1"/>
  <c r="M20" i="121" s="1"/>
  <c r="M11" i="121" l="1"/>
  <c r="M9" i="121" s="1"/>
  <c r="L12" i="121"/>
  <c r="L51" i="121"/>
  <c r="L31" i="121" s="1"/>
  <c r="L20" i="121" s="1"/>
  <c r="L11" i="121" l="1"/>
  <c r="L9" i="121" s="1"/>
  <c r="K12" i="121"/>
  <c r="K51" i="121" l="1"/>
  <c r="K31" i="121" s="1"/>
  <c r="K20" i="121" s="1"/>
  <c r="K11" i="121" l="1"/>
  <c r="K9" i="121" s="1"/>
  <c r="J51" i="121"/>
  <c r="J31" i="121" s="1"/>
  <c r="J20" i="121" s="1"/>
  <c r="J12" i="121"/>
  <c r="J11" i="121" l="1"/>
  <c r="J9" i="121" s="1"/>
  <c r="Q53" i="130"/>
  <c r="P53" i="130"/>
  <c r="O53" i="130"/>
  <c r="N53" i="130"/>
  <c r="M53" i="130"/>
  <c r="L53" i="130"/>
  <c r="K53" i="130"/>
  <c r="J53" i="130"/>
  <c r="I53" i="130"/>
  <c r="H53" i="130"/>
  <c r="G53" i="130"/>
  <c r="F53" i="130"/>
  <c r="Q46" i="130"/>
  <c r="P46" i="130"/>
  <c r="O46" i="130"/>
  <c r="N46" i="130"/>
  <c r="M46" i="130"/>
  <c r="L46" i="130"/>
  <c r="K46" i="130"/>
  <c r="J46" i="130"/>
  <c r="I46" i="130"/>
  <c r="H46" i="130"/>
  <c r="G46" i="130"/>
  <c r="F46" i="130"/>
  <c r="Q41" i="130"/>
  <c r="P41" i="130"/>
  <c r="O41" i="130"/>
  <c r="N41" i="130"/>
  <c r="M41" i="130"/>
  <c r="L41" i="130"/>
  <c r="K41" i="130"/>
  <c r="J41" i="130"/>
  <c r="I41" i="130"/>
  <c r="H41" i="130"/>
  <c r="G41" i="130"/>
  <c r="F41" i="130"/>
  <c r="Q34" i="130"/>
  <c r="P34" i="130"/>
  <c r="N34" i="130"/>
  <c r="M34" i="130"/>
  <c r="L34" i="130"/>
  <c r="K34" i="130"/>
  <c r="J34" i="130"/>
  <c r="I34" i="130"/>
  <c r="H34" i="130"/>
  <c r="G34" i="130"/>
  <c r="F34" i="130"/>
  <c r="Q29" i="130"/>
  <c r="P29" i="130"/>
  <c r="O29" i="130"/>
  <c r="O28" i="130" s="1"/>
  <c r="N29" i="130"/>
  <c r="M29" i="130"/>
  <c r="M28" i="130" s="1"/>
  <c r="L29" i="130"/>
  <c r="L28" i="130" s="1"/>
  <c r="K29" i="130"/>
  <c r="K28" i="130" s="1"/>
  <c r="J29" i="130"/>
  <c r="J28" i="130" s="1"/>
  <c r="I29" i="130"/>
  <c r="H29" i="130"/>
  <c r="G29" i="130"/>
  <c r="F29" i="130"/>
  <c r="Q17" i="130"/>
  <c r="P17" i="130"/>
  <c r="O17" i="130"/>
  <c r="N17" i="130"/>
  <c r="M17" i="130"/>
  <c r="L17" i="130"/>
  <c r="K17" i="130"/>
  <c r="J17" i="130"/>
  <c r="I17" i="130"/>
  <c r="H17" i="130"/>
  <c r="G17" i="130"/>
  <c r="F17" i="130"/>
  <c r="Q11" i="130"/>
  <c r="P11" i="130"/>
  <c r="O11" i="130"/>
  <c r="N11" i="130"/>
  <c r="M11" i="130"/>
  <c r="L11" i="130"/>
  <c r="L10" i="130" s="1"/>
  <c r="K11" i="130"/>
  <c r="J11" i="130"/>
  <c r="I11" i="130"/>
  <c r="H11" i="130"/>
  <c r="G11" i="130"/>
  <c r="F11" i="130"/>
  <c r="Q57" i="129"/>
  <c r="P57" i="129"/>
  <c r="O57" i="129"/>
  <c r="N57" i="129"/>
  <c r="M57" i="129"/>
  <c r="L57" i="129"/>
  <c r="K57" i="129"/>
  <c r="J57" i="129"/>
  <c r="I57" i="129"/>
  <c r="H57" i="129"/>
  <c r="G57" i="129"/>
  <c r="F57" i="129"/>
  <c r="Q50" i="129"/>
  <c r="P50" i="129"/>
  <c r="O50" i="129"/>
  <c r="N50" i="129"/>
  <c r="M50" i="129"/>
  <c r="L50" i="129"/>
  <c r="K50" i="129"/>
  <c r="J50" i="129"/>
  <c r="I50" i="129"/>
  <c r="H50" i="129"/>
  <c r="G50" i="129"/>
  <c r="F50" i="129"/>
  <c r="Q45" i="129"/>
  <c r="P45" i="129"/>
  <c r="O45" i="129"/>
  <c r="N45" i="129"/>
  <c r="M45" i="129"/>
  <c r="L45" i="129"/>
  <c r="K45" i="129"/>
  <c r="J45" i="129"/>
  <c r="I45" i="129"/>
  <c r="H45" i="129"/>
  <c r="G45" i="129"/>
  <c r="F45" i="129"/>
  <c r="Q41" i="129"/>
  <c r="P41" i="129"/>
  <c r="O41" i="129"/>
  <c r="N41" i="129"/>
  <c r="M41" i="129"/>
  <c r="L41" i="129"/>
  <c r="K41" i="129"/>
  <c r="J41" i="129"/>
  <c r="I41" i="129"/>
  <c r="H41" i="129"/>
  <c r="G41" i="129"/>
  <c r="F41" i="129"/>
  <c r="Q34" i="129"/>
  <c r="P34" i="129"/>
  <c r="O34" i="129"/>
  <c r="N34" i="129"/>
  <c r="M34" i="129"/>
  <c r="L34" i="129"/>
  <c r="K34" i="129"/>
  <c r="J34" i="129"/>
  <c r="I34" i="129"/>
  <c r="H34" i="129"/>
  <c r="G34" i="129"/>
  <c r="F34" i="129"/>
  <c r="Q29" i="129"/>
  <c r="P29" i="129"/>
  <c r="O29" i="129"/>
  <c r="N29" i="129"/>
  <c r="M29" i="129"/>
  <c r="L29" i="129"/>
  <c r="K29" i="129"/>
  <c r="J29" i="129"/>
  <c r="I29" i="129"/>
  <c r="H29" i="129"/>
  <c r="G29" i="129"/>
  <c r="F29" i="129"/>
  <c r="Q17" i="129"/>
  <c r="P17" i="129"/>
  <c r="O17" i="129"/>
  <c r="N17" i="129"/>
  <c r="M17" i="129"/>
  <c r="L17" i="129"/>
  <c r="K17" i="129"/>
  <c r="J17" i="129"/>
  <c r="I17" i="129"/>
  <c r="H17" i="129"/>
  <c r="G17" i="129"/>
  <c r="F17" i="129"/>
  <c r="Q11" i="129"/>
  <c r="P11" i="129"/>
  <c r="O11" i="129"/>
  <c r="N11" i="129"/>
  <c r="M11" i="129"/>
  <c r="L11" i="129"/>
  <c r="K11" i="129"/>
  <c r="J11" i="129"/>
  <c r="I11" i="129"/>
  <c r="H11" i="129"/>
  <c r="G11" i="129"/>
  <c r="F11" i="129"/>
  <c r="K10" i="129"/>
  <c r="Q62" i="128"/>
  <c r="P62" i="128"/>
  <c r="O62" i="128"/>
  <c r="N62" i="128"/>
  <c r="M62" i="128"/>
  <c r="L62" i="128"/>
  <c r="K62" i="128"/>
  <c r="J62" i="128"/>
  <c r="I62" i="128"/>
  <c r="H62" i="128"/>
  <c r="G62" i="128"/>
  <c r="F62" i="128"/>
  <c r="M58" i="128"/>
  <c r="M55" i="128" s="1"/>
  <c r="Q50" i="128"/>
  <c r="P50" i="128"/>
  <c r="O50" i="128"/>
  <c r="N50" i="128"/>
  <c r="M50" i="128"/>
  <c r="L50" i="128"/>
  <c r="K50" i="128"/>
  <c r="J50" i="128"/>
  <c r="I50" i="128"/>
  <c r="H50" i="128"/>
  <c r="G50" i="128"/>
  <c r="F50" i="128"/>
  <c r="Q46" i="128"/>
  <c r="P46" i="128"/>
  <c r="O46" i="128"/>
  <c r="N46" i="128"/>
  <c r="M46" i="128"/>
  <c r="L46" i="128"/>
  <c r="K46" i="128"/>
  <c r="J46" i="128"/>
  <c r="I46" i="128"/>
  <c r="H46" i="128"/>
  <c r="G46" i="128"/>
  <c r="F46" i="128"/>
  <c r="Q40" i="128"/>
  <c r="P40" i="128"/>
  <c r="O40" i="128"/>
  <c r="N40" i="128"/>
  <c r="M40" i="128"/>
  <c r="L40" i="128"/>
  <c r="K40" i="128"/>
  <c r="J40" i="128"/>
  <c r="I40" i="128"/>
  <c r="H40" i="128"/>
  <c r="G40" i="128"/>
  <c r="F40" i="128"/>
  <c r="Q34" i="128"/>
  <c r="P34" i="128"/>
  <c r="O34" i="128"/>
  <c r="N34" i="128"/>
  <c r="M34" i="128"/>
  <c r="L34" i="128"/>
  <c r="K34" i="128"/>
  <c r="J34" i="128"/>
  <c r="I34" i="128"/>
  <c r="H34" i="128"/>
  <c r="G34" i="128"/>
  <c r="F34" i="128"/>
  <c r="Q29" i="128"/>
  <c r="P29" i="128"/>
  <c r="O29" i="128"/>
  <c r="N29" i="128"/>
  <c r="M29" i="128"/>
  <c r="L29" i="128"/>
  <c r="K29" i="128"/>
  <c r="J29" i="128"/>
  <c r="I29" i="128"/>
  <c r="H29" i="128"/>
  <c r="G29" i="128"/>
  <c r="F29" i="128"/>
  <c r="Q17" i="128"/>
  <c r="P17" i="128"/>
  <c r="O17" i="128"/>
  <c r="N17" i="128"/>
  <c r="M17" i="128"/>
  <c r="L17" i="128"/>
  <c r="K17" i="128"/>
  <c r="J17" i="128"/>
  <c r="I17" i="128"/>
  <c r="H17" i="128"/>
  <c r="H10" i="128" s="1"/>
  <c r="G17" i="128"/>
  <c r="F17" i="128"/>
  <c r="Q11" i="128"/>
  <c r="P11" i="128"/>
  <c r="O11" i="128"/>
  <c r="N11" i="128"/>
  <c r="N10" i="128" s="1"/>
  <c r="M11" i="128"/>
  <c r="M10" i="128" s="1"/>
  <c r="L11" i="128"/>
  <c r="L10" i="128" s="1"/>
  <c r="K11" i="128"/>
  <c r="J11" i="128"/>
  <c r="I11" i="128"/>
  <c r="H11" i="128"/>
  <c r="G11" i="128"/>
  <c r="F11" i="128"/>
  <c r="Q61" i="127"/>
  <c r="P61" i="127"/>
  <c r="O61" i="127"/>
  <c r="N61" i="127"/>
  <c r="M61" i="127"/>
  <c r="L61" i="127"/>
  <c r="K61" i="127"/>
  <c r="J61" i="127"/>
  <c r="I61" i="127"/>
  <c r="H61" i="127"/>
  <c r="G61" i="127"/>
  <c r="F61" i="127"/>
  <c r="Q57" i="127"/>
  <c r="P57" i="127"/>
  <c r="O57" i="127"/>
  <c r="N57" i="127"/>
  <c r="M57" i="127"/>
  <c r="L57" i="127"/>
  <c r="K57" i="127"/>
  <c r="J57" i="127"/>
  <c r="I57" i="127"/>
  <c r="H57" i="127"/>
  <c r="G57" i="127"/>
  <c r="F57" i="127"/>
  <c r="Q49" i="127"/>
  <c r="P49" i="127"/>
  <c r="O49" i="127"/>
  <c r="N49" i="127"/>
  <c r="M49" i="127"/>
  <c r="L49" i="127"/>
  <c r="K49" i="127"/>
  <c r="J49" i="127"/>
  <c r="I49" i="127"/>
  <c r="H49" i="127"/>
  <c r="G49" i="127"/>
  <c r="F49" i="127"/>
  <c r="Q43" i="127"/>
  <c r="P43" i="127"/>
  <c r="O43" i="127"/>
  <c r="N43" i="127"/>
  <c r="M43" i="127"/>
  <c r="L43" i="127"/>
  <c r="K43" i="127"/>
  <c r="J43" i="127"/>
  <c r="I43" i="127"/>
  <c r="H43" i="127"/>
  <c r="G43" i="127"/>
  <c r="F43" i="127"/>
  <c r="Q37" i="127"/>
  <c r="P37" i="127"/>
  <c r="O37" i="127"/>
  <c r="N37" i="127"/>
  <c r="M37" i="127"/>
  <c r="L37" i="127"/>
  <c r="K37" i="127"/>
  <c r="J37" i="127"/>
  <c r="I37" i="127"/>
  <c r="H37" i="127"/>
  <c r="G37" i="127"/>
  <c r="F37" i="127"/>
  <c r="Q29" i="127"/>
  <c r="P29" i="127"/>
  <c r="O29" i="127"/>
  <c r="N29" i="127"/>
  <c r="M29" i="127"/>
  <c r="L29" i="127"/>
  <c r="K29" i="127"/>
  <c r="J29" i="127"/>
  <c r="I29" i="127"/>
  <c r="H29" i="127"/>
  <c r="G29" i="127"/>
  <c r="G28" i="127" s="1"/>
  <c r="F29" i="127"/>
  <c r="F28" i="127" s="1"/>
  <c r="Q17" i="127"/>
  <c r="P17" i="127"/>
  <c r="O17" i="127"/>
  <c r="N17" i="127"/>
  <c r="M17" i="127"/>
  <c r="L17" i="127"/>
  <c r="K17" i="127"/>
  <c r="J17" i="127"/>
  <c r="I17" i="127"/>
  <c r="H17" i="127"/>
  <c r="G17" i="127"/>
  <c r="F17" i="127"/>
  <c r="J15" i="127"/>
  <c r="G15" i="127"/>
  <c r="J14" i="127"/>
  <c r="G14" i="127"/>
  <c r="J13" i="127"/>
  <c r="G13" i="127"/>
  <c r="Q11" i="127"/>
  <c r="P11" i="127"/>
  <c r="O11" i="127"/>
  <c r="N11" i="127"/>
  <c r="M11" i="127"/>
  <c r="L11" i="127"/>
  <c r="K11" i="127"/>
  <c r="I11" i="127"/>
  <c r="H11" i="127"/>
  <c r="F11" i="127"/>
  <c r="F10" i="127" s="1"/>
  <c r="Q63" i="126"/>
  <c r="P63" i="126"/>
  <c r="O63" i="126"/>
  <c r="N63" i="126"/>
  <c r="M63" i="126"/>
  <c r="L63" i="126"/>
  <c r="K63" i="126"/>
  <c r="J63" i="126"/>
  <c r="I63" i="126"/>
  <c r="H63" i="126"/>
  <c r="G63" i="126"/>
  <c r="F63" i="126"/>
  <c r="Q59" i="126"/>
  <c r="P59" i="126"/>
  <c r="O59" i="126"/>
  <c r="N59" i="126"/>
  <c r="M59" i="126"/>
  <c r="L59" i="126"/>
  <c r="K59" i="126"/>
  <c r="J59" i="126"/>
  <c r="I59" i="126"/>
  <c r="H59" i="126"/>
  <c r="G59" i="126"/>
  <c r="F59" i="126"/>
  <c r="Q53" i="126"/>
  <c r="P53" i="126"/>
  <c r="O53" i="126"/>
  <c r="N53" i="126"/>
  <c r="M53" i="126"/>
  <c r="L53" i="126"/>
  <c r="K53" i="126"/>
  <c r="J53" i="126"/>
  <c r="I53" i="126"/>
  <c r="H53" i="126"/>
  <c r="G53" i="126"/>
  <c r="Q46" i="126"/>
  <c r="P46" i="126"/>
  <c r="O46" i="126"/>
  <c r="N46" i="126"/>
  <c r="M46" i="126"/>
  <c r="L46" i="126"/>
  <c r="K46" i="126"/>
  <c r="J46" i="126"/>
  <c r="I46" i="126"/>
  <c r="H46" i="126"/>
  <c r="G46" i="126"/>
  <c r="F46" i="126"/>
  <c r="Q40" i="126"/>
  <c r="P40" i="126"/>
  <c r="O40" i="126"/>
  <c r="N40" i="126"/>
  <c r="M40" i="126"/>
  <c r="L40" i="126"/>
  <c r="K40" i="126"/>
  <c r="J40" i="126"/>
  <c r="I40" i="126"/>
  <c r="H40" i="126"/>
  <c r="G40" i="126"/>
  <c r="F40" i="126"/>
  <c r="Q30" i="126"/>
  <c r="P30" i="126"/>
  <c r="O30" i="126"/>
  <c r="N30" i="126"/>
  <c r="M30" i="126"/>
  <c r="L30" i="126"/>
  <c r="K30" i="126"/>
  <c r="J30" i="126"/>
  <c r="I30" i="126"/>
  <c r="H30" i="126"/>
  <c r="G30" i="126"/>
  <c r="F30" i="126"/>
  <c r="Q18" i="126"/>
  <c r="P18" i="126"/>
  <c r="O18" i="126"/>
  <c r="N18" i="126"/>
  <c r="M18" i="126"/>
  <c r="L18" i="126"/>
  <c r="K18" i="126"/>
  <c r="J18" i="126"/>
  <c r="I18" i="126"/>
  <c r="H18" i="126"/>
  <c r="G18" i="126"/>
  <c r="F18" i="126"/>
  <c r="M16" i="126"/>
  <c r="F16" i="126"/>
  <c r="M15" i="126"/>
  <c r="F15" i="126"/>
  <c r="M14" i="126"/>
  <c r="F14" i="126"/>
  <c r="Q11" i="126"/>
  <c r="Q10" i="126" s="1"/>
  <c r="P11" i="126"/>
  <c r="O11" i="126"/>
  <c r="N11" i="126"/>
  <c r="L11" i="126"/>
  <c r="L10" i="126" s="1"/>
  <c r="K11" i="126"/>
  <c r="J11" i="126"/>
  <c r="I11" i="126"/>
  <c r="H11" i="126"/>
  <c r="G11" i="126"/>
  <c r="Q63" i="125"/>
  <c r="P63" i="125"/>
  <c r="O63" i="125"/>
  <c r="M63" i="125"/>
  <c r="L63" i="125"/>
  <c r="K63" i="125"/>
  <c r="J63" i="125"/>
  <c r="I63" i="125"/>
  <c r="H63" i="125"/>
  <c r="G63" i="125"/>
  <c r="F63" i="125"/>
  <c r="Q60" i="125"/>
  <c r="P60" i="125"/>
  <c r="O60" i="125"/>
  <c r="N60" i="125"/>
  <c r="M60" i="125"/>
  <c r="L60" i="125"/>
  <c r="K60" i="125"/>
  <c r="J60" i="125"/>
  <c r="I60" i="125"/>
  <c r="H60" i="125"/>
  <c r="G60" i="125"/>
  <c r="F60" i="125"/>
  <c r="P53" i="125"/>
  <c r="O53" i="125"/>
  <c r="N53" i="125"/>
  <c r="M53" i="125"/>
  <c r="L53" i="125"/>
  <c r="K53" i="125"/>
  <c r="J53" i="125"/>
  <c r="I53" i="125"/>
  <c r="H53" i="125"/>
  <c r="G53" i="125"/>
  <c r="F53" i="125"/>
  <c r="Q45" i="125"/>
  <c r="P45" i="125"/>
  <c r="O45" i="125"/>
  <c r="N45" i="125"/>
  <c r="M45" i="125"/>
  <c r="L45" i="125"/>
  <c r="K45" i="125"/>
  <c r="J45" i="125"/>
  <c r="I45" i="125"/>
  <c r="H45" i="125"/>
  <c r="G45" i="125"/>
  <c r="F45" i="125"/>
  <c r="Q39" i="125"/>
  <c r="P39" i="125"/>
  <c r="O39" i="125"/>
  <c r="N39" i="125"/>
  <c r="L39" i="125"/>
  <c r="K39" i="125"/>
  <c r="J39" i="125"/>
  <c r="I39" i="125"/>
  <c r="H39" i="125"/>
  <c r="G39" i="125"/>
  <c r="F39" i="125"/>
  <c r="Q29" i="125"/>
  <c r="P29" i="125"/>
  <c r="O29" i="125"/>
  <c r="N29" i="125"/>
  <c r="M29" i="125"/>
  <c r="L29" i="125"/>
  <c r="K29" i="125"/>
  <c r="J29" i="125"/>
  <c r="I29" i="125"/>
  <c r="H29" i="125"/>
  <c r="G29" i="125"/>
  <c r="F29" i="125"/>
  <c r="M23" i="125"/>
  <c r="M17" i="125" s="1"/>
  <c r="Q17" i="125"/>
  <c r="P17" i="125"/>
  <c r="O17" i="125"/>
  <c r="N17" i="125"/>
  <c r="L17" i="125"/>
  <c r="K17" i="125"/>
  <c r="J17" i="125"/>
  <c r="I17" i="125"/>
  <c r="H17" i="125"/>
  <c r="G17" i="125"/>
  <c r="F17" i="125"/>
  <c r="Q15" i="125"/>
  <c r="O15" i="125"/>
  <c r="M15" i="125"/>
  <c r="L15" i="125"/>
  <c r="K15" i="125"/>
  <c r="J15" i="125"/>
  <c r="I15" i="125"/>
  <c r="H15" i="125"/>
  <c r="G15" i="125"/>
  <c r="F15" i="125"/>
  <c r="Q14" i="125"/>
  <c r="P14" i="125"/>
  <c r="O14" i="125"/>
  <c r="M14" i="125"/>
  <c r="L14" i="125"/>
  <c r="K14" i="125"/>
  <c r="J14" i="125"/>
  <c r="I14" i="125"/>
  <c r="H14" i="125"/>
  <c r="G14" i="125"/>
  <c r="F14" i="125"/>
  <c r="Q13" i="125"/>
  <c r="P13" i="125"/>
  <c r="O13" i="125"/>
  <c r="M13" i="125"/>
  <c r="L13" i="125"/>
  <c r="K13" i="125"/>
  <c r="J13" i="125"/>
  <c r="I13" i="125"/>
  <c r="H13" i="125"/>
  <c r="G13" i="125"/>
  <c r="F13" i="125"/>
  <c r="N11" i="125"/>
  <c r="Q54" i="124"/>
  <c r="P54" i="124"/>
  <c r="O54" i="124"/>
  <c r="N54" i="124"/>
  <c r="M54" i="124"/>
  <c r="L54" i="124"/>
  <c r="K54" i="124"/>
  <c r="J54" i="124"/>
  <c r="I54" i="124"/>
  <c r="H54" i="124"/>
  <c r="G54" i="124"/>
  <c r="F54" i="124"/>
  <c r="Q48" i="124"/>
  <c r="P48" i="124"/>
  <c r="O48" i="124"/>
  <c r="N48" i="124"/>
  <c r="M48" i="124"/>
  <c r="L48" i="124"/>
  <c r="K48" i="124"/>
  <c r="J48" i="124"/>
  <c r="I48" i="124"/>
  <c r="H48" i="124"/>
  <c r="G48" i="124"/>
  <c r="F48" i="124"/>
  <c r="Q41" i="124"/>
  <c r="P41" i="124"/>
  <c r="O41" i="124"/>
  <c r="N41" i="124"/>
  <c r="M41" i="124"/>
  <c r="L41" i="124"/>
  <c r="K41" i="124"/>
  <c r="J41" i="124"/>
  <c r="I41" i="124"/>
  <c r="H41" i="124"/>
  <c r="G41" i="124"/>
  <c r="F41" i="124"/>
  <c r="Q37" i="124"/>
  <c r="P37" i="124"/>
  <c r="O37" i="124"/>
  <c r="N37" i="124"/>
  <c r="M37" i="124"/>
  <c r="L37" i="124"/>
  <c r="K37" i="124"/>
  <c r="J37" i="124"/>
  <c r="I37" i="124"/>
  <c r="H37" i="124"/>
  <c r="G37" i="124"/>
  <c r="Q28" i="124"/>
  <c r="P28" i="124"/>
  <c r="O28" i="124"/>
  <c r="N28" i="124"/>
  <c r="M28" i="124"/>
  <c r="L28" i="124"/>
  <c r="K28" i="124"/>
  <c r="J28" i="124"/>
  <c r="I28" i="124"/>
  <c r="H28" i="124"/>
  <c r="G28" i="124"/>
  <c r="F28" i="124"/>
  <c r="Q16" i="124"/>
  <c r="P16" i="124"/>
  <c r="O16" i="124"/>
  <c r="N16" i="124"/>
  <c r="M16" i="124"/>
  <c r="L16" i="124"/>
  <c r="K16" i="124"/>
  <c r="J16" i="124"/>
  <c r="I16" i="124"/>
  <c r="H16" i="124"/>
  <c r="H10" i="124" s="1"/>
  <c r="G16" i="124"/>
  <c r="G10" i="124" s="1"/>
  <c r="Q14" i="124"/>
  <c r="P14" i="124"/>
  <c r="O14" i="124"/>
  <c r="N14" i="124"/>
  <c r="M14" i="124"/>
  <c r="L14" i="124"/>
  <c r="K14" i="124"/>
  <c r="J14" i="124"/>
  <c r="I14" i="124"/>
  <c r="F14" i="124"/>
  <c r="Q13" i="124"/>
  <c r="P13" i="124"/>
  <c r="O13" i="124"/>
  <c r="N13" i="124"/>
  <c r="M13" i="124"/>
  <c r="L13" i="124"/>
  <c r="K13" i="124"/>
  <c r="J13" i="124"/>
  <c r="I13" i="124"/>
  <c r="F13" i="124"/>
  <c r="Q12" i="124"/>
  <c r="P12" i="124"/>
  <c r="O12" i="124"/>
  <c r="N12" i="124"/>
  <c r="M12" i="124"/>
  <c r="L12" i="124"/>
  <c r="K12" i="124"/>
  <c r="J12" i="124"/>
  <c r="I12" i="124"/>
  <c r="F12" i="124"/>
  <c r="Q47" i="123"/>
  <c r="P47" i="123"/>
  <c r="O47" i="123"/>
  <c r="N47" i="123"/>
  <c r="M47" i="123"/>
  <c r="Q41" i="123"/>
  <c r="P41" i="123"/>
  <c r="O41" i="123"/>
  <c r="O26" i="123" s="1"/>
  <c r="N41" i="123"/>
  <c r="N26" i="123" s="1"/>
  <c r="M41" i="123"/>
  <c r="L41" i="123"/>
  <c r="L26" i="123" s="1"/>
  <c r="K41" i="123"/>
  <c r="K26" i="123" s="1"/>
  <c r="J41" i="123"/>
  <c r="J26" i="123" s="1"/>
  <c r="I41" i="123"/>
  <c r="I26" i="123" s="1"/>
  <c r="H41" i="123"/>
  <c r="H26" i="123" s="1"/>
  <c r="G41" i="123"/>
  <c r="G26" i="123" s="1"/>
  <c r="F41" i="123"/>
  <c r="F26" i="123" s="1"/>
  <c r="F9" i="123" s="1"/>
  <c r="F7" i="123" s="1"/>
  <c r="I19" i="123"/>
  <c r="I17" i="123" s="1"/>
  <c r="P15" i="123"/>
  <c r="O15" i="123"/>
  <c r="N15" i="123"/>
  <c r="M15" i="123"/>
  <c r="L15" i="123"/>
  <c r="K15" i="123"/>
  <c r="J15" i="123"/>
  <c r="I15" i="123"/>
  <c r="P14" i="123"/>
  <c r="O14" i="123"/>
  <c r="N14" i="123"/>
  <c r="M14" i="123"/>
  <c r="L14" i="123"/>
  <c r="K14" i="123"/>
  <c r="J14" i="123"/>
  <c r="I14" i="123"/>
  <c r="Q13" i="123"/>
  <c r="P13" i="123"/>
  <c r="O13" i="123"/>
  <c r="N13" i="123"/>
  <c r="M13" i="123"/>
  <c r="L13" i="123"/>
  <c r="K13" i="123"/>
  <c r="J13" i="123"/>
  <c r="I13" i="123"/>
  <c r="M26" i="123" l="1"/>
  <c r="L9" i="130"/>
  <c r="F11" i="124"/>
  <c r="I28" i="127"/>
  <c r="G28" i="129"/>
  <c r="G28" i="130"/>
  <c r="H28" i="127"/>
  <c r="N28" i="130"/>
  <c r="P26" i="123"/>
  <c r="F27" i="124"/>
  <c r="H28" i="130"/>
  <c r="P28" i="130"/>
  <c r="F28" i="129"/>
  <c r="F28" i="130"/>
  <c r="Q26" i="123"/>
  <c r="F29" i="126"/>
  <c r="I28" i="130"/>
  <c r="Q28" i="130"/>
  <c r="J28" i="127"/>
  <c r="K28" i="127"/>
  <c r="L28" i="127"/>
  <c r="M28" i="127"/>
  <c r="N28" i="127"/>
  <c r="O28" i="127"/>
  <c r="P28" i="127"/>
  <c r="Q28" i="127"/>
  <c r="H10" i="127"/>
  <c r="K28" i="128"/>
  <c r="G28" i="128"/>
  <c r="H28" i="129"/>
  <c r="I28" i="129"/>
  <c r="J28" i="129"/>
  <c r="K28" i="129"/>
  <c r="L28" i="129"/>
  <c r="M28" i="129"/>
  <c r="N28" i="129"/>
  <c r="O28" i="129"/>
  <c r="P28" i="129"/>
  <c r="Q28" i="129"/>
  <c r="F10" i="130"/>
  <c r="K10" i="130"/>
  <c r="K9" i="130" s="1"/>
  <c r="Q10" i="129"/>
  <c r="Q9" i="129" s="1"/>
  <c r="Q7" i="129" s="1"/>
  <c r="G10" i="129"/>
  <c r="G9" i="129" s="1"/>
  <c r="G7" i="129" s="1"/>
  <c r="I10" i="129"/>
  <c r="I9" i="129" s="1"/>
  <c r="I7" i="129" s="1"/>
  <c r="M10" i="129"/>
  <c r="I28" i="128"/>
  <c r="H28" i="128"/>
  <c r="J10" i="128"/>
  <c r="F10" i="128"/>
  <c r="N28" i="128"/>
  <c r="K10" i="128"/>
  <c r="K9" i="128" s="1"/>
  <c r="K7" i="128" s="1"/>
  <c r="G10" i="128"/>
  <c r="L28" i="128"/>
  <c r="L9" i="128" s="1"/>
  <c r="L7" i="128" s="1"/>
  <c r="M28" i="128"/>
  <c r="M9" i="128" s="1"/>
  <c r="M7" i="128" s="1"/>
  <c r="O28" i="128"/>
  <c r="P28" i="128"/>
  <c r="Q28" i="128"/>
  <c r="F28" i="128"/>
  <c r="J28" i="128"/>
  <c r="J9" i="128" s="1"/>
  <c r="J7" i="128" s="1"/>
  <c r="O10" i="128"/>
  <c r="P10" i="128"/>
  <c r="Q10" i="128"/>
  <c r="M11" i="126"/>
  <c r="M10" i="126" s="1"/>
  <c r="G29" i="126"/>
  <c r="H29" i="126"/>
  <c r="P29" i="126"/>
  <c r="I29" i="126"/>
  <c r="Q29" i="126"/>
  <c r="H10" i="126"/>
  <c r="K29" i="126"/>
  <c r="L29" i="126"/>
  <c r="N29" i="126"/>
  <c r="P11" i="125"/>
  <c r="P10" i="125" s="1"/>
  <c r="K11" i="125"/>
  <c r="K10" i="125" s="1"/>
  <c r="Q28" i="125"/>
  <c r="P27" i="124"/>
  <c r="L27" i="124"/>
  <c r="H27" i="124"/>
  <c r="H9" i="124" s="1"/>
  <c r="H7" i="124" s="1"/>
  <c r="Q27" i="124"/>
  <c r="I11" i="124"/>
  <c r="I10" i="124" s="1"/>
  <c r="J11" i="124"/>
  <c r="J10" i="124" s="1"/>
  <c r="K11" i="124"/>
  <c r="K10" i="124" s="1"/>
  <c r="L11" i="124"/>
  <c r="L10" i="124" s="1"/>
  <c r="L9" i="124" s="1"/>
  <c r="L7" i="124" s="1"/>
  <c r="M11" i="124"/>
  <c r="M10" i="124" s="1"/>
  <c r="M9" i="124" s="1"/>
  <c r="M7" i="124" s="1"/>
  <c r="N11" i="124"/>
  <c r="N10" i="124" s="1"/>
  <c r="O11" i="124"/>
  <c r="O10" i="124" s="1"/>
  <c r="O9" i="124" s="1"/>
  <c r="O7" i="124" s="1"/>
  <c r="P11" i="124"/>
  <c r="P10" i="124" s="1"/>
  <c r="Q11" i="124"/>
  <c r="Q10" i="124" s="1"/>
  <c r="J27" i="124"/>
  <c r="N27" i="124"/>
  <c r="G27" i="124"/>
  <c r="G9" i="124" s="1"/>
  <c r="G7" i="124" s="1"/>
  <c r="K27" i="124"/>
  <c r="O27" i="124"/>
  <c r="I27" i="124"/>
  <c r="M27" i="124"/>
  <c r="I11" i="123"/>
  <c r="J11" i="123"/>
  <c r="K11" i="123"/>
  <c r="K10" i="123" s="1"/>
  <c r="L11" i="123"/>
  <c r="L10" i="123" s="1"/>
  <c r="M11" i="123"/>
  <c r="M10" i="123" s="1"/>
  <c r="M9" i="123" s="1"/>
  <c r="N11" i="123"/>
  <c r="N10" i="123" s="1"/>
  <c r="N9" i="123" s="1"/>
  <c r="O11" i="123"/>
  <c r="O10" i="123" s="1"/>
  <c r="O9" i="123" s="1"/>
  <c r="P11" i="123"/>
  <c r="Q11" i="123"/>
  <c r="Q10" i="123" s="1"/>
  <c r="Q9" i="123" s="1"/>
  <c r="G9" i="128"/>
  <c r="G7" i="128" s="1"/>
  <c r="L9" i="126"/>
  <c r="L7" i="126" s="1"/>
  <c r="J28" i="125"/>
  <c r="J29" i="126"/>
  <c r="F10" i="129"/>
  <c r="F10" i="124"/>
  <c r="F9" i="124" s="1"/>
  <c r="F7" i="124" s="1"/>
  <c r="P10" i="126"/>
  <c r="I10" i="130"/>
  <c r="I9" i="130" s="1"/>
  <c r="Q9" i="126"/>
  <c r="Q7" i="126" s="1"/>
  <c r="M29" i="126"/>
  <c r="M9" i="126" s="1"/>
  <c r="M7" i="126" s="1"/>
  <c r="J10" i="130"/>
  <c r="J9" i="130" s="1"/>
  <c r="O29" i="126"/>
  <c r="J10" i="129"/>
  <c r="J9" i="129" s="1"/>
  <c r="J7" i="129" s="1"/>
  <c r="N10" i="125"/>
  <c r="F11" i="126"/>
  <c r="F10" i="126" s="1"/>
  <c r="F9" i="126" s="1"/>
  <c r="F7" i="126" s="1"/>
  <c r="M10" i="130"/>
  <c r="M9" i="130" s="1"/>
  <c r="I28" i="125"/>
  <c r="N28" i="125"/>
  <c r="I10" i="128"/>
  <c r="N10" i="130"/>
  <c r="N9" i="130" s="1"/>
  <c r="O10" i="130"/>
  <c r="O9" i="130" s="1"/>
  <c r="N10" i="129"/>
  <c r="H9" i="126"/>
  <c r="H7" i="126" s="1"/>
  <c r="Q10" i="130"/>
  <c r="M28" i="125"/>
  <c r="I10" i="126"/>
  <c r="P10" i="129"/>
  <c r="G10" i="130"/>
  <c r="G9" i="130" s="1"/>
  <c r="G7" i="130" s="1"/>
  <c r="H10" i="130"/>
  <c r="P10" i="130"/>
  <c r="P9" i="130" s="1"/>
  <c r="K7" i="130"/>
  <c r="O7" i="130"/>
  <c r="L7" i="130"/>
  <c r="K9" i="129"/>
  <c r="K7" i="129" s="1"/>
  <c r="O10" i="129"/>
  <c r="O9" i="129" s="1"/>
  <c r="O7" i="129" s="1"/>
  <c r="H10" i="129"/>
  <c r="L10" i="129"/>
  <c r="H9" i="128"/>
  <c r="H7" i="128" s="1"/>
  <c r="N9" i="128"/>
  <c r="N7" i="128" s="1"/>
  <c r="M10" i="127"/>
  <c r="Q10" i="127"/>
  <c r="K10" i="127"/>
  <c r="N10" i="127"/>
  <c r="O10" i="127"/>
  <c r="J11" i="127"/>
  <c r="J10" i="127" s="1"/>
  <c r="I10" i="127"/>
  <c r="L10" i="127"/>
  <c r="P10" i="127"/>
  <c r="P9" i="127" s="1"/>
  <c r="P7" i="127" s="1"/>
  <c r="G11" i="127"/>
  <c r="G10" i="127" s="1"/>
  <c r="F9" i="127"/>
  <c r="F7" i="127" s="1"/>
  <c r="G10" i="126"/>
  <c r="K10" i="126"/>
  <c r="O10" i="126"/>
  <c r="J10" i="126"/>
  <c r="N10" i="126"/>
  <c r="G9" i="126"/>
  <c r="G7" i="126" s="1"/>
  <c r="F28" i="125"/>
  <c r="H11" i="125"/>
  <c r="H10" i="125" s="1"/>
  <c r="L11" i="125"/>
  <c r="L10" i="125" s="1"/>
  <c r="Q11" i="125"/>
  <c r="Q10" i="125" s="1"/>
  <c r="I11" i="125"/>
  <c r="I10" i="125" s="1"/>
  <c r="M11" i="125"/>
  <c r="M10" i="125" s="1"/>
  <c r="K28" i="125"/>
  <c r="K9" i="125" s="1"/>
  <c r="K7" i="125" s="1"/>
  <c r="P28" i="125"/>
  <c r="P9" i="125" s="1"/>
  <c r="P7" i="125" s="1"/>
  <c r="G11" i="125"/>
  <c r="G10" i="125" s="1"/>
  <c r="G28" i="125"/>
  <c r="O28" i="125"/>
  <c r="H28" i="125"/>
  <c r="J11" i="125"/>
  <c r="J10" i="125" s="1"/>
  <c r="O11" i="125"/>
  <c r="O10" i="125" s="1"/>
  <c r="L28" i="125"/>
  <c r="F11" i="125"/>
  <c r="F10" i="125" s="1"/>
  <c r="P10" i="123"/>
  <c r="P9" i="123" s="1"/>
  <c r="G10" i="123"/>
  <c r="J10" i="123"/>
  <c r="I10" i="123"/>
  <c r="I9" i="123" s="1"/>
  <c r="H10" i="123"/>
  <c r="H9" i="123" s="1"/>
  <c r="H10" i="122"/>
  <c r="H9" i="122" s="1"/>
  <c r="G10" i="122"/>
  <c r="G9" i="122" s="1"/>
  <c r="L9" i="123" l="1"/>
  <c r="L7" i="123" s="1"/>
  <c r="F9" i="125"/>
  <c r="F7" i="125" s="1"/>
  <c r="H9" i="130"/>
  <c r="H7" i="130" s="1"/>
  <c r="N9" i="124"/>
  <c r="N7" i="124" s="1"/>
  <c r="M9" i="129"/>
  <c r="M7" i="129" s="1"/>
  <c r="J9" i="124"/>
  <c r="J7" i="124" s="1"/>
  <c r="K7" i="123"/>
  <c r="K9" i="123"/>
  <c r="K9" i="124"/>
  <c r="K7" i="124" s="1"/>
  <c r="J9" i="123"/>
  <c r="J7" i="123" s="1"/>
  <c r="Q9" i="125"/>
  <c r="Q7" i="125" s="1"/>
  <c r="G7" i="123"/>
  <c r="G9" i="123"/>
  <c r="L9" i="129"/>
  <c r="L7" i="129" s="1"/>
  <c r="Q9" i="130"/>
  <c r="Q7" i="130" s="1"/>
  <c r="Q9" i="124"/>
  <c r="Q7" i="124" s="1"/>
  <c r="I9" i="124"/>
  <c r="I7" i="124" s="1"/>
  <c r="F9" i="130"/>
  <c r="F7" i="130" s="1"/>
  <c r="J9" i="125"/>
  <c r="J7" i="125" s="1"/>
  <c r="I9" i="126"/>
  <c r="I7" i="126" s="1"/>
  <c r="G9" i="125"/>
  <c r="G7" i="125" s="1"/>
  <c r="P9" i="124"/>
  <c r="P7" i="124" s="1"/>
  <c r="H9" i="127"/>
  <c r="H7" i="127" s="1"/>
  <c r="J9" i="127"/>
  <c r="J7" i="127" s="1"/>
  <c r="M9" i="127"/>
  <c r="M7" i="127" s="1"/>
  <c r="I9" i="128"/>
  <c r="I7" i="128" s="1"/>
  <c r="P9" i="128"/>
  <c r="P7" i="128" s="1"/>
  <c r="O9" i="128"/>
  <c r="O7" i="128" s="1"/>
  <c r="N9" i="129"/>
  <c r="N7" i="129" s="1"/>
  <c r="M7" i="130"/>
  <c r="J7" i="130"/>
  <c r="N7" i="130"/>
  <c r="F9" i="129"/>
  <c r="F7" i="129" s="1"/>
  <c r="F9" i="128"/>
  <c r="F7" i="128" s="1"/>
  <c r="Q9" i="128"/>
  <c r="Q7" i="128" s="1"/>
  <c r="P9" i="126"/>
  <c r="P7" i="126" s="1"/>
  <c r="N9" i="126"/>
  <c r="N7" i="126" s="1"/>
  <c r="J9" i="126"/>
  <c r="J7" i="126" s="1"/>
  <c r="O9" i="126"/>
  <c r="O7" i="126" s="1"/>
  <c r="K9" i="126"/>
  <c r="K7" i="126" s="1"/>
  <c r="N9" i="125"/>
  <c r="N7" i="125" s="1"/>
  <c r="M9" i="125"/>
  <c r="M7" i="125" s="1"/>
  <c r="I9" i="125"/>
  <c r="I7" i="125" s="1"/>
  <c r="P7" i="123"/>
  <c r="Q7" i="123"/>
  <c r="M7" i="123"/>
  <c r="O7" i="123"/>
  <c r="I7" i="123"/>
  <c r="N7" i="123"/>
  <c r="H7" i="123"/>
  <c r="J10" i="122"/>
  <c r="J9" i="122" s="1"/>
  <c r="L10" i="122"/>
  <c r="L9" i="122" s="1"/>
  <c r="M10" i="122"/>
  <c r="M9" i="122" s="1"/>
  <c r="I10" i="122"/>
  <c r="I9" i="122" s="1"/>
  <c r="I7" i="122" s="1"/>
  <c r="N10" i="122"/>
  <c r="O10" i="122"/>
  <c r="Q10" i="122"/>
  <c r="P10" i="122"/>
  <c r="I7" i="130"/>
  <c r="K9" i="127"/>
  <c r="K7" i="127" s="1"/>
  <c r="G7" i="122"/>
  <c r="H7" i="122"/>
  <c r="P7" i="130"/>
  <c r="L9" i="125"/>
  <c r="L7" i="125" s="1"/>
  <c r="H9" i="125"/>
  <c r="H7" i="125" s="1"/>
  <c r="L9" i="127"/>
  <c r="L7" i="127" s="1"/>
  <c r="H9" i="129"/>
  <c r="H7" i="129" s="1"/>
  <c r="K10" i="122"/>
  <c r="K9" i="122" s="1"/>
  <c r="P9" i="129"/>
  <c r="P7" i="129" s="1"/>
  <c r="J7" i="122"/>
  <c r="O9" i="127"/>
  <c r="O7" i="127" s="1"/>
  <c r="N9" i="127"/>
  <c r="N7" i="127" s="1"/>
  <c r="G9" i="127"/>
  <c r="G7" i="127" s="1"/>
  <c r="Q9" i="127"/>
  <c r="Q7" i="127" s="1"/>
  <c r="I9" i="127"/>
  <c r="I7" i="127" s="1"/>
  <c r="O9" i="125"/>
  <c r="O7" i="125" s="1"/>
  <c r="O9" i="122" l="1"/>
  <c r="O7" i="122" s="1"/>
  <c r="P9" i="122"/>
  <c r="P7" i="122" s="1"/>
  <c r="N9" i="122"/>
  <c r="N7" i="122" s="1"/>
  <c r="Q9" i="122"/>
  <c r="Q7" i="122" s="1"/>
  <c r="L7" i="122"/>
  <c r="M7" i="122"/>
  <c r="K7" i="1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AtienzaAu</author>
  </authors>
  <commentList>
    <comment ref="D46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AtienzaAu: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AtienzaAu</author>
  </authors>
  <commentList>
    <comment ref="D50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AtienzaAu: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<sst xmlns="http://schemas.openxmlformats.org/spreadsheetml/2006/main" count="1607" uniqueCount="233">
  <si>
    <t>Jan</t>
  </si>
  <si>
    <t>Feb</t>
  </si>
  <si>
    <t>Mar</t>
  </si>
  <si>
    <t>Apr</t>
  </si>
  <si>
    <t>May</t>
  </si>
  <si>
    <t>Jul</t>
  </si>
  <si>
    <t>Aug</t>
  </si>
  <si>
    <t>Oct</t>
  </si>
  <si>
    <t>Nov</t>
  </si>
  <si>
    <t>Dec</t>
  </si>
  <si>
    <t>Sept</t>
  </si>
  <si>
    <t>(In Million Pesos)</t>
  </si>
  <si>
    <t xml:space="preserve">    91-day</t>
  </si>
  <si>
    <t xml:space="preserve">    2-yr</t>
  </si>
  <si>
    <t xml:space="preserve">    5-yr</t>
  </si>
  <si>
    <t xml:space="preserve">    7-yr</t>
  </si>
  <si>
    <t xml:space="preserve">   20-yr</t>
  </si>
  <si>
    <t>Particulars</t>
  </si>
  <si>
    <t>June</t>
  </si>
  <si>
    <t xml:space="preserve">   25-yr</t>
  </si>
  <si>
    <t xml:space="preserve">   10-yr </t>
  </si>
  <si>
    <t xml:space="preserve">Prepared by: BTr-Research/SDAD </t>
  </si>
  <si>
    <t xml:space="preserve">    3-yr</t>
  </si>
  <si>
    <t xml:space="preserve">    4-yr</t>
  </si>
  <si>
    <t>1.  Regular</t>
  </si>
  <si>
    <t>CMB (35-60 days)</t>
  </si>
  <si>
    <t xml:space="preserve">  7-yr</t>
  </si>
  <si>
    <t xml:space="preserve">  5-yr</t>
  </si>
  <si>
    <t xml:space="preserve">  3-yr</t>
  </si>
  <si>
    <t>Note:</t>
  </si>
  <si>
    <t>T-Bills Includes CB-BOL</t>
  </si>
  <si>
    <t>3.</t>
  </si>
  <si>
    <t>4.</t>
  </si>
  <si>
    <t xml:space="preserve">MONTHLY OUTSTANDING GOVERNMENT SECURITIES </t>
  </si>
  <si>
    <t xml:space="preserve"> 1. Retail T- Bonds</t>
  </si>
  <si>
    <t xml:space="preserve"> 2. FX Promissory Notes</t>
  </si>
  <si>
    <t xml:space="preserve"> 3. FX Notes (US/PHP CS)</t>
  </si>
  <si>
    <t xml:space="preserve"> 4. 10-Year SPTB for CARP</t>
  </si>
  <si>
    <t xml:space="preserve"> 5. RPB Philsucom</t>
  </si>
  <si>
    <t xml:space="preserve">  5-year</t>
  </si>
  <si>
    <t xml:space="preserve">  7-year</t>
  </si>
  <si>
    <t xml:space="preserve">   3-yr</t>
  </si>
  <si>
    <t xml:space="preserve">   5-yr</t>
  </si>
  <si>
    <t xml:space="preserve">   7-yr</t>
  </si>
  <si>
    <t xml:space="preserve">  182-day</t>
  </si>
  <si>
    <t xml:space="preserve">  364-day</t>
  </si>
  <si>
    <t xml:space="preserve">  20-yr</t>
  </si>
  <si>
    <t xml:space="preserve">  25-yr</t>
  </si>
  <si>
    <t xml:space="preserve">  10-year Peace Bonds</t>
  </si>
  <si>
    <t>II. GUARANTEED CORP. ISSUES</t>
  </si>
  <si>
    <t>B.  FIXED RATE T- BONDS</t>
  </si>
  <si>
    <t>I. NATIONAL GOVT. ISSUES</t>
  </si>
  <si>
    <t>A.  T- BILLS</t>
  </si>
  <si>
    <t xml:space="preserve">  28.5-yr</t>
  </si>
  <si>
    <t xml:space="preserve"> 10-yr</t>
  </si>
  <si>
    <t>REGULAR (A&amp;B)</t>
  </si>
  <si>
    <t>2. C.  SPECIAL ISSUES</t>
  </si>
  <si>
    <t>T O T A L (1&amp;II)</t>
  </si>
  <si>
    <t xml:space="preserve"> 7-yr</t>
  </si>
  <si>
    <t>8.</t>
  </si>
  <si>
    <t>US Dollar RTB's</t>
  </si>
  <si>
    <t>EURO RTB's</t>
  </si>
  <si>
    <t xml:space="preserve">  10-yr</t>
  </si>
  <si>
    <t>E.1</t>
  </si>
  <si>
    <t>E.2</t>
  </si>
  <si>
    <t>E.3</t>
  </si>
  <si>
    <t xml:space="preserve"> 15-yr</t>
  </si>
  <si>
    <t xml:space="preserve"> 10-yr </t>
  </si>
  <si>
    <t xml:space="preserve">  3-yr </t>
  </si>
  <si>
    <t xml:space="preserve">  10.5-yr</t>
  </si>
  <si>
    <t>.</t>
  </si>
  <si>
    <t/>
  </si>
  <si>
    <t xml:space="preserve"> 20-yr</t>
  </si>
  <si>
    <t xml:space="preserve"> 25-yr</t>
  </si>
  <si>
    <t>Onshore Dollar Bonds</t>
  </si>
  <si>
    <t>10.5- year</t>
  </si>
  <si>
    <t>CB-BOL</t>
  </si>
  <si>
    <t xml:space="preserve"> 2. 10-Year SPTB for CARP</t>
  </si>
  <si>
    <t xml:space="preserve">   5-yr   </t>
  </si>
  <si>
    <t xml:space="preserve">10.5- year           </t>
  </si>
  <si>
    <t>Jun</t>
  </si>
  <si>
    <t>Sep</t>
  </si>
  <si>
    <t>As of July 2014</t>
  </si>
  <si>
    <t>July</t>
  </si>
  <si>
    <t xml:space="preserve"> </t>
  </si>
  <si>
    <t>MONTHLY OUTSTANDING GOVERNMENT SECURITIES</t>
  </si>
  <si>
    <t xml:space="preserve"> (In Million Pesos)</t>
  </si>
  <si>
    <t>As of December 2015</t>
  </si>
  <si>
    <t>B.  TREASURY BONDS</t>
  </si>
  <si>
    <t>I. NATIONAL GOVERNMENT ISSUES</t>
  </si>
  <si>
    <t>A.  TREASURY BILLS</t>
  </si>
  <si>
    <t>B1. Regular Issues</t>
  </si>
  <si>
    <t>B2. SPECIAL ISSUES</t>
  </si>
  <si>
    <t xml:space="preserve"> 2. Benchmark Bonds</t>
  </si>
  <si>
    <t>3. 25-YR T-BONDS issued to CB-BOL</t>
  </si>
  <si>
    <t>4. 10-YR AR BOND</t>
  </si>
  <si>
    <t>5. Onshore Dollar Bonds</t>
  </si>
  <si>
    <t>T O T A L (I&amp;II)</t>
  </si>
  <si>
    <t>TAP</t>
  </si>
  <si>
    <t>OTC</t>
  </si>
  <si>
    <t xml:space="preserve">Aug </t>
  </si>
  <si>
    <t>6. Premyo Bonds</t>
  </si>
  <si>
    <t>1-year</t>
  </si>
  <si>
    <t>35-day</t>
  </si>
  <si>
    <t>91-day</t>
  </si>
  <si>
    <t>182-day</t>
  </si>
  <si>
    <t>364-day</t>
  </si>
  <si>
    <t>T O T A L</t>
  </si>
  <si>
    <t>I. National Government Issues</t>
  </si>
  <si>
    <t xml:space="preserve">A.  T- Bills  </t>
  </si>
  <si>
    <t>B.  Fixed Rate T- Bonds</t>
  </si>
  <si>
    <t xml:space="preserve">  2-yr</t>
  </si>
  <si>
    <t xml:space="preserve">  4-yr</t>
  </si>
  <si>
    <t xml:space="preserve">10-yr </t>
  </si>
  <si>
    <t>20-yr</t>
  </si>
  <si>
    <t>25-yr</t>
  </si>
  <si>
    <t>30-yr</t>
  </si>
  <si>
    <t>2.  Special Issues</t>
  </si>
  <si>
    <t>A. Retail T- Bonds</t>
  </si>
  <si>
    <t>3-yr</t>
  </si>
  <si>
    <t>4-yr</t>
  </si>
  <si>
    <t>5-yr</t>
  </si>
  <si>
    <t>B. SDT</t>
  </si>
  <si>
    <t>C. Progress Bonds</t>
  </si>
  <si>
    <t>D. FX Promissory Notes</t>
  </si>
  <si>
    <t>7-yr</t>
  </si>
  <si>
    <t xml:space="preserve">E. FX Notes </t>
  </si>
  <si>
    <t>F. 10-Year SPTB for CARP</t>
  </si>
  <si>
    <t>G. US Dollar Lnk PHP Notes</t>
  </si>
  <si>
    <t>2-yr</t>
  </si>
  <si>
    <t>H. 10-Year Zero Coupon T/B</t>
  </si>
  <si>
    <t>Zero Coupon T/Bonds</t>
  </si>
  <si>
    <t>7-year</t>
  </si>
  <si>
    <t>4.  Bonds</t>
  </si>
  <si>
    <t xml:space="preserve">5.  T/Notes </t>
  </si>
  <si>
    <t>6.  10-Year Land Bank Bond</t>
  </si>
  <si>
    <t>7.  FX Term Deposit</t>
  </si>
  <si>
    <t>II. Guaranteed Corporate Issues</t>
  </si>
  <si>
    <t>E. FX Notes (US/PHP CS)</t>
  </si>
  <si>
    <t>42-day</t>
  </si>
  <si>
    <t>H. 10-Year Zero Coupon PB</t>
  </si>
  <si>
    <t>5-year</t>
  </si>
  <si>
    <t>7. Premyo Bonds</t>
  </si>
  <si>
    <t>6. Retail Dollar Bonds</t>
  </si>
  <si>
    <t>10-year</t>
  </si>
  <si>
    <t xml:space="preserve">  5.5-yr</t>
  </si>
  <si>
    <t xml:space="preserve">   3.5-yr</t>
  </si>
  <si>
    <t>2. SPECIAL ISSUES</t>
  </si>
  <si>
    <t>Retail T- Bonds</t>
  </si>
  <si>
    <t>BENCHMARK BONDS</t>
  </si>
  <si>
    <t>25-YR BONDS issued to CB-BOL</t>
  </si>
  <si>
    <t>10-YR AR BOND</t>
  </si>
  <si>
    <t xml:space="preserve">D. FX Notes </t>
  </si>
  <si>
    <t>E. 10-Year SPTB for CARP</t>
  </si>
  <si>
    <t>F. US Dollar Lnk PHP Notes</t>
  </si>
  <si>
    <t>G. 10-Year Zero Coupon T/B</t>
  </si>
  <si>
    <t>H.Bonds</t>
  </si>
  <si>
    <t xml:space="preserve">I. T/Notes </t>
  </si>
  <si>
    <t>J. 10-Year Land Bank Bond</t>
  </si>
  <si>
    <t>K. FX Term Deposit</t>
  </si>
  <si>
    <t>G. US Dollar Link PHP Notes</t>
  </si>
  <si>
    <t>I.Bonds</t>
  </si>
  <si>
    <t xml:space="preserve">J. T/Notes </t>
  </si>
  <si>
    <t>K. 10-Year Land Bank Bond</t>
  </si>
  <si>
    <t>L. FX Term Deposit</t>
  </si>
  <si>
    <t>2. BENCHMARK  BONDS</t>
  </si>
  <si>
    <t>3. 25-YR BONDS issued to CB-BOL</t>
  </si>
  <si>
    <t>5. MULTICURRENCY RTB's</t>
  </si>
  <si>
    <t>6.Onshore Dollar Bonds</t>
  </si>
  <si>
    <t>A. SDT</t>
  </si>
  <si>
    <t>B. Progress Bonds</t>
  </si>
  <si>
    <t>C.Bonds</t>
  </si>
  <si>
    <t xml:space="preserve">D. T/Notes </t>
  </si>
  <si>
    <t>E. 10-Year Land Bank Bond</t>
  </si>
  <si>
    <t>F. FX Term Deposit</t>
  </si>
  <si>
    <t>3. Zero Coupon T/Bonds</t>
  </si>
  <si>
    <t>3. 10-Year SPTB for CARP</t>
  </si>
  <si>
    <t>4. RPB Philsucom</t>
  </si>
  <si>
    <t>As of end-December 2022</t>
  </si>
  <si>
    <t>As of end-December 2021</t>
  </si>
  <si>
    <t>As of end-December 2020</t>
  </si>
  <si>
    <t>As of end-December 2019</t>
  </si>
  <si>
    <t>As of end-December 2018</t>
  </si>
  <si>
    <t>As of end-December 2017</t>
  </si>
  <si>
    <t>As of end-December 2016</t>
  </si>
  <si>
    <t>As of end-December 2014</t>
  </si>
  <si>
    <t>BENCHMARK  BONDS</t>
  </si>
  <si>
    <t>4. BONDS</t>
  </si>
  <si>
    <t>5.  10-YR AR BOND</t>
  </si>
  <si>
    <t>6. MULTICURRENCY RTB's</t>
  </si>
  <si>
    <t>7.</t>
  </si>
  <si>
    <t>As of end-December 2013</t>
  </si>
  <si>
    <t>5. 10-YR AR BOND</t>
  </si>
  <si>
    <t>6.MULTICURRENCY RTB's</t>
  </si>
  <si>
    <t>7. Onshore Dollar Bonds</t>
  </si>
  <si>
    <t>As of end-December 2012</t>
  </si>
  <si>
    <t>2. 10-Year SPTB for CARP</t>
  </si>
  <si>
    <t xml:space="preserve"> ZERO COUPON T/BONDS</t>
  </si>
  <si>
    <t>5. BONDS</t>
  </si>
  <si>
    <t>6. 10-YR AR BOND</t>
  </si>
  <si>
    <t>MULTICURRENCY RTB's</t>
  </si>
  <si>
    <t xml:space="preserve">As of end-December 2011 </t>
  </si>
  <si>
    <t>ZERO COUPON T/BONDS</t>
  </si>
  <si>
    <t>As of end-December 2010</t>
  </si>
  <si>
    <t>As of end-December 2009</t>
  </si>
  <si>
    <t>6. 10-YR LAND BANK BOND</t>
  </si>
  <si>
    <t>ZERO COUPON T-BONDS</t>
  </si>
  <si>
    <t>6. TREASURY NOTES</t>
  </si>
  <si>
    <t>7. 10-YR LAND BANK BOND</t>
  </si>
  <si>
    <t>C. FX Promissory Notes</t>
  </si>
  <si>
    <t>D. FX Notes (US/PHP CS)</t>
  </si>
  <si>
    <t>G. 10-Year Zero Coupon PB</t>
  </si>
  <si>
    <t>H. RPB Philsucom</t>
  </si>
  <si>
    <t>As of end-December 2000</t>
  </si>
  <si>
    <t>As of end-December 2001</t>
  </si>
  <si>
    <t>As of end-December 2002</t>
  </si>
  <si>
    <t>As of end-December 2003</t>
  </si>
  <si>
    <t>As of end-December 2004</t>
  </si>
  <si>
    <t>As of end-December 2005</t>
  </si>
  <si>
    <t>As of end-December 2006</t>
  </si>
  <si>
    <t>As of end-December 2007</t>
  </si>
  <si>
    <t>As of end-December 2008</t>
  </si>
  <si>
    <t>2.  SPECIAL ISSUES</t>
  </si>
  <si>
    <t xml:space="preserve">   13-yr </t>
  </si>
  <si>
    <t xml:space="preserve">   15-yr </t>
  </si>
  <si>
    <t>5.5-year</t>
  </si>
  <si>
    <t>7. Retail Dollar Bonds</t>
  </si>
  <si>
    <t>Tokenized Bonds</t>
  </si>
  <si>
    <t>As of End-December 2023</t>
  </si>
  <si>
    <t>As of End-December 2024</t>
  </si>
  <si>
    <t xml:space="preserve">    3.5-yr</t>
  </si>
  <si>
    <t xml:space="preserve">   28.5-yr</t>
  </si>
  <si>
    <t>As of End-May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</si>
</sst>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mmmm\ d\,\ yyyy"/>
    <numFmt numFmtId="166" formatCode="#,##0;[Red]#,##0"/>
    <numFmt numFmtId="167" formatCode="#,##0.00;[Red]#,##0.00"/>
    <numFmt numFmtId="168" formatCode="[$-409]d\-mmm\-yy;@"/>
    <numFmt numFmtId="169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i/>
      <sz val="11"/>
      <name val="Arial"/>
      <family val="2"/>
    </font>
    <font>
      <b/>
      <u val="double"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/>
    <xf numFmtId="0" fontId="8" fillId="0" borderId="0" xfId="1" applyFont="1"/>
    <xf numFmtId="0" fontId="9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3" fontId="10" fillId="0" borderId="0" xfId="0" applyNumberFormat="1" applyFont="1" applyAlignment="1">
      <alignment horizontal="right"/>
    </xf>
    <xf numFmtId="166" fontId="5" fillId="0" borderId="0" xfId="1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5" fillId="0" borderId="0" xfId="1" applyFont="1"/>
    <xf numFmtId="166" fontId="6" fillId="0" borderId="0" xfId="1" applyNumberFormat="1" applyFont="1"/>
    <xf numFmtId="0" fontId="6" fillId="0" borderId="0" xfId="1" applyFont="1" applyAlignment="1">
      <alignment horizontal="left"/>
    </xf>
    <xf numFmtId="166" fontId="11" fillId="0" borderId="0" xfId="1" applyNumberFormat="1" applyFont="1" applyAlignment="1">
      <alignment horizontal="right"/>
    </xf>
    <xf numFmtId="0" fontId="5" fillId="0" borderId="0" xfId="1" quotePrefix="1" applyFont="1"/>
    <xf numFmtId="166" fontId="5" fillId="0" borderId="0" xfId="1" applyNumberFormat="1" applyFont="1"/>
    <xf numFmtId="3" fontId="5" fillId="0" borderId="0" xfId="1" applyNumberFormat="1" applyFont="1" applyAlignment="1">
      <alignment horizontal="right"/>
    </xf>
    <xf numFmtId="3" fontId="6" fillId="0" borderId="0" xfId="1" applyNumberFormat="1" applyFont="1"/>
    <xf numFmtId="15" fontId="12" fillId="0" borderId="0" xfId="1" applyNumberFormat="1" applyFont="1" applyAlignment="1">
      <alignment horizontal="left"/>
    </xf>
    <xf numFmtId="0" fontId="12" fillId="0" borderId="0" xfId="1" applyFont="1"/>
    <xf numFmtId="165" fontId="12" fillId="0" borderId="0" xfId="1" quotePrefix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0" fontId="6" fillId="0" borderId="0" xfId="1" quotePrefix="1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5" fillId="0" borderId="0" xfId="0" quotePrefix="1" applyFont="1"/>
    <xf numFmtId="3" fontId="6" fillId="0" borderId="0" xfId="0" applyNumberFormat="1" applyFont="1"/>
    <xf numFmtId="3" fontId="12" fillId="0" borderId="0" xfId="0" applyNumberFormat="1" applyFont="1"/>
    <xf numFmtId="15" fontId="12" fillId="0" borderId="0" xfId="0" applyNumberFormat="1" applyFont="1" applyAlignment="1">
      <alignment horizontal="left"/>
    </xf>
    <xf numFmtId="0" fontId="12" fillId="0" borderId="0" xfId="0" applyFont="1"/>
    <xf numFmtId="165" fontId="1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2" borderId="5" xfId="1" applyFont="1" applyFill="1" applyBorder="1" applyAlignment="1">
      <alignment horizontal="center" vertical="center"/>
    </xf>
    <xf numFmtId="166" fontId="7" fillId="2" borderId="5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167" fontId="5" fillId="0" borderId="0" xfId="1" applyNumberFormat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4" fontId="6" fillId="0" borderId="0" xfId="1" applyNumberFormat="1" applyFont="1"/>
    <xf numFmtId="166" fontId="11" fillId="0" borderId="0" xfId="1" applyNumberFormat="1" applyFont="1"/>
    <xf numFmtId="3" fontId="5" fillId="0" borderId="0" xfId="1" applyNumberFormat="1" applyFont="1"/>
    <xf numFmtId="0" fontId="9" fillId="0" borderId="0" xfId="1" applyFont="1"/>
    <xf numFmtId="165" fontId="9" fillId="0" borderId="0" xfId="1" quotePrefix="1" applyNumberFormat="1" applyFont="1" applyAlignment="1">
      <alignment horizontal="left"/>
    </xf>
    <xf numFmtId="165" fontId="9" fillId="0" borderId="0" xfId="1" applyNumberFormat="1" applyFont="1" applyAlignment="1">
      <alignment horizontal="left"/>
    </xf>
    <xf numFmtId="0" fontId="6" fillId="0" borderId="0" xfId="1" applyFont="1" applyAlignment="1">
      <alignment horizontal="left" indent="1"/>
    </xf>
    <xf numFmtId="165" fontId="5" fillId="0" borderId="0" xfId="0" applyNumberFormat="1" applyFont="1"/>
    <xf numFmtId="0" fontId="13" fillId="2" borderId="2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12" fillId="0" borderId="0" xfId="0" quotePrefix="1" applyNumberFormat="1" applyFont="1" applyAlignment="1">
      <alignment horizontal="left"/>
    </xf>
    <xf numFmtId="0" fontId="6" fillId="0" borderId="0" xfId="0" quotePrefix="1" applyFont="1"/>
    <xf numFmtId="167" fontId="6" fillId="0" borderId="0" xfId="1" applyNumberFormat="1" applyFont="1"/>
    <xf numFmtId="166" fontId="6" fillId="0" borderId="0" xfId="1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169" fontId="6" fillId="0" borderId="0" xfId="2" applyNumberFormat="1" applyFont="1"/>
    <xf numFmtId="3" fontId="11" fillId="0" borderId="0" xfId="0" applyNumberFormat="1" applyFont="1"/>
    <xf numFmtId="1" fontId="6" fillId="0" borderId="0" xfId="0" applyNumberFormat="1" applyFont="1"/>
    <xf numFmtId="3" fontId="6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8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0" xfId="0" applyNumberFormat="1" applyFont="1"/>
    <xf numFmtId="0" fontId="8" fillId="2" borderId="2" xfId="0" applyFont="1" applyFill="1" applyBorder="1"/>
    <xf numFmtId="0" fontId="8" fillId="2" borderId="1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6" fillId="0" borderId="0" xfId="1" applyFont="1"/>
    <xf numFmtId="168" fontId="6" fillId="0" borderId="0" xfId="1" quotePrefix="1" applyNumberFormat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165" fontId="5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718B-046F-4F39-B7A8-376B580E9073}">
  <sheetPr>
    <pageSetUpPr fitToPage="1"/>
  </sheetPr>
  <dimension ref="A1:U74"/>
  <sheetViews>
    <sheetView tabSelected="1" zoomScaleNormal="100" workbookViewId="0">
      <pane xSplit="6" ySplit="7" topLeftCell="G38" activePane="bottomRight" state="frozen"/>
      <selection pane="topRight" activeCell="G1" sqref="G1"/>
      <selection pane="bottomLeft" activeCell="A8" sqref="A8"/>
      <selection pane="bottomRight" activeCell="K47" sqref="K47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7.7109375" style="2" customWidth="1"/>
    <col min="7" max="7" width="12.28515625" style="2" customWidth="1"/>
    <col min="8" max="11" width="11.28515625" style="2" customWidth="1"/>
    <col min="12" max="18" width="11.28515625" style="2" hidden="1" customWidth="1"/>
    <col min="19" max="19" width="9.140625" style="2"/>
    <col min="20" max="20" width="10.140625" style="2" bestFit="1" customWidth="1"/>
    <col min="21" max="21" width="11.28515625" style="2" bestFit="1" customWidth="1"/>
    <col min="22" max="16384" width="9.140625" style="2"/>
  </cols>
  <sheetData>
    <row r="1" spans="1:21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21" ht="15" x14ac:dyDescent="0.2">
      <c r="A2" s="83" t="s">
        <v>232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1" ht="6" customHeight="1" x14ac:dyDescent="0.2"/>
    <row r="5" spans="1:21" ht="6" customHeight="1" x14ac:dyDescent="0.2"/>
    <row r="6" spans="1:21" s="3" customFormat="1" x14ac:dyDescent="0.2">
      <c r="A6" s="80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80</v>
      </c>
      <c r="M6" s="80" t="s">
        <v>5</v>
      </c>
      <c r="N6" s="80" t="s">
        <v>6</v>
      </c>
      <c r="O6" s="80" t="s">
        <v>81</v>
      </c>
      <c r="P6" s="80" t="s">
        <v>7</v>
      </c>
      <c r="Q6" s="80" t="s">
        <v>8</v>
      </c>
      <c r="R6" s="80" t="s">
        <v>9</v>
      </c>
    </row>
    <row r="7" spans="1:21" ht="10.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21" ht="7.5" customHeight="1" thickTop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ht="15" x14ac:dyDescent="0.25">
      <c r="A9" s="5" t="s">
        <v>97</v>
      </c>
      <c r="B9" s="5"/>
      <c r="C9" s="5"/>
      <c r="D9" s="5"/>
      <c r="E9" s="5"/>
      <c r="F9" s="5"/>
      <c r="G9" s="8">
        <f t="shared" ref="G9:R9" si="0">G11+G64</f>
        <v>11083933.770000001</v>
      </c>
      <c r="H9" s="8">
        <f t="shared" si="0"/>
        <v>11223553.48</v>
      </c>
      <c r="I9" s="8">
        <f t="shared" si="0"/>
        <v>11379381.640000001</v>
      </c>
      <c r="J9" s="8">
        <f t="shared" si="0"/>
        <v>11590401.920000002</v>
      </c>
      <c r="K9" s="8">
        <f t="shared" si="0"/>
        <v>11780361.57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U9" s="16"/>
    </row>
    <row r="10" spans="1:21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1" ht="15" x14ac:dyDescent="0.25">
      <c r="B11" s="5" t="s">
        <v>89</v>
      </c>
      <c r="C11" s="5"/>
      <c r="D11" s="5"/>
      <c r="E11" s="5"/>
      <c r="F11" s="5"/>
      <c r="G11" s="8">
        <f t="shared" ref="G11:R11" si="1">G13+G21</f>
        <v>11083933.770000001</v>
      </c>
      <c r="H11" s="8">
        <f t="shared" si="1"/>
        <v>11223553.48</v>
      </c>
      <c r="I11" s="8">
        <f t="shared" si="1"/>
        <v>11379381.640000001</v>
      </c>
      <c r="J11" s="8">
        <f t="shared" si="1"/>
        <v>11590401.920000002</v>
      </c>
      <c r="K11" s="8">
        <f t="shared" si="1"/>
        <v>11780361.57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  <c r="Q11" s="8">
        <f t="shared" si="1"/>
        <v>0</v>
      </c>
      <c r="R11" s="8">
        <f t="shared" si="1"/>
        <v>0</v>
      </c>
      <c r="U11" s="16"/>
    </row>
    <row r="12" spans="1:21" ht="15" x14ac:dyDescent="0.25">
      <c r="B12" s="5"/>
      <c r="C12" s="5"/>
      <c r="D12" s="5"/>
      <c r="E12" s="5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1" ht="15" x14ac:dyDescent="0.25">
      <c r="B13" s="9"/>
      <c r="C13" s="9" t="s">
        <v>90</v>
      </c>
      <c r="F13" s="9"/>
      <c r="G13" s="8">
        <f t="shared" ref="G13:R13" si="2">SUM(G14:G19)</f>
        <v>766368.3</v>
      </c>
      <c r="H13" s="8">
        <f t="shared" si="2"/>
        <v>777168.3</v>
      </c>
      <c r="I13" s="8">
        <f t="shared" si="2"/>
        <v>802568.3</v>
      </c>
      <c r="J13" s="8">
        <f t="shared" si="2"/>
        <v>820278.3</v>
      </c>
      <c r="K13" s="8">
        <f t="shared" si="2"/>
        <v>846578.3</v>
      </c>
      <c r="L13" s="8">
        <f t="shared" si="2"/>
        <v>0</v>
      </c>
      <c r="M13" s="8">
        <f t="shared" si="2"/>
        <v>0</v>
      </c>
      <c r="N13" s="8">
        <f t="shared" si="2"/>
        <v>0</v>
      </c>
      <c r="O13" s="8">
        <f t="shared" si="2"/>
        <v>0</v>
      </c>
      <c r="P13" s="8">
        <f t="shared" si="2"/>
        <v>0</v>
      </c>
      <c r="Q13" s="8">
        <f t="shared" si="2"/>
        <v>0</v>
      </c>
      <c r="R13" s="8">
        <f t="shared" si="2"/>
        <v>0</v>
      </c>
      <c r="U13" s="16"/>
    </row>
    <row r="14" spans="1:21" x14ac:dyDescent="0.2">
      <c r="F14" s="2" t="s">
        <v>76</v>
      </c>
      <c r="G14" s="10">
        <v>174568.3</v>
      </c>
      <c r="H14" s="10">
        <v>174568.3</v>
      </c>
      <c r="I14" s="10">
        <v>174568.3</v>
      </c>
      <c r="J14" s="10">
        <v>174568.3</v>
      </c>
      <c r="K14" s="10">
        <v>174568.3</v>
      </c>
      <c r="L14" s="10"/>
      <c r="M14" s="10"/>
      <c r="N14" s="10"/>
      <c r="O14" s="10"/>
      <c r="P14" s="10"/>
      <c r="Q14" s="10"/>
      <c r="R14" s="10"/>
    </row>
    <row r="15" spans="1:21" x14ac:dyDescent="0.2">
      <c r="F15" s="11" t="s">
        <v>104</v>
      </c>
      <c r="G15" s="10">
        <v>78500</v>
      </c>
      <c r="H15" s="10">
        <v>82200</v>
      </c>
      <c r="I15" s="10">
        <v>100800</v>
      </c>
      <c r="J15" s="10">
        <v>103010</v>
      </c>
      <c r="K15" s="10">
        <v>104210</v>
      </c>
      <c r="L15" s="10"/>
      <c r="M15" s="10"/>
      <c r="N15" s="10"/>
      <c r="O15" s="10"/>
      <c r="P15" s="10"/>
      <c r="Q15" s="10"/>
      <c r="R15" s="10"/>
    </row>
    <row r="16" spans="1:21" x14ac:dyDescent="0.2">
      <c r="F16" s="11" t="s">
        <v>105</v>
      </c>
      <c r="G16" s="10">
        <v>170800</v>
      </c>
      <c r="H16" s="10">
        <v>170400</v>
      </c>
      <c r="I16" s="10">
        <v>175600</v>
      </c>
      <c r="J16" s="10">
        <v>183100</v>
      </c>
      <c r="K16" s="10">
        <v>190600</v>
      </c>
      <c r="L16" s="10"/>
      <c r="M16" s="10"/>
      <c r="N16" s="10"/>
      <c r="O16" s="10"/>
      <c r="P16" s="10"/>
      <c r="Q16" s="10"/>
      <c r="R16" s="10"/>
    </row>
    <row r="17" spans="2:21" x14ac:dyDescent="0.2">
      <c r="F17" s="11" t="s">
        <v>106</v>
      </c>
      <c r="G17" s="10">
        <v>310000</v>
      </c>
      <c r="H17" s="10">
        <v>320000</v>
      </c>
      <c r="I17" s="10">
        <v>341600</v>
      </c>
      <c r="J17" s="10">
        <v>359600</v>
      </c>
      <c r="K17" s="10">
        <v>377200</v>
      </c>
      <c r="L17" s="10"/>
      <c r="M17" s="10"/>
      <c r="N17" s="10"/>
      <c r="O17" s="10"/>
      <c r="P17" s="10"/>
      <c r="Q17" s="10"/>
      <c r="R17" s="10"/>
    </row>
    <row r="18" spans="2:21" hidden="1" x14ac:dyDescent="0.2">
      <c r="F18" s="2" t="s">
        <v>98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2:21" x14ac:dyDescent="0.2">
      <c r="F19" s="2" t="s">
        <v>99</v>
      </c>
      <c r="G19" s="10">
        <v>32500</v>
      </c>
      <c r="H19" s="10">
        <v>30000</v>
      </c>
      <c r="I19" s="10">
        <v>10000</v>
      </c>
      <c r="J19" s="10">
        <v>0</v>
      </c>
      <c r="K19" s="10">
        <v>0</v>
      </c>
      <c r="L19" s="10"/>
      <c r="M19" s="10"/>
      <c r="N19" s="10"/>
      <c r="O19" s="10"/>
      <c r="P19" s="10"/>
      <c r="Q19" s="10"/>
      <c r="R19" s="10"/>
    </row>
    <row r="20" spans="2:21" x14ac:dyDescent="0.2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21" ht="15" x14ac:dyDescent="0.25">
      <c r="B21" s="9"/>
      <c r="C21" s="9" t="s">
        <v>88</v>
      </c>
      <c r="F21" s="9"/>
      <c r="G21" s="12">
        <f t="shared" ref="G21:R21" si="3">G22+G34</f>
        <v>10317565.470000001</v>
      </c>
      <c r="H21" s="12">
        <f t="shared" si="3"/>
        <v>10446385.18</v>
      </c>
      <c r="I21" s="12">
        <f t="shared" si="3"/>
        <v>10576813.34</v>
      </c>
      <c r="J21" s="12">
        <f t="shared" si="3"/>
        <v>10770123.620000001</v>
      </c>
      <c r="K21" s="12">
        <f t="shared" si="3"/>
        <v>10933783.27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 t="shared" si="3"/>
        <v>0</v>
      </c>
      <c r="R21" s="12">
        <f t="shared" si="3"/>
        <v>0</v>
      </c>
      <c r="U21" s="16"/>
    </row>
    <row r="22" spans="2:21" ht="15" x14ac:dyDescent="0.25">
      <c r="B22" s="9"/>
      <c r="C22" s="9"/>
      <c r="D22" s="9" t="s">
        <v>91</v>
      </c>
      <c r="E22" s="9"/>
      <c r="G22" s="12">
        <f t="shared" ref="G22:R22" si="4">SUM(G23:G32)</f>
        <v>5868004.3300000001</v>
      </c>
      <c r="H22" s="12">
        <f t="shared" si="4"/>
        <v>5998004</v>
      </c>
      <c r="I22" s="12">
        <f t="shared" si="4"/>
        <v>6130404.4000000004</v>
      </c>
      <c r="J22" s="12">
        <f t="shared" si="4"/>
        <v>5997576.4000000004</v>
      </c>
      <c r="K22" s="12">
        <f t="shared" si="4"/>
        <v>6117334.4000000004</v>
      </c>
      <c r="L22" s="12">
        <f>SUM(L23:L32)</f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U22" s="16"/>
    </row>
    <row r="23" spans="2:21" x14ac:dyDescent="0.2">
      <c r="F23" s="2" t="s">
        <v>22</v>
      </c>
      <c r="G23" s="10">
        <v>181283</v>
      </c>
      <c r="H23" s="10">
        <v>181283</v>
      </c>
      <c r="I23" s="10">
        <v>181283</v>
      </c>
      <c r="J23" s="10">
        <v>111187</v>
      </c>
      <c r="K23" s="10">
        <v>111187</v>
      </c>
      <c r="L23" s="10"/>
      <c r="M23" s="10"/>
      <c r="N23" s="10"/>
      <c r="O23" s="10"/>
      <c r="P23" s="10"/>
      <c r="Q23" s="10"/>
      <c r="R23" s="10"/>
    </row>
    <row r="24" spans="2:21" x14ac:dyDescent="0.2">
      <c r="F24" s="2" t="s">
        <v>230</v>
      </c>
      <c r="G24" s="10">
        <v>45000</v>
      </c>
      <c r="H24" s="10">
        <v>45000</v>
      </c>
      <c r="I24" s="10">
        <v>45000</v>
      </c>
      <c r="J24" s="10">
        <v>45000</v>
      </c>
      <c r="K24" s="10">
        <v>45000</v>
      </c>
      <c r="L24" s="10"/>
      <c r="M24" s="10"/>
      <c r="N24" s="10"/>
      <c r="O24" s="10"/>
      <c r="P24" s="10"/>
      <c r="Q24" s="10"/>
      <c r="R24" s="10"/>
    </row>
    <row r="25" spans="2:21" x14ac:dyDescent="0.2">
      <c r="F25" s="2" t="s">
        <v>14</v>
      </c>
      <c r="G25" s="10">
        <v>312188</v>
      </c>
      <c r="H25" s="10">
        <v>312188</v>
      </c>
      <c r="I25" s="10">
        <v>312188</v>
      </c>
      <c r="J25" s="10">
        <v>312188</v>
      </c>
      <c r="K25" s="10">
        <v>312188</v>
      </c>
      <c r="L25" s="10"/>
      <c r="M25" s="10"/>
      <c r="N25" s="10"/>
      <c r="O25" s="10"/>
      <c r="P25" s="10"/>
      <c r="Q25" s="10"/>
      <c r="R25" s="10"/>
    </row>
    <row r="26" spans="2:21" x14ac:dyDescent="0.2">
      <c r="F26" s="2" t="s">
        <v>15</v>
      </c>
      <c r="G26" s="10">
        <v>1595625</v>
      </c>
      <c r="H26" s="10">
        <v>1635625</v>
      </c>
      <c r="I26" s="10">
        <v>1676025</v>
      </c>
      <c r="J26" s="10">
        <v>1616512</v>
      </c>
      <c r="K26" s="10">
        <v>1661512</v>
      </c>
      <c r="L26" s="10"/>
      <c r="M26" s="10"/>
      <c r="N26" s="10"/>
      <c r="O26" s="10"/>
      <c r="P26" s="10"/>
      <c r="Q26" s="10"/>
      <c r="R26" s="10"/>
    </row>
    <row r="27" spans="2:21" x14ac:dyDescent="0.2">
      <c r="F27" s="2" t="s">
        <v>20</v>
      </c>
      <c r="G27" s="10">
        <v>2203685</v>
      </c>
      <c r="H27" s="10">
        <v>2268685</v>
      </c>
      <c r="I27" s="10">
        <v>2335685</v>
      </c>
      <c r="J27" s="10">
        <v>2335685</v>
      </c>
      <c r="K27" s="10">
        <v>2365685</v>
      </c>
      <c r="L27" s="10"/>
      <c r="M27" s="10"/>
      <c r="N27" s="10"/>
      <c r="O27" s="10"/>
      <c r="P27" s="10"/>
      <c r="Q27" s="10"/>
      <c r="R27" s="10"/>
    </row>
    <row r="28" spans="2:21" x14ac:dyDescent="0.2">
      <c r="F28" s="2" t="s">
        <v>223</v>
      </c>
      <c r="G28" s="10">
        <v>44475</v>
      </c>
      <c r="H28" s="10">
        <v>44475</v>
      </c>
      <c r="I28" s="10">
        <v>44475</v>
      </c>
      <c r="J28" s="10">
        <v>44475</v>
      </c>
      <c r="K28" s="10">
        <v>44475</v>
      </c>
      <c r="L28" s="10"/>
      <c r="M28" s="10"/>
      <c r="N28" s="10"/>
      <c r="O28" s="10"/>
      <c r="P28" s="10"/>
      <c r="Q28" s="10"/>
      <c r="R28" s="10"/>
    </row>
    <row r="29" spans="2:21" x14ac:dyDescent="0.2">
      <c r="F29" s="2" t="s">
        <v>224</v>
      </c>
      <c r="G29" s="10">
        <v>30000</v>
      </c>
      <c r="H29" s="10">
        <v>30000</v>
      </c>
      <c r="I29" s="10">
        <v>30000</v>
      </c>
      <c r="J29" s="10">
        <v>30000</v>
      </c>
      <c r="K29" s="10">
        <v>30000</v>
      </c>
      <c r="L29" s="10"/>
      <c r="M29" s="10"/>
      <c r="N29" s="10"/>
      <c r="O29" s="10"/>
      <c r="P29" s="10"/>
      <c r="Q29" s="10"/>
      <c r="R29" s="10"/>
    </row>
    <row r="30" spans="2:21" x14ac:dyDescent="0.2">
      <c r="F30" s="2" t="s">
        <v>16</v>
      </c>
      <c r="G30" s="10">
        <v>993626.92</v>
      </c>
      <c r="H30" s="10">
        <v>1018627</v>
      </c>
      <c r="I30" s="10">
        <v>1018627</v>
      </c>
      <c r="J30" s="10">
        <v>1015408</v>
      </c>
      <c r="K30" s="10">
        <v>1060166</v>
      </c>
      <c r="L30" s="10"/>
      <c r="M30" s="10"/>
      <c r="N30" s="10"/>
      <c r="O30" s="10"/>
      <c r="P30" s="10"/>
      <c r="Q30" s="10"/>
      <c r="R30" s="10"/>
    </row>
    <row r="31" spans="2:21" x14ac:dyDescent="0.2">
      <c r="F31" s="2" t="s">
        <v>19</v>
      </c>
      <c r="G31" s="10">
        <v>462121.41</v>
      </c>
      <c r="H31" s="10">
        <v>462121</v>
      </c>
      <c r="I31" s="10">
        <v>487121.4</v>
      </c>
      <c r="J31" s="10">
        <v>487121.4</v>
      </c>
      <c r="K31" s="10">
        <v>487121.4</v>
      </c>
      <c r="L31" s="10"/>
      <c r="M31" s="10"/>
      <c r="N31" s="10"/>
      <c r="O31" s="10"/>
      <c r="P31" s="10"/>
      <c r="Q31" s="10"/>
      <c r="R31" s="10"/>
    </row>
    <row r="32" spans="2:21" x14ac:dyDescent="0.2">
      <c r="F32" s="2" t="s">
        <v>231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/>
      <c r="M32" s="10"/>
      <c r="N32" s="10"/>
      <c r="O32" s="10"/>
      <c r="P32" s="10"/>
      <c r="Q32" s="10"/>
      <c r="R32" s="10"/>
    </row>
    <row r="33" spans="1:21" x14ac:dyDescent="0.2"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1" ht="15" x14ac:dyDescent="0.25">
      <c r="B34" s="9"/>
      <c r="D34" s="9" t="s">
        <v>92</v>
      </c>
      <c r="E34" s="9"/>
      <c r="G34" s="8">
        <f t="shared" ref="G34:R34" si="5">G35+G44+G49+G51+G53+G56+G61</f>
        <v>4449561.1400000006</v>
      </c>
      <c r="H34" s="8">
        <f t="shared" si="5"/>
        <v>4448381.1800000006</v>
      </c>
      <c r="I34" s="8">
        <f t="shared" si="5"/>
        <v>4446408.9400000004</v>
      </c>
      <c r="J34" s="8">
        <f t="shared" si="5"/>
        <v>4772547.2200000007</v>
      </c>
      <c r="K34" s="8">
        <f t="shared" si="5"/>
        <v>4816448.87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  <c r="P34" s="8">
        <f t="shared" si="5"/>
        <v>0</v>
      </c>
      <c r="Q34" s="8">
        <f t="shared" si="5"/>
        <v>0</v>
      </c>
      <c r="R34" s="8">
        <f t="shared" si="5"/>
        <v>0</v>
      </c>
      <c r="U34" s="16"/>
    </row>
    <row r="35" spans="1:21" ht="15" x14ac:dyDescent="0.25">
      <c r="B35" s="9"/>
      <c r="C35" s="9"/>
      <c r="E35" s="9" t="s">
        <v>34</v>
      </c>
      <c r="G35" s="12">
        <f t="shared" ref="G35" si="6">SUM(G36:G42)</f>
        <v>3130983.18</v>
      </c>
      <c r="H35" s="12">
        <f t="shared" ref="H35:R35" si="7">SUM(H36:H43)</f>
        <v>3130983.0800000005</v>
      </c>
      <c r="I35" s="12">
        <f t="shared" si="7"/>
        <v>3130983.18</v>
      </c>
      <c r="J35" s="12">
        <f t="shared" si="7"/>
        <v>3130983.18</v>
      </c>
      <c r="K35" s="12">
        <f t="shared" si="7"/>
        <v>3130983.18</v>
      </c>
      <c r="L35" s="12">
        <f t="shared" si="7"/>
        <v>0</v>
      </c>
      <c r="M35" s="12">
        <f t="shared" si="7"/>
        <v>0</v>
      </c>
      <c r="N35" s="12">
        <f t="shared" si="7"/>
        <v>0</v>
      </c>
      <c r="O35" s="12">
        <f t="shared" si="7"/>
        <v>0</v>
      </c>
      <c r="P35" s="12">
        <f t="shared" si="7"/>
        <v>0</v>
      </c>
      <c r="Q35" s="12">
        <f t="shared" si="7"/>
        <v>0</v>
      </c>
      <c r="R35" s="12">
        <f t="shared" si="7"/>
        <v>0</v>
      </c>
      <c r="U35" s="16"/>
    </row>
    <row r="36" spans="1:21" hidden="1" x14ac:dyDescent="0.2">
      <c r="F36" s="2" t="s">
        <v>68</v>
      </c>
      <c r="G36" s="16">
        <v>0</v>
      </c>
      <c r="H36" s="10">
        <v>0</v>
      </c>
      <c r="I36" s="10">
        <v>0</v>
      </c>
      <c r="J36" s="10">
        <v>0</v>
      </c>
      <c r="K36" s="10"/>
      <c r="L36" s="10"/>
      <c r="M36" s="10"/>
      <c r="N36" s="10"/>
      <c r="O36" s="10"/>
      <c r="P36" s="10"/>
      <c r="Q36" s="10"/>
      <c r="R36" s="10"/>
    </row>
    <row r="37" spans="1:21" x14ac:dyDescent="0.2">
      <c r="F37" s="2" t="s">
        <v>27</v>
      </c>
      <c r="G37" s="16">
        <v>1559000.92</v>
      </c>
      <c r="H37" s="16">
        <v>1559000.92</v>
      </c>
      <c r="I37" s="16">
        <v>1559000.92</v>
      </c>
      <c r="J37" s="16">
        <v>1559000.92</v>
      </c>
      <c r="K37" s="16">
        <v>1559000.92</v>
      </c>
      <c r="L37" s="16"/>
      <c r="M37" s="16"/>
      <c r="N37" s="16"/>
      <c r="O37" s="16"/>
      <c r="P37" s="16"/>
      <c r="Q37" s="16"/>
      <c r="R37" s="16"/>
      <c r="U37" s="16"/>
    </row>
    <row r="38" spans="1:21" x14ac:dyDescent="0.2">
      <c r="F38" s="2" t="s">
        <v>145</v>
      </c>
      <c r="G38" s="16">
        <v>1064237.6499999999</v>
      </c>
      <c r="H38" s="16">
        <v>1064237.6000000001</v>
      </c>
      <c r="I38" s="16">
        <v>1064237.6499999999</v>
      </c>
      <c r="J38" s="16">
        <v>1064237.6499999999</v>
      </c>
      <c r="K38" s="16">
        <v>1064237.6499999999</v>
      </c>
      <c r="L38" s="16"/>
      <c r="M38" s="16"/>
      <c r="N38" s="16"/>
      <c r="O38" s="16"/>
      <c r="P38" s="16"/>
      <c r="Q38" s="16"/>
      <c r="R38" s="16"/>
      <c r="U38" s="16"/>
    </row>
    <row r="39" spans="1:21" x14ac:dyDescent="0.2">
      <c r="F39" s="2" t="s">
        <v>67</v>
      </c>
      <c r="G39" s="16">
        <v>100125.71</v>
      </c>
      <c r="H39" s="16">
        <v>100125.7</v>
      </c>
      <c r="I39" s="16">
        <v>100125.71</v>
      </c>
      <c r="J39" s="16">
        <v>100125.71</v>
      </c>
      <c r="K39" s="16">
        <v>100125.71</v>
      </c>
      <c r="L39" s="16"/>
      <c r="M39" s="16"/>
      <c r="N39" s="16"/>
      <c r="O39" s="16"/>
      <c r="P39" s="16"/>
      <c r="Q39" s="16"/>
      <c r="R39" s="16"/>
      <c r="U39" s="16"/>
    </row>
    <row r="40" spans="1:21" x14ac:dyDescent="0.2">
      <c r="F40" s="2" t="s">
        <v>66</v>
      </c>
      <c r="G40" s="10">
        <v>95805.24</v>
      </c>
      <c r="H40" s="10">
        <v>95805.2</v>
      </c>
      <c r="I40" s="10">
        <v>95805.24</v>
      </c>
      <c r="J40" s="10">
        <v>95805.24</v>
      </c>
      <c r="K40" s="10">
        <v>95805.24</v>
      </c>
      <c r="L40" s="10"/>
      <c r="M40" s="10"/>
      <c r="N40" s="10"/>
      <c r="O40" s="10"/>
      <c r="P40" s="10"/>
      <c r="Q40" s="10"/>
      <c r="R40" s="10"/>
      <c r="U40" s="16"/>
    </row>
    <row r="41" spans="1:21" x14ac:dyDescent="0.2">
      <c r="F41" s="2" t="s">
        <v>72</v>
      </c>
      <c r="G41" s="10">
        <v>132682.04</v>
      </c>
      <c r="H41" s="10">
        <v>132682.04</v>
      </c>
      <c r="I41" s="10">
        <v>132682.04</v>
      </c>
      <c r="J41" s="10">
        <v>132682.04</v>
      </c>
      <c r="K41" s="10">
        <v>132682.04</v>
      </c>
      <c r="L41" s="10"/>
      <c r="M41" s="10"/>
      <c r="N41" s="10"/>
      <c r="O41" s="10"/>
      <c r="P41" s="10"/>
      <c r="Q41" s="10"/>
      <c r="R41" s="10"/>
      <c r="U41" s="16"/>
    </row>
    <row r="42" spans="1:21" x14ac:dyDescent="0.2">
      <c r="F42" s="2" t="s">
        <v>73</v>
      </c>
      <c r="G42" s="10">
        <v>179131.62</v>
      </c>
      <c r="H42" s="10">
        <v>179131.62</v>
      </c>
      <c r="I42" s="10">
        <v>179131.62</v>
      </c>
      <c r="J42" s="10">
        <v>179131.62</v>
      </c>
      <c r="K42" s="10">
        <v>179131.62</v>
      </c>
      <c r="L42" s="10"/>
      <c r="M42" s="10"/>
      <c r="N42" s="10"/>
      <c r="O42" s="10"/>
      <c r="P42" s="10"/>
      <c r="Q42" s="10"/>
      <c r="R42" s="10"/>
      <c r="U42" s="16"/>
    </row>
    <row r="43" spans="1:21" x14ac:dyDescent="0.2"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21" ht="15" x14ac:dyDescent="0.25">
      <c r="C44" s="13"/>
      <c r="D44" s="9"/>
      <c r="E44" s="9" t="s">
        <v>93</v>
      </c>
      <c r="G44" s="12">
        <f t="shared" ref="G44:R44" si="8">SUM(G45:G47)</f>
        <v>1097747.21</v>
      </c>
      <c r="H44" s="12">
        <f t="shared" si="8"/>
        <v>1097747.2</v>
      </c>
      <c r="I44" s="12">
        <f t="shared" si="8"/>
        <v>1097747.21</v>
      </c>
      <c r="J44" s="12">
        <f t="shared" si="8"/>
        <v>1427747.04</v>
      </c>
      <c r="K44" s="12">
        <f t="shared" si="8"/>
        <v>1467747.69</v>
      </c>
      <c r="L44" s="12">
        <f t="shared" si="8"/>
        <v>0</v>
      </c>
      <c r="M44" s="12">
        <f t="shared" si="8"/>
        <v>0</v>
      </c>
      <c r="N44" s="12">
        <f t="shared" si="8"/>
        <v>0</v>
      </c>
      <c r="O44" s="12">
        <f t="shared" si="8"/>
        <v>0</v>
      </c>
      <c r="P44" s="12">
        <f t="shared" si="8"/>
        <v>0</v>
      </c>
      <c r="Q44" s="12">
        <f t="shared" si="8"/>
        <v>0</v>
      </c>
      <c r="R44" s="12">
        <f t="shared" si="8"/>
        <v>0</v>
      </c>
      <c r="U44" s="16"/>
    </row>
    <row r="45" spans="1:21" ht="15" x14ac:dyDescent="0.25">
      <c r="A45" s="9"/>
      <c r="B45" s="9"/>
      <c r="C45" s="9"/>
      <c r="F45" s="2" t="s">
        <v>62</v>
      </c>
      <c r="G45" s="10">
        <v>288659.52</v>
      </c>
      <c r="H45" s="10">
        <v>288659.5</v>
      </c>
      <c r="I45" s="10">
        <v>288659.52</v>
      </c>
      <c r="J45" s="10">
        <v>588659.5</v>
      </c>
      <c r="K45" s="10">
        <v>628660</v>
      </c>
      <c r="L45" s="10"/>
      <c r="M45" s="10"/>
      <c r="N45" s="10"/>
      <c r="O45" s="10"/>
      <c r="P45" s="10"/>
      <c r="Q45" s="10"/>
      <c r="R45" s="10"/>
    </row>
    <row r="46" spans="1:21" ht="15" x14ac:dyDescent="0.25">
      <c r="A46" s="9"/>
      <c r="B46" s="9"/>
      <c r="C46" s="9"/>
      <c r="F46" s="2" t="s">
        <v>16</v>
      </c>
      <c r="G46" s="10">
        <v>383313.15</v>
      </c>
      <c r="H46" s="10">
        <v>383313.2</v>
      </c>
      <c r="I46" s="10">
        <v>383313.15</v>
      </c>
      <c r="J46" s="10">
        <v>413313</v>
      </c>
      <c r="K46" s="10">
        <v>413313.15</v>
      </c>
      <c r="L46" s="10"/>
      <c r="M46" s="10"/>
      <c r="N46" s="10"/>
      <c r="O46" s="10"/>
      <c r="P46" s="10"/>
      <c r="Q46" s="10"/>
      <c r="R46" s="10"/>
    </row>
    <row r="47" spans="1:21" ht="15" x14ac:dyDescent="0.25">
      <c r="A47" s="9"/>
      <c r="B47" s="9"/>
      <c r="C47" s="9"/>
      <c r="F47" s="2" t="s">
        <v>19</v>
      </c>
      <c r="G47" s="10">
        <v>425774.54</v>
      </c>
      <c r="H47" s="10">
        <v>425774.5</v>
      </c>
      <c r="I47" s="10">
        <v>425774.54</v>
      </c>
      <c r="J47" s="10">
        <v>425774.54</v>
      </c>
      <c r="K47" s="10">
        <v>425774.54</v>
      </c>
      <c r="L47" s="10"/>
      <c r="M47" s="10"/>
      <c r="N47" s="10"/>
      <c r="O47" s="10"/>
      <c r="P47" s="10"/>
      <c r="Q47" s="10"/>
      <c r="R47" s="10"/>
    </row>
    <row r="48" spans="1:21" ht="15" x14ac:dyDescent="0.25">
      <c r="A48" s="9"/>
      <c r="B48" s="9"/>
      <c r="C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21" ht="15" x14ac:dyDescent="0.25">
      <c r="A49" s="9"/>
      <c r="B49" s="9"/>
      <c r="D49" s="9"/>
      <c r="E49" s="9" t="s">
        <v>94</v>
      </c>
      <c r="F49" s="9"/>
      <c r="G49" s="14">
        <v>50000</v>
      </c>
      <c r="H49" s="14">
        <v>50000</v>
      </c>
      <c r="I49" s="14">
        <v>50000</v>
      </c>
      <c r="J49" s="14">
        <v>50000</v>
      </c>
      <c r="K49" s="14">
        <v>50000</v>
      </c>
      <c r="L49" s="14"/>
      <c r="M49" s="14"/>
      <c r="N49" s="14"/>
      <c r="O49" s="14"/>
      <c r="P49" s="14"/>
      <c r="Q49" s="14"/>
      <c r="R49" s="14"/>
      <c r="U49" s="16"/>
    </row>
    <row r="50" spans="1:21" ht="15" x14ac:dyDescent="0.25">
      <c r="A50" s="9"/>
      <c r="B50" s="9"/>
      <c r="C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21" ht="15" x14ac:dyDescent="0.25">
      <c r="A51" s="9"/>
      <c r="B51" s="9"/>
      <c r="D51" s="9"/>
      <c r="E51" s="9" t="s">
        <v>95</v>
      </c>
      <c r="F51" s="9"/>
      <c r="G51" s="14">
        <v>4152.6400000000003</v>
      </c>
      <c r="H51" s="14">
        <v>4072</v>
      </c>
      <c r="I51" s="14">
        <v>4127</v>
      </c>
      <c r="J51" s="14">
        <v>4111</v>
      </c>
      <c r="K51" s="14">
        <v>8921</v>
      </c>
      <c r="L51" s="14"/>
      <c r="M51" s="14"/>
      <c r="N51" s="14"/>
      <c r="O51" s="14"/>
      <c r="P51" s="14"/>
      <c r="Q51" s="14"/>
      <c r="R51" s="14"/>
      <c r="U51" s="16"/>
    </row>
    <row r="52" spans="1:21" ht="15" x14ac:dyDescent="0.25">
      <c r="A52" s="9"/>
      <c r="B52" s="9"/>
      <c r="C52" s="9"/>
      <c r="D52" s="9"/>
      <c r="E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21" ht="15" x14ac:dyDescent="0.25">
      <c r="A53" s="9"/>
      <c r="B53" s="9"/>
      <c r="C53" s="13" t="s">
        <v>84</v>
      </c>
      <c r="D53" s="9"/>
      <c r="E53" s="9" t="s">
        <v>96</v>
      </c>
      <c r="G53" s="15">
        <f t="shared" ref="G53" si="9">G54</f>
        <v>0</v>
      </c>
      <c r="H53" s="15">
        <v>0</v>
      </c>
      <c r="I53" s="15">
        <v>0</v>
      </c>
      <c r="J53" s="15">
        <v>0</v>
      </c>
      <c r="K53" s="15"/>
      <c r="L53" s="15"/>
      <c r="M53" s="15"/>
      <c r="N53" s="15"/>
      <c r="O53" s="15"/>
      <c r="P53" s="15"/>
      <c r="Q53" s="15"/>
      <c r="R53" s="15"/>
    </row>
    <row r="54" spans="1:21" ht="15" hidden="1" x14ac:dyDescent="0.25">
      <c r="A54" s="9"/>
      <c r="B54" s="9"/>
      <c r="C54" s="13"/>
      <c r="D54" s="9"/>
      <c r="E54" s="9"/>
      <c r="F54" s="2" t="s">
        <v>79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</row>
    <row r="55" spans="1:21" ht="15" x14ac:dyDescent="0.25">
      <c r="A55" s="9"/>
      <c r="B55" s="9"/>
      <c r="C55" s="13"/>
      <c r="D55" s="9"/>
      <c r="E55" s="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21" ht="15" x14ac:dyDescent="0.25">
      <c r="A56" s="9"/>
      <c r="B56" s="9"/>
      <c r="C56" s="13"/>
      <c r="D56" s="9"/>
      <c r="E56" s="9" t="s">
        <v>143</v>
      </c>
      <c r="G56" s="14">
        <f t="shared" ref="G56:R56" si="10">SUM(G57:G59)</f>
        <v>166678.10999999999</v>
      </c>
      <c r="H56" s="14">
        <f t="shared" si="10"/>
        <v>165578.90000000002</v>
      </c>
      <c r="I56" s="14">
        <f t="shared" si="10"/>
        <v>163551.54999999999</v>
      </c>
      <c r="J56" s="14">
        <f t="shared" si="10"/>
        <v>159706</v>
      </c>
      <c r="K56" s="14">
        <f t="shared" si="10"/>
        <v>158797</v>
      </c>
      <c r="L56" s="14">
        <f t="shared" si="10"/>
        <v>0</v>
      </c>
      <c r="M56" s="14">
        <f t="shared" si="10"/>
        <v>0</v>
      </c>
      <c r="N56" s="14">
        <f t="shared" si="10"/>
        <v>0</v>
      </c>
      <c r="O56" s="14">
        <f t="shared" si="10"/>
        <v>0</v>
      </c>
      <c r="P56" s="14">
        <f t="shared" si="10"/>
        <v>0</v>
      </c>
      <c r="Q56" s="14">
        <f t="shared" si="10"/>
        <v>0</v>
      </c>
      <c r="R56" s="14">
        <f t="shared" si="10"/>
        <v>0</v>
      </c>
      <c r="U56" s="16"/>
    </row>
    <row r="57" spans="1:21" ht="15" x14ac:dyDescent="0.25">
      <c r="A57" s="9"/>
      <c r="B57" s="9"/>
      <c r="C57" s="13"/>
      <c r="D57" s="9"/>
      <c r="E57" s="9"/>
      <c r="F57" s="2" t="s">
        <v>141</v>
      </c>
      <c r="G57" s="10">
        <v>65012.76</v>
      </c>
      <c r="H57" s="10">
        <v>64584</v>
      </c>
      <c r="I57" s="10">
        <v>63793.25</v>
      </c>
      <c r="J57" s="10">
        <v>62293</v>
      </c>
      <c r="K57" s="10">
        <v>61939</v>
      </c>
      <c r="L57" s="10"/>
      <c r="M57" s="10"/>
      <c r="N57" s="10"/>
      <c r="O57" s="10"/>
      <c r="P57" s="10"/>
      <c r="Q57" s="10"/>
      <c r="R57" s="10"/>
    </row>
    <row r="58" spans="1:21" ht="15" x14ac:dyDescent="0.25">
      <c r="A58" s="9"/>
      <c r="B58" s="9"/>
      <c r="C58" s="13"/>
      <c r="D58" s="9"/>
      <c r="E58" s="9"/>
      <c r="F58" s="2" t="s">
        <v>225</v>
      </c>
      <c r="G58" s="10">
        <v>73660.990000000005</v>
      </c>
      <c r="H58" s="10">
        <v>73175.199999999997</v>
      </c>
      <c r="I58" s="10">
        <v>72279.25</v>
      </c>
      <c r="J58" s="10">
        <v>70580</v>
      </c>
      <c r="K58" s="10">
        <v>70178</v>
      </c>
      <c r="L58" s="10"/>
      <c r="M58" s="10"/>
      <c r="N58" s="10"/>
      <c r="O58" s="10"/>
      <c r="P58" s="10"/>
      <c r="Q58" s="10"/>
      <c r="R58" s="10"/>
    </row>
    <row r="59" spans="1:21" ht="15" x14ac:dyDescent="0.25">
      <c r="A59" s="9"/>
      <c r="B59" s="9"/>
      <c r="C59" s="13"/>
      <c r="D59" s="9"/>
      <c r="E59" s="9"/>
      <c r="F59" s="2" t="s">
        <v>144</v>
      </c>
      <c r="G59" s="10">
        <v>28004.36</v>
      </c>
      <c r="H59" s="10">
        <v>27819.7</v>
      </c>
      <c r="I59" s="10">
        <v>27479.05</v>
      </c>
      <c r="J59" s="10">
        <v>26833</v>
      </c>
      <c r="K59" s="10">
        <v>26680</v>
      </c>
      <c r="L59" s="10"/>
      <c r="M59" s="10"/>
      <c r="N59" s="10"/>
      <c r="O59" s="10"/>
      <c r="P59" s="10"/>
      <c r="Q59" s="10"/>
      <c r="R59" s="10"/>
    </row>
    <row r="60" spans="1:21" ht="15" x14ac:dyDescent="0.25">
      <c r="A60" s="9"/>
      <c r="B60" s="9"/>
      <c r="C60" s="13"/>
      <c r="D60" s="9"/>
      <c r="E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21" s="9" customFormat="1" ht="15" x14ac:dyDescent="0.25">
      <c r="C61" s="13"/>
      <c r="E61" s="9" t="s">
        <v>226</v>
      </c>
      <c r="F61" s="9" t="s">
        <v>227</v>
      </c>
      <c r="G61" s="14">
        <f t="shared" ref="G61:R61" si="11">G62</f>
        <v>0</v>
      </c>
      <c r="H61" s="14">
        <f t="shared" si="11"/>
        <v>0</v>
      </c>
      <c r="I61" s="14">
        <f t="shared" si="11"/>
        <v>0</v>
      </c>
      <c r="J61" s="14">
        <f t="shared" si="11"/>
        <v>0</v>
      </c>
      <c r="K61" s="14">
        <f t="shared" si="11"/>
        <v>0</v>
      </c>
      <c r="L61" s="14">
        <f t="shared" si="11"/>
        <v>0</v>
      </c>
      <c r="M61" s="14">
        <f t="shared" si="11"/>
        <v>0</v>
      </c>
      <c r="N61" s="14">
        <f t="shared" si="11"/>
        <v>0</v>
      </c>
      <c r="O61" s="14">
        <f t="shared" si="11"/>
        <v>0</v>
      </c>
      <c r="P61" s="14">
        <f t="shared" si="11"/>
        <v>0</v>
      </c>
      <c r="Q61" s="14">
        <f t="shared" si="11"/>
        <v>0</v>
      </c>
      <c r="R61" s="14">
        <f t="shared" si="11"/>
        <v>0</v>
      </c>
      <c r="U61" s="16"/>
    </row>
    <row r="62" spans="1:21" ht="15" x14ac:dyDescent="0.25">
      <c r="A62" s="9"/>
      <c r="B62" s="9"/>
      <c r="C62" s="13"/>
      <c r="D62" s="9"/>
      <c r="E62" s="9"/>
      <c r="F62" s="2" t="s">
        <v>102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/>
      <c r="M62" s="10"/>
      <c r="N62" s="10"/>
      <c r="O62" s="10"/>
      <c r="P62" s="10"/>
      <c r="Q62" s="10"/>
      <c r="R62" s="10"/>
    </row>
    <row r="63" spans="1:21" ht="15" x14ac:dyDescent="0.25">
      <c r="A63" s="9"/>
      <c r="B63" s="9"/>
      <c r="C63" s="13"/>
      <c r="D63" s="9"/>
      <c r="E63" s="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1" ht="15" x14ac:dyDescent="0.25">
      <c r="A64" s="9" t="s">
        <v>49</v>
      </c>
      <c r="B64" s="9"/>
      <c r="C64" s="9"/>
      <c r="D64" s="9"/>
      <c r="E64" s="9"/>
      <c r="F64" s="9"/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</row>
    <row r="65" spans="1:7" x14ac:dyDescent="0.2">
      <c r="G65" s="16"/>
    </row>
    <row r="66" spans="1:7" x14ac:dyDescent="0.2">
      <c r="G66" s="16" t="s">
        <v>84</v>
      </c>
    </row>
    <row r="67" spans="1:7" x14ac:dyDescent="0.2">
      <c r="G67" s="16"/>
    </row>
    <row r="68" spans="1:7" x14ac:dyDescent="0.2">
      <c r="A68" s="17"/>
      <c r="B68" s="78" t="s">
        <v>21</v>
      </c>
      <c r="C68" s="18"/>
      <c r="D68" s="18"/>
      <c r="E68" s="18"/>
      <c r="F68" s="18"/>
      <c r="G68" s="18"/>
    </row>
    <row r="69" spans="1:7" x14ac:dyDescent="0.2">
      <c r="B69" s="19"/>
      <c r="C69" s="19"/>
      <c r="D69" s="20"/>
      <c r="E69" s="20"/>
      <c r="G69" s="20"/>
    </row>
    <row r="70" spans="1:7" x14ac:dyDescent="0.2">
      <c r="B70" s="79"/>
      <c r="C70" s="79"/>
      <c r="D70" s="79"/>
      <c r="E70" s="79"/>
      <c r="F70" s="79"/>
    </row>
    <row r="71" spans="1:7" x14ac:dyDescent="0.2">
      <c r="A71" s="18"/>
      <c r="B71" s="18"/>
      <c r="C71" s="18"/>
    </row>
    <row r="72" spans="1:7" x14ac:dyDescent="0.2">
      <c r="A72" s="20"/>
      <c r="B72" s="18"/>
      <c r="C72" s="18"/>
    </row>
    <row r="74" spans="1:7" x14ac:dyDescent="0.2">
      <c r="F74" s="21" t="s">
        <v>71</v>
      </c>
    </row>
  </sheetData>
  <mergeCells count="17">
    <mergeCell ref="Q6:Q7"/>
    <mergeCell ref="R6:R7"/>
    <mergeCell ref="A1:R1"/>
    <mergeCell ref="A2:R2"/>
    <mergeCell ref="A3:R3"/>
    <mergeCell ref="A6:F7"/>
    <mergeCell ref="G6:G7"/>
    <mergeCell ref="H6:H7"/>
    <mergeCell ref="I6:I7"/>
    <mergeCell ref="J6:J7"/>
    <mergeCell ref="K6:K7"/>
    <mergeCell ref="L6:L7"/>
    <mergeCell ref="B70:F70"/>
    <mergeCell ref="M6:M7"/>
    <mergeCell ref="N6:N7"/>
    <mergeCell ref="O6:O7"/>
    <mergeCell ref="P6:P7"/>
  </mergeCells>
  <printOptions horizontalCentered="1"/>
  <pageMargins left="0.15748031496062992" right="0" top="0.31496062992125984" bottom="0.15748031496062992" header="0.31496062992125984" footer="0.15748031496062992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8"/>
  <sheetViews>
    <sheetView zoomScaleNormal="100" zoomScaleSheetLayoutView="85" workbookViewId="0">
      <pane xSplit="5" ySplit="6" topLeftCell="F7" activePane="bottomRight" state="frozen"/>
      <selection activeCell="B1" sqref="B1"/>
      <selection pane="topRight" activeCell="F1" sqref="F1"/>
      <selection pane="bottomLeft" activeCell="B8" sqref="B8"/>
      <selection pane="bottomRight" activeCell="A2" sqref="A2:Q2"/>
    </sheetView>
  </sheetViews>
  <sheetFormatPr defaultColWidth="9.140625" defaultRowHeight="15" x14ac:dyDescent="0.25"/>
  <cols>
    <col min="1" max="1" width="1.42578125" style="9" customWidth="1"/>
    <col min="2" max="3" width="1.85546875" style="9" customWidth="1"/>
    <col min="4" max="4" width="0.85546875" style="9" customWidth="1"/>
    <col min="5" max="5" width="35.7109375" style="9" customWidth="1"/>
    <col min="6" max="11" width="11" style="9" bestFit="1" customWidth="1"/>
    <col min="12" max="12" width="11" style="14" bestFit="1" customWidth="1"/>
    <col min="13" max="13" width="10.7109375" style="9" bestFit="1" customWidth="1"/>
    <col min="14" max="14" width="11" style="9" bestFit="1" customWidth="1"/>
    <col min="15" max="15" width="10.7109375" style="9" bestFit="1" customWidth="1"/>
    <col min="16" max="17" width="11" style="9" bestFit="1" customWidth="1"/>
    <col min="18" max="18" width="19.140625" style="9" bestFit="1" customWidth="1"/>
    <col min="19" max="16384" width="9.140625" style="9"/>
  </cols>
  <sheetData>
    <row r="1" spans="1:17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x14ac:dyDescent="0.25">
      <c r="A2" s="92" t="s">
        <v>184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x14ac:dyDescent="0.25">
      <c r="A3" s="82" t="s">
        <v>86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6" customHeight="1" x14ac:dyDescent="0.25"/>
    <row r="5" spans="1:17" ht="6" customHeight="1" x14ac:dyDescent="0.25"/>
    <row r="6" spans="1:17" ht="20.25" customHeight="1" thickBot="1" x14ac:dyDescent="0.3">
      <c r="A6" s="90" t="s">
        <v>17</v>
      </c>
      <c r="B6" s="91"/>
      <c r="C6" s="91"/>
      <c r="D6" s="91"/>
      <c r="E6" s="91"/>
      <c r="F6" s="38" t="s">
        <v>0</v>
      </c>
      <c r="G6" s="38" t="s">
        <v>1</v>
      </c>
      <c r="H6" s="38" t="s">
        <v>2</v>
      </c>
      <c r="I6" s="38" t="s">
        <v>3</v>
      </c>
      <c r="J6" s="38" t="s">
        <v>4</v>
      </c>
      <c r="K6" s="38" t="s">
        <v>80</v>
      </c>
      <c r="L6" s="39" t="s">
        <v>5</v>
      </c>
      <c r="M6" s="39" t="s">
        <v>6</v>
      </c>
      <c r="N6" s="39" t="s">
        <v>10</v>
      </c>
      <c r="O6" s="39" t="s">
        <v>7</v>
      </c>
      <c r="P6" s="39" t="s">
        <v>8</v>
      </c>
      <c r="Q6" s="40" t="s">
        <v>9</v>
      </c>
    </row>
    <row r="7" spans="1:17" ht="11.25" customHeight="1" thickTop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1"/>
    </row>
    <row r="8" spans="1:17" ht="14.25" customHeight="1" x14ac:dyDescent="0.25">
      <c r="A8" s="5" t="s">
        <v>97</v>
      </c>
      <c r="B8" s="5"/>
      <c r="C8" s="5"/>
      <c r="D8" s="5"/>
      <c r="E8" s="5"/>
      <c r="F8" s="42">
        <f>F10+F58</f>
        <v>3856509.35</v>
      </c>
      <c r="G8" s="42">
        <f t="shared" ref="G8:Q8" si="0">G10+G58</f>
        <v>3882544.35</v>
      </c>
      <c r="H8" s="42">
        <f t="shared" si="0"/>
        <v>3873664</v>
      </c>
      <c r="I8" s="42">
        <f t="shared" si="0"/>
        <v>3801706</v>
      </c>
      <c r="J8" s="42">
        <f t="shared" si="0"/>
        <v>3829642</v>
      </c>
      <c r="K8" s="42">
        <f t="shared" si="0"/>
        <v>3860896</v>
      </c>
      <c r="L8" s="42">
        <f t="shared" si="0"/>
        <v>3889057</v>
      </c>
      <c r="M8" s="42">
        <f t="shared" si="0"/>
        <v>3916100</v>
      </c>
      <c r="N8" s="42">
        <f t="shared" si="0"/>
        <v>3936852.5</v>
      </c>
      <c r="O8" s="42">
        <f t="shared" si="0"/>
        <v>3950220</v>
      </c>
      <c r="P8" s="42">
        <f t="shared" si="0"/>
        <v>3971658</v>
      </c>
      <c r="Q8" s="42">
        <f t="shared" si="0"/>
        <v>3960176.5</v>
      </c>
    </row>
    <row r="9" spans="1:17" x14ac:dyDescent="0.25">
      <c r="A9" s="1"/>
      <c r="B9" s="1"/>
      <c r="C9" s="1"/>
      <c r="D9" s="1"/>
      <c r="E9" s="1"/>
      <c r="F9" s="15"/>
      <c r="G9" s="15"/>
      <c r="H9" s="15"/>
      <c r="I9" s="15"/>
      <c r="J9" s="15"/>
      <c r="K9" s="14"/>
      <c r="N9" s="14"/>
      <c r="O9" s="14"/>
      <c r="P9" s="14"/>
      <c r="Q9" s="14"/>
    </row>
    <row r="10" spans="1:17" x14ac:dyDescent="0.25">
      <c r="B10" s="5" t="s">
        <v>51</v>
      </c>
      <c r="C10" s="5"/>
      <c r="D10" s="5"/>
      <c r="E10" s="5"/>
      <c r="F10" s="42">
        <v>3823511.35</v>
      </c>
      <c r="G10" s="42">
        <v>3849546.35</v>
      </c>
      <c r="H10" s="42">
        <v>3840666</v>
      </c>
      <c r="I10" s="42">
        <v>3768708</v>
      </c>
      <c r="J10" s="42">
        <v>3796644</v>
      </c>
      <c r="K10" s="12">
        <v>3827898</v>
      </c>
      <c r="L10" s="12">
        <v>3856059</v>
      </c>
      <c r="M10" s="12">
        <v>3883102</v>
      </c>
      <c r="N10" s="12">
        <v>3903854.5</v>
      </c>
      <c r="O10" s="12">
        <v>3917222</v>
      </c>
      <c r="P10" s="12">
        <v>3938660</v>
      </c>
      <c r="Q10" s="12">
        <v>3933498.5</v>
      </c>
    </row>
    <row r="11" spans="1:17" x14ac:dyDescent="0.25">
      <c r="B11" s="5"/>
      <c r="C11" s="5" t="s">
        <v>24</v>
      </c>
      <c r="D11" s="5"/>
      <c r="E11" s="5" t="s">
        <v>55</v>
      </c>
      <c r="F11" s="42">
        <f>F12+F18</f>
        <v>2023879.35</v>
      </c>
      <c r="G11" s="42">
        <f t="shared" ref="G11:Q11" si="1">G12+G18</f>
        <v>2050006.35</v>
      </c>
      <c r="H11" s="42">
        <f t="shared" si="1"/>
        <v>2069243</v>
      </c>
      <c r="I11" s="42">
        <f t="shared" si="1"/>
        <v>1996874</v>
      </c>
      <c r="J11" s="42">
        <f t="shared" si="1"/>
        <v>2024727</v>
      </c>
      <c r="K11" s="42">
        <f t="shared" si="1"/>
        <v>2056092</v>
      </c>
      <c r="L11" s="42">
        <f t="shared" si="1"/>
        <v>2084146</v>
      </c>
      <c r="M11" s="42">
        <f t="shared" si="1"/>
        <v>2111344</v>
      </c>
      <c r="N11" s="42">
        <f t="shared" si="1"/>
        <v>2111344.5</v>
      </c>
      <c r="O11" s="42">
        <f t="shared" si="1"/>
        <v>2124676</v>
      </c>
      <c r="P11" s="42">
        <f t="shared" si="1"/>
        <v>2145477</v>
      </c>
      <c r="Q11" s="42">
        <f t="shared" si="1"/>
        <v>2140435.5</v>
      </c>
    </row>
    <row r="12" spans="1:17" x14ac:dyDescent="0.25">
      <c r="D12" s="9" t="s">
        <v>52</v>
      </c>
      <c r="F12" s="42">
        <f>SUM(F13:F16)</f>
        <v>274025.3</v>
      </c>
      <c r="G12" s="42">
        <f t="shared" ref="G12:Q12" si="2">SUM(G13:G16)</f>
        <v>275152.3</v>
      </c>
      <c r="H12" s="42">
        <f t="shared" si="2"/>
        <v>278907</v>
      </c>
      <c r="I12" s="42">
        <f t="shared" si="2"/>
        <v>278547</v>
      </c>
      <c r="J12" s="42">
        <f t="shared" si="2"/>
        <v>281400</v>
      </c>
      <c r="K12" s="42">
        <f t="shared" si="2"/>
        <v>287765</v>
      </c>
      <c r="L12" s="42">
        <f t="shared" si="2"/>
        <v>290820</v>
      </c>
      <c r="M12" s="42">
        <f t="shared" si="2"/>
        <v>293018</v>
      </c>
      <c r="N12" s="42">
        <f t="shared" si="2"/>
        <v>293018</v>
      </c>
      <c r="O12" s="42">
        <f t="shared" si="2"/>
        <v>294578</v>
      </c>
      <c r="P12" s="42">
        <f t="shared" si="2"/>
        <v>292978</v>
      </c>
      <c r="Q12" s="42">
        <f t="shared" si="2"/>
        <v>287936.3</v>
      </c>
    </row>
    <row r="13" spans="1:17" s="2" customFormat="1" ht="14.25" x14ac:dyDescent="0.2">
      <c r="E13" s="2" t="s">
        <v>76</v>
      </c>
      <c r="F13" s="43">
        <v>174568.3</v>
      </c>
      <c r="G13" s="43">
        <v>174568.3</v>
      </c>
      <c r="H13" s="43">
        <v>174568</v>
      </c>
      <c r="I13" s="43">
        <v>174568</v>
      </c>
      <c r="J13" s="43">
        <v>174568</v>
      </c>
      <c r="K13" s="10">
        <v>174568</v>
      </c>
      <c r="L13" s="10">
        <v>174568</v>
      </c>
      <c r="M13" s="10">
        <v>174568</v>
      </c>
      <c r="N13" s="10">
        <v>174568</v>
      </c>
      <c r="O13" s="10">
        <v>174568</v>
      </c>
      <c r="P13" s="10">
        <v>174568</v>
      </c>
      <c r="Q13" s="10">
        <v>174568.3</v>
      </c>
    </row>
    <row r="14" spans="1:17" s="2" customFormat="1" ht="14.25" x14ac:dyDescent="0.2">
      <c r="E14" s="2" t="s">
        <v>12</v>
      </c>
      <c r="F14" s="43">
        <v>19118</v>
      </c>
      <c r="G14" s="43">
        <v>20245</v>
      </c>
      <c r="H14" s="43">
        <v>24000</v>
      </c>
      <c r="I14" s="43">
        <v>24000</v>
      </c>
      <c r="J14" s="43">
        <v>21802</v>
      </c>
      <c r="K14" s="10">
        <v>21802</v>
      </c>
      <c r="L14" s="10">
        <v>21802</v>
      </c>
      <c r="M14" s="10">
        <v>24000</v>
      </c>
      <c r="N14" s="10">
        <v>24000</v>
      </c>
      <c r="O14" s="10">
        <v>24000</v>
      </c>
      <c r="P14" s="10">
        <v>24000</v>
      </c>
      <c r="Q14" s="10">
        <v>24000</v>
      </c>
    </row>
    <row r="15" spans="1:17" s="2" customFormat="1" ht="14.25" x14ac:dyDescent="0.2">
      <c r="E15" s="2" t="s">
        <v>44</v>
      </c>
      <c r="F15" s="43">
        <v>33069</v>
      </c>
      <c r="G15" s="43">
        <v>33069</v>
      </c>
      <c r="H15" s="43">
        <v>33069</v>
      </c>
      <c r="I15" s="43">
        <v>29419</v>
      </c>
      <c r="J15" s="43">
        <v>30470</v>
      </c>
      <c r="K15" s="10">
        <v>32350</v>
      </c>
      <c r="L15" s="10">
        <v>32350</v>
      </c>
      <c r="M15" s="10">
        <v>32350</v>
      </c>
      <c r="N15" s="10">
        <v>32350</v>
      </c>
      <c r="O15" s="10">
        <v>36000</v>
      </c>
      <c r="P15" s="10">
        <v>34400</v>
      </c>
      <c r="Q15" s="10">
        <v>31458</v>
      </c>
    </row>
    <row r="16" spans="1:17" s="2" customFormat="1" ht="14.25" x14ac:dyDescent="0.2">
      <c r="E16" s="2" t="s">
        <v>45</v>
      </c>
      <c r="F16" s="43">
        <v>47270</v>
      </c>
      <c r="G16" s="43">
        <v>47270</v>
      </c>
      <c r="H16" s="43">
        <v>47270</v>
      </c>
      <c r="I16" s="43">
        <v>50560</v>
      </c>
      <c r="J16" s="43">
        <v>54560</v>
      </c>
      <c r="K16" s="10">
        <v>59045</v>
      </c>
      <c r="L16" s="10">
        <v>62100</v>
      </c>
      <c r="M16" s="10">
        <v>62100</v>
      </c>
      <c r="N16" s="10">
        <v>62100</v>
      </c>
      <c r="O16" s="10">
        <v>60010</v>
      </c>
      <c r="P16" s="10">
        <v>60010</v>
      </c>
      <c r="Q16" s="10">
        <v>57910</v>
      </c>
    </row>
    <row r="17" spans="3:18" ht="6" customHeight="1" x14ac:dyDescent="0.25">
      <c r="F17" s="15"/>
      <c r="G17" s="15"/>
      <c r="H17" s="15"/>
      <c r="I17" s="15"/>
      <c r="J17" s="15"/>
      <c r="K17" s="14"/>
      <c r="M17" s="14"/>
      <c r="N17" s="14"/>
      <c r="O17" s="14"/>
      <c r="P17" s="14"/>
      <c r="Q17" s="14"/>
    </row>
    <row r="18" spans="3:18" x14ac:dyDescent="0.25">
      <c r="D18" s="9" t="s">
        <v>50</v>
      </c>
      <c r="F18" s="42">
        <f>SUM(F19:F25)</f>
        <v>1749854.05</v>
      </c>
      <c r="G18" s="42">
        <f t="shared" ref="G18:Q18" si="3">SUM(G19:G25)</f>
        <v>1774854.05</v>
      </c>
      <c r="H18" s="42">
        <f t="shared" si="3"/>
        <v>1790336</v>
      </c>
      <c r="I18" s="42">
        <f t="shared" si="3"/>
        <v>1718327</v>
      </c>
      <c r="J18" s="42">
        <f t="shared" si="3"/>
        <v>1743327</v>
      </c>
      <c r="K18" s="42">
        <f t="shared" si="3"/>
        <v>1768327</v>
      </c>
      <c r="L18" s="42">
        <f t="shared" si="3"/>
        <v>1793326</v>
      </c>
      <c r="M18" s="42">
        <f t="shared" si="3"/>
        <v>1818326</v>
      </c>
      <c r="N18" s="42">
        <f t="shared" si="3"/>
        <v>1818326.5</v>
      </c>
      <c r="O18" s="42">
        <f t="shared" si="3"/>
        <v>1830098</v>
      </c>
      <c r="P18" s="42">
        <f t="shared" si="3"/>
        <v>1852499</v>
      </c>
      <c r="Q18" s="42">
        <f t="shared" si="3"/>
        <v>1852499.2</v>
      </c>
      <c r="R18" s="14"/>
    </row>
    <row r="19" spans="3:18" s="2" customFormat="1" ht="14.25" x14ac:dyDescent="0.2">
      <c r="E19" s="2" t="s">
        <v>22</v>
      </c>
      <c r="F19" s="43">
        <v>145548</v>
      </c>
      <c r="G19" s="43">
        <v>145548</v>
      </c>
      <c r="H19" s="43">
        <v>145548</v>
      </c>
      <c r="I19" s="43">
        <v>50764</v>
      </c>
      <c r="J19" s="43">
        <v>50764</v>
      </c>
      <c r="K19" s="10">
        <v>50764</v>
      </c>
      <c r="L19" s="10">
        <v>50764</v>
      </c>
      <c r="M19" s="10">
        <v>50764</v>
      </c>
      <c r="N19" s="10">
        <v>50764</v>
      </c>
      <c r="O19" s="10">
        <v>50764</v>
      </c>
      <c r="P19" s="10">
        <v>50764</v>
      </c>
      <c r="Q19" s="10">
        <v>50764</v>
      </c>
      <c r="R19" s="44"/>
    </row>
    <row r="20" spans="3:18" s="2" customFormat="1" ht="14.25" x14ac:dyDescent="0.2">
      <c r="E20" s="2" t="s">
        <v>14</v>
      </c>
      <c r="F20" s="43">
        <v>226399</v>
      </c>
      <c r="G20" s="43">
        <v>251399</v>
      </c>
      <c r="H20" s="43">
        <v>251399</v>
      </c>
      <c r="I20" s="43">
        <v>251399</v>
      </c>
      <c r="J20" s="43">
        <v>251399</v>
      </c>
      <c r="K20" s="10">
        <v>276399</v>
      </c>
      <c r="L20" s="10">
        <v>276399</v>
      </c>
      <c r="M20" s="10">
        <v>276399</v>
      </c>
      <c r="N20" s="10">
        <v>276399</v>
      </c>
      <c r="O20" s="10">
        <v>276399</v>
      </c>
      <c r="P20" s="10">
        <v>301399</v>
      </c>
      <c r="Q20" s="10">
        <v>301399</v>
      </c>
    </row>
    <row r="21" spans="3:18" s="2" customFormat="1" ht="14.25" x14ac:dyDescent="0.2">
      <c r="E21" s="2" t="s">
        <v>15</v>
      </c>
      <c r="F21" s="43">
        <v>469127</v>
      </c>
      <c r="G21" s="43">
        <v>469127</v>
      </c>
      <c r="H21" s="43">
        <v>494127</v>
      </c>
      <c r="I21" s="43">
        <v>519127</v>
      </c>
      <c r="J21" s="43">
        <v>544127</v>
      </c>
      <c r="K21" s="10">
        <v>544127</v>
      </c>
      <c r="L21" s="10">
        <v>569127</v>
      </c>
      <c r="M21" s="10">
        <v>594127</v>
      </c>
      <c r="N21" s="10">
        <v>594127.19999999995</v>
      </c>
      <c r="O21" s="10">
        <v>605899</v>
      </c>
      <c r="P21" s="10">
        <v>605899</v>
      </c>
      <c r="Q21" s="10">
        <v>605899.19999999995</v>
      </c>
    </row>
    <row r="22" spans="3:18" s="2" customFormat="1" ht="14.25" x14ac:dyDescent="0.2">
      <c r="E22" s="2" t="s">
        <v>20</v>
      </c>
      <c r="F22" s="43">
        <v>374375</v>
      </c>
      <c r="G22" s="43">
        <v>374375</v>
      </c>
      <c r="H22" s="43">
        <v>364857</v>
      </c>
      <c r="I22" s="43">
        <v>362632</v>
      </c>
      <c r="J22" s="43">
        <v>362632</v>
      </c>
      <c r="K22" s="10">
        <v>362632</v>
      </c>
      <c r="L22" s="10">
        <v>362632</v>
      </c>
      <c r="M22" s="10">
        <v>362632</v>
      </c>
      <c r="N22" s="10">
        <v>362632</v>
      </c>
      <c r="O22" s="10">
        <v>362632</v>
      </c>
      <c r="P22" s="10">
        <v>360033</v>
      </c>
      <c r="Q22" s="10">
        <v>360033</v>
      </c>
    </row>
    <row r="23" spans="3:18" s="2" customFormat="1" ht="14.25" x14ac:dyDescent="0.2">
      <c r="E23" s="2" t="s">
        <v>46</v>
      </c>
      <c r="F23" s="43">
        <v>298325</v>
      </c>
      <c r="G23" s="43">
        <v>298325</v>
      </c>
      <c r="H23" s="43">
        <v>298325</v>
      </c>
      <c r="I23" s="43">
        <v>298325</v>
      </c>
      <c r="J23" s="43">
        <v>298325</v>
      </c>
      <c r="K23" s="10">
        <v>298325</v>
      </c>
      <c r="L23" s="10">
        <v>298325</v>
      </c>
      <c r="M23" s="10">
        <v>298325</v>
      </c>
      <c r="N23" s="10">
        <v>298325</v>
      </c>
      <c r="O23" s="10">
        <v>298325</v>
      </c>
      <c r="P23" s="10">
        <v>298325</v>
      </c>
      <c r="Q23" s="10">
        <v>298325</v>
      </c>
    </row>
    <row r="24" spans="3:18" s="2" customFormat="1" ht="14.25" x14ac:dyDescent="0.2">
      <c r="E24" s="2" t="s">
        <v>47</v>
      </c>
      <c r="F24" s="43">
        <v>235983</v>
      </c>
      <c r="G24" s="43">
        <v>235983</v>
      </c>
      <c r="H24" s="43">
        <v>235983</v>
      </c>
      <c r="I24" s="43">
        <v>235983</v>
      </c>
      <c r="J24" s="43">
        <v>235983</v>
      </c>
      <c r="K24" s="10">
        <v>235983</v>
      </c>
      <c r="L24" s="10">
        <v>235982</v>
      </c>
      <c r="M24" s="10">
        <v>235982</v>
      </c>
      <c r="N24" s="10">
        <v>235982.3</v>
      </c>
      <c r="O24" s="10">
        <v>235982</v>
      </c>
      <c r="P24" s="10">
        <v>235982</v>
      </c>
      <c r="Q24" s="10">
        <v>235982</v>
      </c>
    </row>
    <row r="25" spans="3:18" s="2" customFormat="1" ht="14.25" x14ac:dyDescent="0.2">
      <c r="E25" s="2" t="s">
        <v>53</v>
      </c>
      <c r="F25" s="43">
        <v>97.05</v>
      </c>
      <c r="G25" s="43">
        <v>97.05</v>
      </c>
      <c r="H25" s="43">
        <v>97</v>
      </c>
      <c r="I25" s="43">
        <v>97</v>
      </c>
      <c r="J25" s="43">
        <v>97</v>
      </c>
      <c r="K25" s="10">
        <v>97</v>
      </c>
      <c r="L25" s="10">
        <v>97</v>
      </c>
      <c r="M25" s="10">
        <v>97</v>
      </c>
      <c r="N25" s="10">
        <v>97</v>
      </c>
      <c r="O25" s="10">
        <v>97</v>
      </c>
      <c r="P25" s="10">
        <v>97</v>
      </c>
      <c r="Q25" s="10">
        <v>97</v>
      </c>
    </row>
    <row r="26" spans="3:18" s="2" customFormat="1" ht="7.5" customHeight="1" x14ac:dyDescent="0.2">
      <c r="K26" s="10" t="s">
        <v>84</v>
      </c>
      <c r="L26" s="10"/>
      <c r="M26" s="10"/>
      <c r="N26" s="10"/>
      <c r="O26" s="10"/>
      <c r="P26" s="10"/>
      <c r="Q26" s="10"/>
    </row>
    <row r="27" spans="3:18" x14ac:dyDescent="0.25">
      <c r="C27" s="9" t="s">
        <v>147</v>
      </c>
      <c r="F27" s="42">
        <f>F28+F39+F51+F53+F55</f>
        <v>1799632</v>
      </c>
      <c r="G27" s="42">
        <f t="shared" ref="G27:Q27" si="4">G28+G39+G51+G53+G55</f>
        <v>1799540</v>
      </c>
      <c r="H27" s="42">
        <f t="shared" si="4"/>
        <v>1771423</v>
      </c>
      <c r="I27" s="42">
        <f t="shared" si="4"/>
        <v>1771835</v>
      </c>
      <c r="J27" s="42">
        <f t="shared" si="4"/>
        <v>1771918</v>
      </c>
      <c r="K27" s="42">
        <f t="shared" si="4"/>
        <v>1771806</v>
      </c>
      <c r="L27" s="42">
        <f t="shared" si="4"/>
        <v>1771913</v>
      </c>
      <c r="M27" s="42">
        <f t="shared" si="4"/>
        <v>1771758</v>
      </c>
      <c r="N27" s="42">
        <f t="shared" si="4"/>
        <v>1792510</v>
      </c>
      <c r="O27" s="42">
        <f t="shared" si="4"/>
        <v>1792546</v>
      </c>
      <c r="P27" s="42">
        <f t="shared" si="4"/>
        <v>1793183</v>
      </c>
      <c r="Q27" s="42">
        <f t="shared" si="4"/>
        <v>1793063</v>
      </c>
      <c r="R27" s="14"/>
    </row>
    <row r="28" spans="3:18" x14ac:dyDescent="0.25">
      <c r="D28" s="9" t="s">
        <v>34</v>
      </c>
      <c r="F28" s="42">
        <f>F29+F33</f>
        <v>753195</v>
      </c>
      <c r="G28" s="42">
        <f t="shared" ref="G28:Q28" si="5">G29+G33</f>
        <v>753195</v>
      </c>
      <c r="H28" s="42">
        <f t="shared" si="5"/>
        <v>725702</v>
      </c>
      <c r="I28" s="42">
        <f t="shared" si="5"/>
        <v>725702</v>
      </c>
      <c r="J28" s="42">
        <f t="shared" si="5"/>
        <v>725702</v>
      </c>
      <c r="K28" s="42">
        <f t="shared" si="5"/>
        <v>725702</v>
      </c>
      <c r="L28" s="42">
        <f t="shared" si="5"/>
        <v>725702</v>
      </c>
      <c r="M28" s="42">
        <f t="shared" si="5"/>
        <v>725702</v>
      </c>
      <c r="N28" s="42">
        <f t="shared" si="5"/>
        <v>801983</v>
      </c>
      <c r="O28" s="42">
        <f t="shared" si="5"/>
        <v>801983</v>
      </c>
      <c r="P28" s="42">
        <f t="shared" si="5"/>
        <v>801983</v>
      </c>
      <c r="Q28" s="42">
        <f t="shared" si="5"/>
        <v>801983</v>
      </c>
      <c r="R28" s="14"/>
    </row>
    <row r="29" spans="3:18" x14ac:dyDescent="0.25">
      <c r="E29" s="5">
        <v>2.1</v>
      </c>
      <c r="F29" s="15">
        <f>SUM(F30:F32)</f>
        <v>151549</v>
      </c>
      <c r="G29" s="15">
        <f t="shared" ref="G29:Q29" si="6">SUM(G30:G32)</f>
        <v>151549</v>
      </c>
      <c r="H29" s="15">
        <f t="shared" si="6"/>
        <v>124056</v>
      </c>
      <c r="I29" s="15">
        <f t="shared" si="6"/>
        <v>124056</v>
      </c>
      <c r="J29" s="15">
        <f t="shared" si="6"/>
        <v>124056</v>
      </c>
      <c r="K29" s="15">
        <f t="shared" si="6"/>
        <v>124056</v>
      </c>
      <c r="L29" s="15">
        <f t="shared" si="6"/>
        <v>124056</v>
      </c>
      <c r="M29" s="15">
        <f t="shared" si="6"/>
        <v>124056</v>
      </c>
      <c r="N29" s="15">
        <f t="shared" si="6"/>
        <v>100212</v>
      </c>
      <c r="O29" s="15">
        <f t="shared" si="6"/>
        <v>100212</v>
      </c>
      <c r="P29" s="15">
        <f t="shared" si="6"/>
        <v>100212</v>
      </c>
      <c r="Q29" s="15">
        <f t="shared" si="6"/>
        <v>100212</v>
      </c>
    </row>
    <row r="30" spans="3:18" s="2" customFormat="1" ht="14.25" x14ac:dyDescent="0.2">
      <c r="E30" s="11" t="s">
        <v>27</v>
      </c>
      <c r="F30" s="43">
        <v>27493</v>
      </c>
      <c r="G30" s="43">
        <v>27493</v>
      </c>
      <c r="H30" s="43">
        <v>0</v>
      </c>
      <c r="I30" s="43">
        <v>0</v>
      </c>
      <c r="J30" s="43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</row>
    <row r="31" spans="3:18" s="2" customFormat="1" ht="14.25" x14ac:dyDescent="0.2">
      <c r="E31" s="11" t="s">
        <v>58</v>
      </c>
      <c r="F31" s="43">
        <v>49346</v>
      </c>
      <c r="G31" s="43">
        <v>49346</v>
      </c>
      <c r="H31" s="43">
        <v>49346</v>
      </c>
      <c r="I31" s="43">
        <v>49346</v>
      </c>
      <c r="J31" s="43">
        <v>49346</v>
      </c>
      <c r="K31" s="10">
        <v>49346</v>
      </c>
      <c r="L31" s="10">
        <v>49346</v>
      </c>
      <c r="M31" s="10">
        <v>49346</v>
      </c>
      <c r="N31" s="10">
        <v>25502</v>
      </c>
      <c r="O31" s="10">
        <v>25502</v>
      </c>
      <c r="P31" s="10">
        <v>25502</v>
      </c>
      <c r="Q31" s="10">
        <v>25502</v>
      </c>
    </row>
    <row r="32" spans="3:18" s="2" customFormat="1" ht="14.25" x14ac:dyDescent="0.2">
      <c r="E32" s="11" t="s">
        <v>67</v>
      </c>
      <c r="F32" s="43">
        <v>74710</v>
      </c>
      <c r="G32" s="43">
        <v>74710</v>
      </c>
      <c r="H32" s="43">
        <v>74710</v>
      </c>
      <c r="I32" s="43">
        <v>74710</v>
      </c>
      <c r="J32" s="43">
        <v>74710</v>
      </c>
      <c r="K32" s="10">
        <v>74710</v>
      </c>
      <c r="L32" s="10">
        <v>74710</v>
      </c>
      <c r="M32" s="10">
        <v>74710</v>
      </c>
      <c r="N32" s="10">
        <v>74710</v>
      </c>
      <c r="O32" s="10">
        <v>74710</v>
      </c>
      <c r="P32" s="10">
        <v>74710</v>
      </c>
      <c r="Q32" s="10">
        <v>74710</v>
      </c>
    </row>
    <row r="33" spans="3:17" x14ac:dyDescent="0.25">
      <c r="E33" s="5">
        <v>2.2000000000000002</v>
      </c>
      <c r="F33" s="15">
        <f>SUM(F34:F37)</f>
        <v>601646</v>
      </c>
      <c r="G33" s="15">
        <f t="shared" ref="G33:Q33" si="7">SUM(G34:G37)</f>
        <v>601646</v>
      </c>
      <c r="H33" s="15">
        <f t="shared" si="7"/>
        <v>601646</v>
      </c>
      <c r="I33" s="15">
        <f t="shared" si="7"/>
        <v>601646</v>
      </c>
      <c r="J33" s="15">
        <f t="shared" si="7"/>
        <v>601646</v>
      </c>
      <c r="K33" s="15">
        <f t="shared" si="7"/>
        <v>601646</v>
      </c>
      <c r="L33" s="15">
        <f t="shared" si="7"/>
        <v>601646</v>
      </c>
      <c r="M33" s="15">
        <f t="shared" si="7"/>
        <v>601646</v>
      </c>
      <c r="N33" s="15">
        <f t="shared" si="7"/>
        <v>701771</v>
      </c>
      <c r="O33" s="15">
        <f t="shared" si="7"/>
        <v>701771</v>
      </c>
      <c r="P33" s="15">
        <f t="shared" si="7"/>
        <v>701771</v>
      </c>
      <c r="Q33" s="15">
        <f t="shared" si="7"/>
        <v>701771</v>
      </c>
    </row>
    <row r="34" spans="3:17" s="2" customFormat="1" ht="14.25" x14ac:dyDescent="0.2">
      <c r="E34" s="11" t="s">
        <v>67</v>
      </c>
      <c r="F34" s="43">
        <v>194027</v>
      </c>
      <c r="G34" s="43">
        <v>194027</v>
      </c>
      <c r="H34" s="43">
        <v>194027</v>
      </c>
      <c r="I34" s="43">
        <v>194027</v>
      </c>
      <c r="J34" s="43">
        <v>194027</v>
      </c>
      <c r="K34" s="10">
        <v>194027</v>
      </c>
      <c r="L34" s="10">
        <v>194027</v>
      </c>
      <c r="M34" s="10">
        <v>194027</v>
      </c>
      <c r="N34" s="10">
        <v>294152</v>
      </c>
      <c r="O34" s="10">
        <v>294152</v>
      </c>
      <c r="P34" s="10">
        <v>294152</v>
      </c>
      <c r="Q34" s="10">
        <v>294152</v>
      </c>
    </row>
    <row r="35" spans="3:17" s="2" customFormat="1" ht="14.25" x14ac:dyDescent="0.2">
      <c r="E35" s="11" t="s">
        <v>66</v>
      </c>
      <c r="F35" s="43">
        <v>95805</v>
      </c>
      <c r="G35" s="43">
        <v>95805</v>
      </c>
      <c r="H35" s="43">
        <v>95805</v>
      </c>
      <c r="I35" s="43">
        <v>95805</v>
      </c>
      <c r="J35" s="43">
        <v>95805</v>
      </c>
      <c r="K35" s="10">
        <v>95805</v>
      </c>
      <c r="L35" s="10">
        <v>95805</v>
      </c>
      <c r="M35" s="10">
        <v>95805</v>
      </c>
      <c r="N35" s="10">
        <v>95805</v>
      </c>
      <c r="O35" s="10">
        <v>95805</v>
      </c>
      <c r="P35" s="10">
        <v>95805</v>
      </c>
      <c r="Q35" s="10">
        <v>95805</v>
      </c>
    </row>
    <row r="36" spans="3:17" s="2" customFormat="1" ht="14.25" x14ac:dyDescent="0.2">
      <c r="E36" s="11" t="s">
        <v>72</v>
      </c>
      <c r="F36" s="43">
        <v>132682</v>
      </c>
      <c r="G36" s="43">
        <v>132682</v>
      </c>
      <c r="H36" s="43">
        <v>132682</v>
      </c>
      <c r="I36" s="43">
        <v>132682</v>
      </c>
      <c r="J36" s="43">
        <v>132682</v>
      </c>
      <c r="K36" s="10">
        <v>132682</v>
      </c>
      <c r="L36" s="10">
        <v>132682</v>
      </c>
      <c r="M36" s="10">
        <v>132682</v>
      </c>
      <c r="N36" s="10">
        <v>132682</v>
      </c>
      <c r="O36" s="10">
        <v>132682</v>
      </c>
      <c r="P36" s="10">
        <v>132682</v>
      </c>
      <c r="Q36" s="10">
        <v>132682</v>
      </c>
    </row>
    <row r="37" spans="3:17" s="2" customFormat="1" ht="14.25" x14ac:dyDescent="0.2">
      <c r="E37" s="11" t="s">
        <v>73</v>
      </c>
      <c r="F37" s="43">
        <v>179132</v>
      </c>
      <c r="G37" s="43">
        <v>179132</v>
      </c>
      <c r="H37" s="43">
        <v>179132</v>
      </c>
      <c r="I37" s="43">
        <v>179132</v>
      </c>
      <c r="J37" s="43">
        <v>179132</v>
      </c>
      <c r="K37" s="10">
        <v>179132</v>
      </c>
      <c r="L37" s="10">
        <v>179132</v>
      </c>
      <c r="M37" s="10">
        <v>179132</v>
      </c>
      <c r="N37" s="10">
        <v>179132</v>
      </c>
      <c r="O37" s="10">
        <v>179132</v>
      </c>
      <c r="P37" s="10">
        <v>179132</v>
      </c>
      <c r="Q37" s="10">
        <v>179132</v>
      </c>
    </row>
    <row r="38" spans="3:17" x14ac:dyDescent="0.25">
      <c r="E38" s="5"/>
      <c r="F38" s="15"/>
      <c r="G38" s="15"/>
      <c r="H38" s="15"/>
      <c r="I38" s="15"/>
      <c r="J38" s="15"/>
      <c r="K38" s="14"/>
      <c r="M38" s="14"/>
      <c r="N38" s="14"/>
      <c r="O38" s="14"/>
      <c r="P38" s="14"/>
      <c r="Q38" s="14"/>
    </row>
    <row r="39" spans="3:17" x14ac:dyDescent="0.25">
      <c r="C39" s="13"/>
      <c r="D39" s="9" t="s">
        <v>165</v>
      </c>
      <c r="E39" s="5"/>
      <c r="F39" s="42">
        <f>F40+F43+F47</f>
        <v>965826</v>
      </c>
      <c r="G39" s="42">
        <f t="shared" ref="G39:Q39" si="8">G40+G43+G47</f>
        <v>965826</v>
      </c>
      <c r="H39" s="42">
        <f t="shared" si="8"/>
        <v>965826</v>
      </c>
      <c r="I39" s="42">
        <f t="shared" si="8"/>
        <v>965826</v>
      </c>
      <c r="J39" s="42">
        <f t="shared" si="8"/>
        <v>965826</v>
      </c>
      <c r="K39" s="42">
        <f t="shared" si="8"/>
        <v>965826</v>
      </c>
      <c r="L39" s="42">
        <f t="shared" si="8"/>
        <v>965826</v>
      </c>
      <c r="M39" s="42">
        <f t="shared" si="8"/>
        <v>965826</v>
      </c>
      <c r="N39" s="42">
        <f t="shared" si="8"/>
        <v>909298</v>
      </c>
      <c r="O39" s="42">
        <f t="shared" si="8"/>
        <v>909298</v>
      </c>
      <c r="P39" s="42">
        <f t="shared" si="8"/>
        <v>909298</v>
      </c>
      <c r="Q39" s="42">
        <f t="shared" si="8"/>
        <v>909298</v>
      </c>
    </row>
    <row r="40" spans="3:17" x14ac:dyDescent="0.25">
      <c r="C40" s="13"/>
      <c r="E40" s="5">
        <v>2.1</v>
      </c>
      <c r="F40" s="42">
        <f>F41</f>
        <v>56528</v>
      </c>
      <c r="G40" s="42">
        <f t="shared" ref="G40:Q40" si="9">G41</f>
        <v>56528</v>
      </c>
      <c r="H40" s="42">
        <f t="shared" si="9"/>
        <v>56528</v>
      </c>
      <c r="I40" s="42">
        <f t="shared" si="9"/>
        <v>56528</v>
      </c>
      <c r="J40" s="42">
        <f t="shared" si="9"/>
        <v>56528</v>
      </c>
      <c r="K40" s="42">
        <f t="shared" si="9"/>
        <v>56528</v>
      </c>
      <c r="L40" s="42">
        <f t="shared" si="9"/>
        <v>56528</v>
      </c>
      <c r="M40" s="42">
        <f t="shared" si="9"/>
        <v>56528</v>
      </c>
      <c r="N40" s="42">
        <f t="shared" si="9"/>
        <v>0</v>
      </c>
      <c r="O40" s="42">
        <f t="shared" si="9"/>
        <v>0</v>
      </c>
      <c r="P40" s="42">
        <f t="shared" si="9"/>
        <v>0</v>
      </c>
      <c r="Q40" s="42">
        <f t="shared" si="9"/>
        <v>0</v>
      </c>
    </row>
    <row r="41" spans="3:17" s="2" customFormat="1" ht="14.25" x14ac:dyDescent="0.2">
      <c r="E41" s="11" t="s">
        <v>54</v>
      </c>
      <c r="F41" s="43">
        <v>56528</v>
      </c>
      <c r="G41" s="43">
        <v>56528</v>
      </c>
      <c r="H41" s="43">
        <v>56528</v>
      </c>
      <c r="I41" s="43">
        <v>56528</v>
      </c>
      <c r="J41" s="43">
        <v>56528</v>
      </c>
      <c r="K41" s="10">
        <v>56528</v>
      </c>
      <c r="L41" s="10">
        <v>56528</v>
      </c>
      <c r="M41" s="10">
        <v>56528</v>
      </c>
      <c r="N41" s="10">
        <v>0</v>
      </c>
      <c r="O41" s="10">
        <v>0</v>
      </c>
      <c r="P41" s="10">
        <v>0</v>
      </c>
      <c r="Q41" s="10">
        <v>0</v>
      </c>
    </row>
    <row r="42" spans="3:17" ht="7.5" customHeight="1" x14ac:dyDescent="0.25">
      <c r="E42" s="5"/>
      <c r="F42" s="15"/>
      <c r="G42" s="15"/>
      <c r="H42" s="15"/>
      <c r="I42" s="15"/>
      <c r="J42" s="15"/>
      <c r="K42" s="14"/>
      <c r="M42" s="14"/>
      <c r="N42" s="14"/>
      <c r="O42" s="14"/>
      <c r="P42" s="14"/>
      <c r="Q42" s="14"/>
    </row>
    <row r="43" spans="3:17" x14ac:dyDescent="0.25">
      <c r="C43" s="13"/>
      <c r="E43" s="5">
        <v>2.2000000000000002</v>
      </c>
      <c r="F43" s="42">
        <f>F44+F45</f>
        <v>595553</v>
      </c>
      <c r="G43" s="42">
        <f t="shared" ref="G43:Q43" si="10">G44+G45</f>
        <v>595553</v>
      </c>
      <c r="H43" s="42">
        <f t="shared" si="10"/>
        <v>595553</v>
      </c>
      <c r="I43" s="42">
        <f t="shared" si="10"/>
        <v>595553</v>
      </c>
      <c r="J43" s="42">
        <f t="shared" si="10"/>
        <v>595553</v>
      </c>
      <c r="K43" s="42">
        <f t="shared" si="10"/>
        <v>595553</v>
      </c>
      <c r="L43" s="42">
        <f t="shared" si="10"/>
        <v>595553</v>
      </c>
      <c r="M43" s="42">
        <f t="shared" si="10"/>
        <v>595553</v>
      </c>
      <c r="N43" s="42">
        <f t="shared" si="10"/>
        <v>595553</v>
      </c>
      <c r="O43" s="42">
        <f t="shared" si="10"/>
        <v>595553</v>
      </c>
      <c r="P43" s="42">
        <f t="shared" si="10"/>
        <v>595553</v>
      </c>
      <c r="Q43" s="42">
        <f t="shared" si="10"/>
        <v>595553</v>
      </c>
    </row>
    <row r="44" spans="3:17" s="2" customFormat="1" ht="14.25" x14ac:dyDescent="0.2">
      <c r="E44" s="11" t="s">
        <v>62</v>
      </c>
      <c r="F44" s="43">
        <v>289778</v>
      </c>
      <c r="G44" s="43">
        <v>289778</v>
      </c>
      <c r="H44" s="43">
        <v>289778</v>
      </c>
      <c r="I44" s="43">
        <v>289778</v>
      </c>
      <c r="J44" s="43">
        <v>289778</v>
      </c>
      <c r="K44" s="10">
        <v>289778</v>
      </c>
      <c r="L44" s="10">
        <v>289778</v>
      </c>
      <c r="M44" s="10">
        <v>289778</v>
      </c>
      <c r="N44" s="10">
        <v>289778</v>
      </c>
      <c r="O44" s="10">
        <v>289778</v>
      </c>
      <c r="P44" s="10">
        <v>289778</v>
      </c>
      <c r="Q44" s="10">
        <v>289778</v>
      </c>
    </row>
    <row r="45" spans="3:17" s="2" customFormat="1" ht="14.25" x14ac:dyDescent="0.2">
      <c r="E45" s="11" t="s">
        <v>19</v>
      </c>
      <c r="F45" s="43">
        <v>305775</v>
      </c>
      <c r="G45" s="43">
        <v>305775</v>
      </c>
      <c r="H45" s="43">
        <v>305775</v>
      </c>
      <c r="I45" s="43">
        <v>305775</v>
      </c>
      <c r="J45" s="43">
        <v>305775</v>
      </c>
      <c r="K45" s="10">
        <v>305775</v>
      </c>
      <c r="L45" s="10">
        <v>305775</v>
      </c>
      <c r="M45" s="10">
        <v>305775</v>
      </c>
      <c r="N45" s="10">
        <v>305775</v>
      </c>
      <c r="O45" s="10">
        <v>305775</v>
      </c>
      <c r="P45" s="10">
        <v>305775</v>
      </c>
      <c r="Q45" s="10">
        <v>305775</v>
      </c>
    </row>
    <row r="46" spans="3:17" ht="6.75" customHeight="1" x14ac:dyDescent="0.25">
      <c r="E46" s="5"/>
      <c r="F46" s="15"/>
      <c r="G46" s="15"/>
      <c r="H46" s="15"/>
      <c r="I46" s="15"/>
      <c r="J46" s="15"/>
      <c r="K46" s="14"/>
      <c r="M46" s="14"/>
      <c r="N46" s="14"/>
      <c r="O46" s="14"/>
      <c r="P46" s="14"/>
      <c r="Q46" s="14"/>
    </row>
    <row r="47" spans="3:17" x14ac:dyDescent="0.25">
      <c r="E47" s="5">
        <v>2.2999999999999998</v>
      </c>
      <c r="F47" s="42">
        <f>F48+F49</f>
        <v>313745</v>
      </c>
      <c r="G47" s="42">
        <f t="shared" ref="G47:P47" si="11">G48+G49</f>
        <v>313745</v>
      </c>
      <c r="H47" s="42">
        <f t="shared" si="11"/>
        <v>313745</v>
      </c>
      <c r="I47" s="42">
        <f t="shared" si="11"/>
        <v>313745</v>
      </c>
      <c r="J47" s="42">
        <f t="shared" si="11"/>
        <v>313745</v>
      </c>
      <c r="K47" s="42">
        <f t="shared" si="11"/>
        <v>313745</v>
      </c>
      <c r="L47" s="42">
        <f t="shared" si="11"/>
        <v>313745</v>
      </c>
      <c r="M47" s="42">
        <f t="shared" si="11"/>
        <v>313745</v>
      </c>
      <c r="N47" s="42">
        <f t="shared" si="11"/>
        <v>313745</v>
      </c>
      <c r="O47" s="42">
        <f t="shared" si="11"/>
        <v>313745</v>
      </c>
      <c r="P47" s="42">
        <f t="shared" si="11"/>
        <v>313745</v>
      </c>
      <c r="Q47" s="42">
        <f>Q48+Q49</f>
        <v>313745</v>
      </c>
    </row>
    <row r="48" spans="3:17" s="2" customFormat="1" ht="14.25" x14ac:dyDescent="0.2">
      <c r="E48" s="2" t="s">
        <v>69</v>
      </c>
      <c r="F48" s="43">
        <v>57908</v>
      </c>
      <c r="G48" s="43">
        <v>57908</v>
      </c>
      <c r="H48" s="43">
        <v>57908</v>
      </c>
      <c r="I48" s="43">
        <v>57908</v>
      </c>
      <c r="J48" s="43">
        <v>57908</v>
      </c>
      <c r="K48" s="10">
        <v>57908</v>
      </c>
      <c r="L48" s="10">
        <v>57908</v>
      </c>
      <c r="M48" s="10">
        <v>57908</v>
      </c>
      <c r="N48" s="10">
        <v>57908</v>
      </c>
      <c r="O48" s="10">
        <v>57908</v>
      </c>
      <c r="P48" s="10">
        <v>57908</v>
      </c>
      <c r="Q48" s="10">
        <v>57908</v>
      </c>
    </row>
    <row r="49" spans="1:17" s="2" customFormat="1" ht="14.25" x14ac:dyDescent="0.2">
      <c r="E49" s="2" t="s">
        <v>16</v>
      </c>
      <c r="F49" s="43">
        <v>255837</v>
      </c>
      <c r="G49" s="43">
        <v>255837</v>
      </c>
      <c r="H49" s="43">
        <v>255837</v>
      </c>
      <c r="I49" s="43">
        <v>255837</v>
      </c>
      <c r="J49" s="43">
        <v>255837</v>
      </c>
      <c r="K49" s="10">
        <v>255837</v>
      </c>
      <c r="L49" s="10">
        <v>255837</v>
      </c>
      <c r="M49" s="10">
        <v>255837</v>
      </c>
      <c r="N49" s="10">
        <v>255837</v>
      </c>
      <c r="O49" s="10">
        <v>255837</v>
      </c>
      <c r="P49" s="10">
        <v>255837</v>
      </c>
      <c r="Q49" s="10">
        <v>255837</v>
      </c>
    </row>
    <row r="50" spans="1:17" ht="6.75" customHeight="1" x14ac:dyDescent="0.25">
      <c r="F50" s="15"/>
      <c r="G50" s="15"/>
      <c r="H50" s="15"/>
      <c r="I50" s="15"/>
      <c r="J50" s="15"/>
      <c r="K50" s="14"/>
      <c r="M50" s="14"/>
      <c r="N50" s="14"/>
      <c r="O50" s="14"/>
      <c r="P50" s="14"/>
      <c r="Q50" s="14"/>
    </row>
    <row r="51" spans="1:17" x14ac:dyDescent="0.25">
      <c r="D51" s="9" t="s">
        <v>166</v>
      </c>
      <c r="F51" s="15">
        <v>50000</v>
      </c>
      <c r="G51" s="15">
        <v>50000</v>
      </c>
      <c r="H51" s="15">
        <v>50000</v>
      </c>
      <c r="I51" s="15">
        <v>50000</v>
      </c>
      <c r="J51" s="15">
        <v>50000</v>
      </c>
      <c r="K51" s="14">
        <v>50000</v>
      </c>
      <c r="L51" s="14">
        <v>50000</v>
      </c>
      <c r="M51" s="14">
        <v>50000</v>
      </c>
      <c r="N51" s="14">
        <v>50000</v>
      </c>
      <c r="O51" s="14">
        <v>50000</v>
      </c>
      <c r="P51" s="14">
        <v>50000</v>
      </c>
      <c r="Q51" s="14">
        <v>50000</v>
      </c>
    </row>
    <row r="52" spans="1:17" ht="6.75" customHeight="1" x14ac:dyDescent="0.25">
      <c r="F52" s="15"/>
      <c r="G52" s="15"/>
      <c r="H52" s="15"/>
      <c r="I52" s="15"/>
      <c r="J52" s="15"/>
      <c r="K52" s="14"/>
      <c r="M52" s="14"/>
      <c r="N52" s="14"/>
      <c r="O52" s="14"/>
      <c r="P52" s="14"/>
      <c r="Q52" s="14"/>
    </row>
    <row r="53" spans="1:17" x14ac:dyDescent="0.25">
      <c r="D53" s="9" t="s">
        <v>95</v>
      </c>
      <c r="F53" s="15">
        <v>6736</v>
      </c>
      <c r="G53" s="15">
        <v>6769</v>
      </c>
      <c r="H53" s="15">
        <v>6870</v>
      </c>
      <c r="I53" s="15">
        <v>6932</v>
      </c>
      <c r="J53" s="15">
        <v>7015</v>
      </c>
      <c r="K53" s="14">
        <v>6775</v>
      </c>
      <c r="L53" s="14">
        <v>6840</v>
      </c>
      <c r="M53" s="14">
        <v>6954</v>
      </c>
      <c r="N53" s="14">
        <v>6988</v>
      </c>
      <c r="O53" s="14">
        <v>7022</v>
      </c>
      <c r="P53" s="14">
        <v>7028</v>
      </c>
      <c r="Q53" s="14">
        <v>6898</v>
      </c>
    </row>
    <row r="54" spans="1:17" ht="6.75" customHeight="1" x14ac:dyDescent="0.25">
      <c r="F54" s="15"/>
      <c r="G54" s="15"/>
      <c r="H54" s="15"/>
      <c r="I54" s="15"/>
      <c r="J54" s="15"/>
      <c r="K54" s="14"/>
      <c r="M54" s="14"/>
      <c r="N54" s="14"/>
      <c r="O54" s="14"/>
      <c r="P54" s="14"/>
      <c r="Q54" s="14"/>
    </row>
    <row r="55" spans="1:17" ht="13.5" customHeight="1" x14ac:dyDescent="0.25">
      <c r="C55" s="13"/>
      <c r="D55" s="9" t="s">
        <v>96</v>
      </c>
      <c r="F55" s="15">
        <v>23875</v>
      </c>
      <c r="G55" s="15">
        <v>23750</v>
      </c>
      <c r="H55" s="15">
        <v>23025</v>
      </c>
      <c r="I55" s="15">
        <v>23375</v>
      </c>
      <c r="J55" s="15">
        <v>23375</v>
      </c>
      <c r="K55" s="15">
        <v>23503</v>
      </c>
      <c r="L55" s="15">
        <v>23545</v>
      </c>
      <c r="M55" s="15">
        <v>23276</v>
      </c>
      <c r="N55" s="15">
        <v>24241</v>
      </c>
      <c r="O55" s="15">
        <v>24243</v>
      </c>
      <c r="P55" s="15">
        <v>24874</v>
      </c>
      <c r="Q55" s="15">
        <v>24884</v>
      </c>
    </row>
    <row r="56" spans="1:17" s="2" customFormat="1" ht="15" customHeight="1" x14ac:dyDescent="0.2">
      <c r="C56" s="21"/>
      <c r="E56" s="50" t="s">
        <v>79</v>
      </c>
      <c r="F56" s="43">
        <v>23875</v>
      </c>
      <c r="G56" s="43">
        <v>23750</v>
      </c>
      <c r="H56" s="43">
        <v>23025</v>
      </c>
      <c r="I56" s="43">
        <v>23375</v>
      </c>
      <c r="J56" s="43">
        <v>23375</v>
      </c>
      <c r="K56" s="10">
        <v>23503</v>
      </c>
      <c r="L56" s="10">
        <v>23545</v>
      </c>
      <c r="M56" s="10">
        <v>23276</v>
      </c>
      <c r="N56" s="10">
        <v>24241</v>
      </c>
      <c r="O56" s="10">
        <v>24243</v>
      </c>
      <c r="P56" s="10">
        <v>24874</v>
      </c>
      <c r="Q56" s="10">
        <v>24884</v>
      </c>
    </row>
    <row r="57" spans="1:17" ht="8.25" customHeight="1" x14ac:dyDescent="0.25">
      <c r="C57" s="13"/>
      <c r="F57" s="15"/>
      <c r="G57" s="15"/>
      <c r="H57" s="15"/>
      <c r="I57" s="15"/>
      <c r="J57" s="15"/>
      <c r="K57" s="14"/>
      <c r="M57" s="14"/>
      <c r="N57" s="14"/>
      <c r="O57" s="14"/>
      <c r="P57" s="14"/>
      <c r="Q57" s="14"/>
    </row>
    <row r="58" spans="1:17" x14ac:dyDescent="0.25">
      <c r="B58" s="9" t="s">
        <v>49</v>
      </c>
      <c r="F58" s="42">
        <v>32998</v>
      </c>
      <c r="G58" s="42">
        <v>32998</v>
      </c>
      <c r="H58" s="42">
        <v>32998</v>
      </c>
      <c r="I58" s="42">
        <v>32998</v>
      </c>
      <c r="J58" s="42">
        <v>32998</v>
      </c>
      <c r="K58" s="45">
        <v>32998</v>
      </c>
      <c r="L58" s="45">
        <v>32998</v>
      </c>
      <c r="M58" s="45">
        <v>32998</v>
      </c>
      <c r="N58" s="45">
        <v>32998</v>
      </c>
      <c r="O58" s="45">
        <v>32998</v>
      </c>
      <c r="P58" s="45">
        <v>32998</v>
      </c>
      <c r="Q58" s="45">
        <v>26678</v>
      </c>
    </row>
    <row r="59" spans="1:17" x14ac:dyDescent="0.25">
      <c r="F59" s="46"/>
      <c r="G59" s="46"/>
      <c r="H59" s="46"/>
      <c r="I59" s="46"/>
      <c r="J59" s="46"/>
    </row>
    <row r="60" spans="1:17" x14ac:dyDescent="0.25">
      <c r="F60" s="46"/>
      <c r="G60" s="46"/>
      <c r="H60" s="46"/>
      <c r="I60" s="46"/>
      <c r="J60" s="46"/>
    </row>
    <row r="61" spans="1:17" x14ac:dyDescent="0.25">
      <c r="F61" s="46"/>
      <c r="G61" s="46"/>
      <c r="H61" s="46"/>
      <c r="I61" s="46"/>
      <c r="J61" s="46"/>
    </row>
    <row r="62" spans="1:17" x14ac:dyDescent="0.25">
      <c r="A62" s="47" t="s">
        <v>21</v>
      </c>
      <c r="C62" s="47"/>
      <c r="D62" s="47"/>
      <c r="E62" s="47"/>
      <c r="F62" s="47"/>
      <c r="G62" s="47"/>
      <c r="H62" s="47"/>
      <c r="I62" s="47"/>
      <c r="J62" s="47"/>
    </row>
    <row r="63" spans="1:17" x14ac:dyDescent="0.25">
      <c r="B63" s="48"/>
      <c r="C63" s="48"/>
      <c r="D63" s="49"/>
      <c r="F63" s="49"/>
      <c r="G63" s="49"/>
      <c r="H63" s="49"/>
      <c r="I63" s="49"/>
      <c r="J63" s="49"/>
    </row>
    <row r="65" spans="1:5" x14ac:dyDescent="0.25">
      <c r="A65" s="47"/>
      <c r="B65" s="47"/>
      <c r="C65" s="47"/>
    </row>
    <row r="66" spans="1:5" x14ac:dyDescent="0.25">
      <c r="A66" s="49"/>
      <c r="B66" s="47"/>
      <c r="C66" s="47"/>
    </row>
    <row r="68" spans="1:5" x14ac:dyDescent="0.25">
      <c r="E68" s="13" t="s">
        <v>71</v>
      </c>
    </row>
  </sheetData>
  <mergeCells count="4">
    <mergeCell ref="A6:E6"/>
    <mergeCell ref="A1:Q1"/>
    <mergeCell ref="A2:Q2"/>
    <mergeCell ref="A3:Q3"/>
  </mergeCells>
  <printOptions horizontalCentered="1"/>
  <pageMargins left="0" right="0" top="0.5" bottom="0.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75"/>
  <sheetViews>
    <sheetView topLeftCell="B1" zoomScaleNormal="100" zoomScaleSheetLayoutView="85" workbookViewId="0">
      <pane xSplit="4" ySplit="6" topLeftCell="F7" activePane="bottomRight" state="frozen"/>
      <selection activeCell="B1" sqref="B1"/>
      <selection pane="topRight" activeCell="F1" sqref="F1"/>
      <selection pane="bottomLeft" activeCell="B8" sqref="B8"/>
      <selection pane="bottomRight" activeCell="B2" sqref="B2:Q2"/>
    </sheetView>
  </sheetViews>
  <sheetFormatPr defaultColWidth="9.140625" defaultRowHeight="14.25" x14ac:dyDescent="0.2"/>
  <cols>
    <col min="1" max="1" width="0.42578125" style="23" hidden="1" customWidth="1"/>
    <col min="2" max="2" width="0.42578125" style="23" customWidth="1"/>
    <col min="3" max="3" width="1.85546875" style="23" customWidth="1"/>
    <col min="4" max="4" width="0.85546875" style="23" customWidth="1"/>
    <col min="5" max="5" width="37.42578125" style="23" customWidth="1"/>
    <col min="6" max="8" width="11" style="23" bestFit="1" customWidth="1"/>
    <col min="9" max="9" width="10.7109375" style="23" bestFit="1" customWidth="1"/>
    <col min="10" max="10" width="11" style="23" bestFit="1" customWidth="1"/>
    <col min="11" max="11" width="10.7109375" style="23" bestFit="1" customWidth="1"/>
    <col min="12" max="12" width="11" style="23" bestFit="1" customWidth="1"/>
    <col min="13" max="13" width="10.7109375" style="23" bestFit="1" customWidth="1"/>
    <col min="14" max="15" width="11" style="23" bestFit="1" customWidth="1"/>
    <col min="16" max="17" width="10.7109375" style="23" bestFit="1" customWidth="1"/>
    <col min="18" max="18" width="9.42578125" style="23" customWidth="1"/>
    <col min="19" max="19" width="9.140625" style="23" customWidth="1"/>
    <col min="20" max="16384" width="9.140625" style="23"/>
  </cols>
  <sheetData>
    <row r="1" spans="1:22" ht="15" x14ac:dyDescent="0.25">
      <c r="A1" s="29"/>
      <c r="B1" s="95" t="s">
        <v>85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29"/>
    </row>
    <row r="2" spans="1:22" ht="15" x14ac:dyDescent="0.25">
      <c r="A2" s="51" t="s">
        <v>82</v>
      </c>
      <c r="B2" s="96" t="s">
        <v>87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51"/>
    </row>
    <row r="3" spans="1:22" x14ac:dyDescent="0.2">
      <c r="A3" s="97" t="s">
        <v>86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37"/>
    </row>
    <row r="5" spans="1:22" ht="5.25" customHeight="1" x14ac:dyDescent="0.25">
      <c r="A5" s="93" t="s">
        <v>17</v>
      </c>
      <c r="B5" s="93"/>
      <c r="C5" s="93"/>
      <c r="D5" s="93"/>
      <c r="E5" s="93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22" s="55" customFormat="1" ht="19.5" customHeight="1" x14ac:dyDescent="0.2">
      <c r="A6" s="94"/>
      <c r="B6" s="94"/>
      <c r="C6" s="94"/>
      <c r="D6" s="94"/>
      <c r="E6" s="94"/>
      <c r="F6" s="53" t="s">
        <v>0</v>
      </c>
      <c r="G6" s="53" t="s">
        <v>1</v>
      </c>
      <c r="H6" s="53" t="s">
        <v>2</v>
      </c>
      <c r="I6" s="53" t="s">
        <v>3</v>
      </c>
      <c r="J6" s="53" t="s">
        <v>4</v>
      </c>
      <c r="K6" s="53" t="s">
        <v>80</v>
      </c>
      <c r="L6" s="53" t="s">
        <v>5</v>
      </c>
      <c r="M6" s="53" t="s">
        <v>6</v>
      </c>
      <c r="N6" s="53" t="s">
        <v>81</v>
      </c>
      <c r="O6" s="53" t="s">
        <v>7</v>
      </c>
      <c r="P6" s="53" t="s">
        <v>8</v>
      </c>
      <c r="Q6" s="53" t="s">
        <v>9</v>
      </c>
      <c r="R6" s="54"/>
    </row>
    <row r="7" spans="1:22" ht="7.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22" ht="15" x14ac:dyDescent="0.25">
      <c r="A8" s="27" t="s">
        <v>57</v>
      </c>
      <c r="B8" s="27"/>
      <c r="C8" s="5" t="s">
        <v>97</v>
      </c>
      <c r="D8" s="27"/>
      <c r="E8" s="27"/>
      <c r="F8" s="8">
        <f t="shared" ref="F8:Q8" si="0">F10+F66</f>
        <v>3871760.84</v>
      </c>
      <c r="G8" s="8">
        <f t="shared" si="0"/>
        <v>3871290.585</v>
      </c>
      <c r="H8" s="8">
        <f t="shared" si="0"/>
        <v>3898419</v>
      </c>
      <c r="I8" s="8">
        <f t="shared" si="0"/>
        <v>3883191</v>
      </c>
      <c r="J8" s="8">
        <f t="shared" si="0"/>
        <v>3850899</v>
      </c>
      <c r="K8" s="8">
        <f t="shared" si="0"/>
        <v>3871710.4000000004</v>
      </c>
      <c r="L8" s="8">
        <f t="shared" si="0"/>
        <v>3891272.3600000003</v>
      </c>
      <c r="M8" s="8">
        <f t="shared" si="0"/>
        <v>3888415</v>
      </c>
      <c r="N8" s="8">
        <f t="shared" si="0"/>
        <v>3915560</v>
      </c>
      <c r="O8" s="8">
        <f t="shared" si="0"/>
        <v>3930516</v>
      </c>
      <c r="P8" s="8">
        <f t="shared" si="0"/>
        <v>3928106</v>
      </c>
      <c r="Q8" s="8">
        <f t="shared" si="0"/>
        <v>3916779</v>
      </c>
      <c r="R8" s="6"/>
    </row>
    <row r="9" spans="1:22" ht="15" x14ac:dyDescent="0.25">
      <c r="A9" s="22"/>
      <c r="B9" s="22"/>
      <c r="C9" s="22"/>
      <c r="D9" s="22"/>
      <c r="E9" s="2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22" ht="15" x14ac:dyDescent="0.25">
      <c r="B10" s="27" t="s">
        <v>51</v>
      </c>
      <c r="C10" s="27"/>
      <c r="D10" s="27"/>
      <c r="E10" s="27"/>
      <c r="F10" s="8">
        <v>3827440.84</v>
      </c>
      <c r="G10" s="8">
        <v>3826970.585</v>
      </c>
      <c r="H10" s="8">
        <v>3854099</v>
      </c>
      <c r="I10" s="8">
        <v>3850193</v>
      </c>
      <c r="J10" s="8">
        <v>3817901</v>
      </c>
      <c r="K10" s="8">
        <v>3838712.4000000004</v>
      </c>
      <c r="L10" s="8">
        <v>3858274.3600000003</v>
      </c>
      <c r="M10" s="8">
        <v>3855417</v>
      </c>
      <c r="N10" s="8">
        <v>3882562</v>
      </c>
      <c r="O10" s="8">
        <v>3897518</v>
      </c>
      <c r="P10" s="8">
        <v>3895108</v>
      </c>
      <c r="Q10" s="8">
        <v>3883781</v>
      </c>
      <c r="R10" s="8"/>
    </row>
    <row r="11" spans="1:22" ht="15" x14ac:dyDescent="0.25">
      <c r="B11" s="27"/>
      <c r="C11" s="27" t="s">
        <v>24</v>
      </c>
      <c r="D11" s="27"/>
      <c r="E11" s="27" t="s">
        <v>55</v>
      </c>
      <c r="F11" s="8">
        <f>F12+F18</f>
        <v>2088651.59</v>
      </c>
      <c r="G11" s="8">
        <f t="shared" ref="G11:Q11" si="1">G12+G18</f>
        <v>2088203.1</v>
      </c>
      <c r="H11" s="8">
        <f t="shared" si="1"/>
        <v>2114803</v>
      </c>
      <c r="I11" s="8">
        <f t="shared" si="1"/>
        <v>2117263</v>
      </c>
      <c r="J11" s="8">
        <f t="shared" si="1"/>
        <v>2084650</v>
      </c>
      <c r="K11" s="8">
        <f t="shared" si="1"/>
        <v>2105164.6</v>
      </c>
      <c r="L11" s="8">
        <f t="shared" si="1"/>
        <v>2124327.6</v>
      </c>
      <c r="M11" s="8">
        <f t="shared" si="1"/>
        <v>2146321</v>
      </c>
      <c r="N11" s="8">
        <f t="shared" si="1"/>
        <v>2017872</v>
      </c>
      <c r="O11" s="8">
        <f t="shared" si="1"/>
        <v>2032752</v>
      </c>
      <c r="P11" s="8">
        <f t="shared" si="1"/>
        <v>2030281</v>
      </c>
      <c r="Q11" s="8">
        <f t="shared" si="1"/>
        <v>2019029</v>
      </c>
      <c r="R11" s="8"/>
    </row>
    <row r="12" spans="1:22" ht="15" x14ac:dyDescent="0.25">
      <c r="B12" s="29"/>
      <c r="C12" s="29"/>
      <c r="D12" s="29" t="s">
        <v>52</v>
      </c>
      <c r="E12" s="29"/>
      <c r="F12" s="8">
        <f>SUM(F13:F16)</f>
        <v>264628.3</v>
      </c>
      <c r="G12" s="8">
        <f t="shared" ref="G12:Q12" si="2">SUM(G13:G16)</f>
        <v>276628.3</v>
      </c>
      <c r="H12" s="8">
        <f t="shared" si="2"/>
        <v>278228</v>
      </c>
      <c r="I12" s="8">
        <f t="shared" si="2"/>
        <v>280688</v>
      </c>
      <c r="J12" s="8">
        <f t="shared" si="2"/>
        <v>279688</v>
      </c>
      <c r="K12" s="8">
        <f t="shared" si="2"/>
        <v>275203</v>
      </c>
      <c r="L12" s="8">
        <f t="shared" si="2"/>
        <v>278148</v>
      </c>
      <c r="M12" s="8">
        <f t="shared" si="2"/>
        <v>282488</v>
      </c>
      <c r="N12" s="8">
        <f t="shared" si="2"/>
        <v>282488</v>
      </c>
      <c r="O12" s="8">
        <f t="shared" si="2"/>
        <v>281148</v>
      </c>
      <c r="P12" s="8">
        <f t="shared" si="2"/>
        <v>273970</v>
      </c>
      <c r="Q12" s="8">
        <f t="shared" si="2"/>
        <v>264435</v>
      </c>
      <c r="R12" s="8"/>
    </row>
    <row r="13" spans="1:22" x14ac:dyDescent="0.2">
      <c r="E13" s="23" t="s">
        <v>76</v>
      </c>
      <c r="F13" s="30">
        <v>174568.3</v>
      </c>
      <c r="G13" s="30">
        <v>174568.3</v>
      </c>
      <c r="H13" s="30">
        <v>174568</v>
      </c>
      <c r="I13" s="30">
        <v>174568</v>
      </c>
      <c r="J13" s="30">
        <v>174568</v>
      </c>
      <c r="K13" s="30">
        <v>174568</v>
      </c>
      <c r="L13" s="30">
        <v>174568</v>
      </c>
      <c r="M13" s="30">
        <v>174568</v>
      </c>
      <c r="N13" s="30">
        <v>174568</v>
      </c>
      <c r="O13" s="30">
        <v>174568</v>
      </c>
      <c r="P13" s="30">
        <v>174568</v>
      </c>
      <c r="Q13" s="30">
        <v>174568</v>
      </c>
      <c r="R13" s="30"/>
      <c r="V13" s="23" t="s">
        <v>84</v>
      </c>
    </row>
    <row r="14" spans="1:22" x14ac:dyDescent="0.2">
      <c r="E14" s="23" t="s">
        <v>12</v>
      </c>
      <c r="F14" s="30">
        <v>16000</v>
      </c>
      <c r="G14" s="30">
        <v>16000</v>
      </c>
      <c r="H14" s="30">
        <v>16000</v>
      </c>
      <c r="I14" s="30">
        <v>24000</v>
      </c>
      <c r="J14" s="30">
        <v>22000</v>
      </c>
      <c r="K14" s="30">
        <v>22000</v>
      </c>
      <c r="L14" s="30">
        <v>22000</v>
      </c>
      <c r="M14" s="30">
        <v>24000</v>
      </c>
      <c r="N14" s="30">
        <v>24000</v>
      </c>
      <c r="O14" s="30">
        <v>20410</v>
      </c>
      <c r="P14" s="30">
        <v>19283</v>
      </c>
      <c r="Q14" s="30">
        <v>15528</v>
      </c>
      <c r="R14" s="30"/>
      <c r="V14" s="23" t="s">
        <v>84</v>
      </c>
    </row>
    <row r="15" spans="1:22" x14ac:dyDescent="0.2">
      <c r="E15" s="23" t="s">
        <v>44</v>
      </c>
      <c r="F15" s="30">
        <v>24000</v>
      </c>
      <c r="G15" s="30">
        <v>30000</v>
      </c>
      <c r="H15" s="30">
        <v>30000</v>
      </c>
      <c r="I15" s="30">
        <v>27750</v>
      </c>
      <c r="J15" s="30">
        <v>26750</v>
      </c>
      <c r="K15" s="30">
        <v>26750</v>
      </c>
      <c r="L15" s="30">
        <v>32750</v>
      </c>
      <c r="M15" s="30">
        <v>32750</v>
      </c>
      <c r="N15" s="30">
        <v>32750</v>
      </c>
      <c r="O15" s="30">
        <v>35000</v>
      </c>
      <c r="P15" s="30">
        <v>34949</v>
      </c>
      <c r="Q15" s="30">
        <v>33069</v>
      </c>
      <c r="R15" s="30"/>
    </row>
    <row r="16" spans="1:22" x14ac:dyDescent="0.2">
      <c r="E16" s="23" t="s">
        <v>45</v>
      </c>
      <c r="F16" s="30">
        <v>50060</v>
      </c>
      <c r="G16" s="30">
        <v>56060</v>
      </c>
      <c r="H16" s="30">
        <v>57660</v>
      </c>
      <c r="I16" s="30">
        <v>54370</v>
      </c>
      <c r="J16" s="30">
        <v>56370</v>
      </c>
      <c r="K16" s="30">
        <v>51885</v>
      </c>
      <c r="L16" s="30">
        <v>48830</v>
      </c>
      <c r="M16" s="30">
        <v>51170</v>
      </c>
      <c r="N16" s="30">
        <v>51170</v>
      </c>
      <c r="O16" s="30">
        <v>51170</v>
      </c>
      <c r="P16" s="30">
        <v>45170</v>
      </c>
      <c r="Q16" s="30">
        <v>41270</v>
      </c>
      <c r="R16" s="30"/>
    </row>
    <row r="17" spans="1:22" x14ac:dyDescent="0.2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22" ht="15" x14ac:dyDescent="0.25">
      <c r="B18" s="29"/>
      <c r="C18" s="29"/>
      <c r="D18" s="29" t="s">
        <v>50</v>
      </c>
      <c r="E18" s="29"/>
      <c r="F18" s="8">
        <f>SUM(F19:F26)</f>
        <v>1824023.29</v>
      </c>
      <c r="G18" s="8">
        <f t="shared" ref="G18:Q18" si="3">SUM(G19:G26)</f>
        <v>1811574.8</v>
      </c>
      <c r="H18" s="8">
        <f t="shared" si="3"/>
        <v>1836575</v>
      </c>
      <c r="I18" s="8">
        <f t="shared" si="3"/>
        <v>1836575</v>
      </c>
      <c r="J18" s="8">
        <f t="shared" si="3"/>
        <v>1804962</v>
      </c>
      <c r="K18" s="8">
        <f t="shared" si="3"/>
        <v>1829961.6</v>
      </c>
      <c r="L18" s="8">
        <f t="shared" si="3"/>
        <v>1846179.6</v>
      </c>
      <c r="M18" s="8">
        <f t="shared" si="3"/>
        <v>1863833</v>
      </c>
      <c r="N18" s="8">
        <f t="shared" si="3"/>
        <v>1735384</v>
      </c>
      <c r="O18" s="8">
        <f t="shared" si="3"/>
        <v>1751604</v>
      </c>
      <c r="P18" s="8">
        <f t="shared" si="3"/>
        <v>1756311</v>
      </c>
      <c r="Q18" s="8">
        <f t="shared" si="3"/>
        <v>1754594</v>
      </c>
      <c r="R18" s="8"/>
      <c r="V18" s="23" t="s">
        <v>84</v>
      </c>
    </row>
    <row r="19" spans="1:22" x14ac:dyDescent="0.2">
      <c r="E19" s="23" t="s">
        <v>22</v>
      </c>
      <c r="F19" s="30">
        <v>146461.75</v>
      </c>
      <c r="G19" s="30">
        <v>146461.75</v>
      </c>
      <c r="H19" s="30">
        <v>146462</v>
      </c>
      <c r="I19" s="30">
        <v>146462</v>
      </c>
      <c r="J19" s="30">
        <v>146462</v>
      </c>
      <c r="K19" s="30">
        <v>146462</v>
      </c>
      <c r="L19" s="30">
        <v>146462</v>
      </c>
      <c r="M19" s="30">
        <v>146462</v>
      </c>
      <c r="N19" s="30">
        <v>145548</v>
      </c>
      <c r="O19" s="30">
        <v>145548</v>
      </c>
      <c r="P19" s="30">
        <v>145548</v>
      </c>
      <c r="Q19" s="30">
        <v>145548</v>
      </c>
      <c r="R19" s="30"/>
    </row>
    <row r="20" spans="1:22" x14ac:dyDescent="0.2">
      <c r="E20" s="23" t="s">
        <v>23</v>
      </c>
      <c r="F20" s="30">
        <v>8781.59</v>
      </c>
      <c r="G20" s="30">
        <v>8781.59</v>
      </c>
      <c r="H20" s="30">
        <v>8782</v>
      </c>
      <c r="I20" s="30">
        <v>8782</v>
      </c>
      <c r="J20" s="30">
        <v>8782</v>
      </c>
      <c r="K20" s="30">
        <v>8782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/>
    </row>
    <row r="21" spans="1:22" x14ac:dyDescent="0.2">
      <c r="E21" s="23" t="s">
        <v>14</v>
      </c>
      <c r="F21" s="30">
        <v>176992</v>
      </c>
      <c r="G21" s="30">
        <v>176992</v>
      </c>
      <c r="H21" s="30">
        <v>176992</v>
      </c>
      <c r="I21" s="30">
        <v>176992</v>
      </c>
      <c r="J21" s="30">
        <v>150744</v>
      </c>
      <c r="K21" s="30">
        <v>175743.6</v>
      </c>
      <c r="L21" s="30">
        <v>200743.6</v>
      </c>
      <c r="M21" s="30">
        <v>225744</v>
      </c>
      <c r="N21" s="30">
        <v>205472</v>
      </c>
      <c r="O21" s="30">
        <v>221692</v>
      </c>
      <c r="P21" s="30">
        <v>226399</v>
      </c>
      <c r="Q21" s="30">
        <v>226399</v>
      </c>
      <c r="R21" s="30"/>
    </row>
    <row r="22" spans="1:22" x14ac:dyDescent="0.2">
      <c r="E22" s="23" t="s">
        <v>15</v>
      </c>
      <c r="F22" s="30">
        <v>486028</v>
      </c>
      <c r="G22" s="30">
        <v>486028</v>
      </c>
      <c r="H22" s="30">
        <v>511028</v>
      </c>
      <c r="I22" s="30">
        <v>511028</v>
      </c>
      <c r="J22" s="30">
        <v>505663</v>
      </c>
      <c r="K22" s="30">
        <v>505663</v>
      </c>
      <c r="L22" s="30">
        <v>505663</v>
      </c>
      <c r="M22" s="30">
        <v>505663</v>
      </c>
      <c r="N22" s="30">
        <v>469127</v>
      </c>
      <c r="O22" s="30">
        <v>469127</v>
      </c>
      <c r="P22" s="30">
        <v>469127</v>
      </c>
      <c r="Q22" s="30">
        <v>469127</v>
      </c>
      <c r="R22" s="30"/>
    </row>
    <row r="23" spans="1:22" x14ac:dyDescent="0.2">
      <c r="E23" s="23" t="s">
        <v>20</v>
      </c>
      <c r="F23" s="30">
        <v>419221.69</v>
      </c>
      <c r="G23" s="30">
        <v>406773.2</v>
      </c>
      <c r="H23" s="30">
        <v>406773</v>
      </c>
      <c r="I23" s="30">
        <v>406773</v>
      </c>
      <c r="J23" s="30">
        <v>406773</v>
      </c>
      <c r="K23" s="30">
        <v>406773</v>
      </c>
      <c r="L23" s="30">
        <v>406773</v>
      </c>
      <c r="M23" s="30">
        <v>399426</v>
      </c>
      <c r="N23" s="30">
        <v>380832</v>
      </c>
      <c r="O23" s="30">
        <v>380832</v>
      </c>
      <c r="P23" s="30">
        <v>380832</v>
      </c>
      <c r="Q23" s="30">
        <v>379115</v>
      </c>
      <c r="R23" s="30"/>
    </row>
    <row r="24" spans="1:22" x14ac:dyDescent="0.2">
      <c r="E24" s="23" t="s">
        <v>46</v>
      </c>
      <c r="F24" s="30">
        <v>336114.27</v>
      </c>
      <c r="G24" s="30">
        <v>336114.27</v>
      </c>
      <c r="H24" s="30">
        <v>336114</v>
      </c>
      <c r="I24" s="30">
        <v>336114</v>
      </c>
      <c r="J24" s="30">
        <v>336114</v>
      </c>
      <c r="K24" s="30">
        <v>336114</v>
      </c>
      <c r="L24" s="30">
        <v>336114</v>
      </c>
      <c r="M24" s="30">
        <v>336114</v>
      </c>
      <c r="N24" s="30">
        <v>298325</v>
      </c>
      <c r="O24" s="30">
        <v>298325</v>
      </c>
      <c r="P24" s="30">
        <v>298325</v>
      </c>
      <c r="Q24" s="30">
        <v>298325</v>
      </c>
      <c r="R24" s="30"/>
    </row>
    <row r="25" spans="1:22" x14ac:dyDescent="0.2">
      <c r="E25" s="23" t="s">
        <v>47</v>
      </c>
      <c r="F25" s="30">
        <v>250326.94</v>
      </c>
      <c r="G25" s="30">
        <v>250326.94</v>
      </c>
      <c r="H25" s="30">
        <v>250327</v>
      </c>
      <c r="I25" s="30">
        <v>250327</v>
      </c>
      <c r="J25" s="30">
        <v>250327</v>
      </c>
      <c r="K25" s="30">
        <v>250327</v>
      </c>
      <c r="L25" s="30">
        <v>250327</v>
      </c>
      <c r="M25" s="30">
        <v>250327</v>
      </c>
      <c r="N25" s="30">
        <v>235983</v>
      </c>
      <c r="O25" s="30">
        <v>235983</v>
      </c>
      <c r="P25" s="30">
        <v>235983</v>
      </c>
      <c r="Q25" s="30">
        <v>235983</v>
      </c>
      <c r="R25" s="30"/>
    </row>
    <row r="26" spans="1:22" x14ac:dyDescent="0.2">
      <c r="E26" s="23" t="s">
        <v>53</v>
      </c>
      <c r="F26" s="30">
        <v>97.05</v>
      </c>
      <c r="G26" s="30">
        <v>97.05</v>
      </c>
      <c r="H26" s="30">
        <v>97</v>
      </c>
      <c r="I26" s="30">
        <v>97</v>
      </c>
      <c r="J26" s="30">
        <v>97</v>
      </c>
      <c r="K26" s="30">
        <v>97</v>
      </c>
      <c r="L26" s="30">
        <v>97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  <c r="R26" s="30"/>
    </row>
    <row r="28" spans="1:22" ht="15" x14ac:dyDescent="0.25">
      <c r="B28" s="29"/>
      <c r="C28" s="29" t="s">
        <v>147</v>
      </c>
      <c r="D28" s="29"/>
      <c r="E28" s="29"/>
      <c r="F28" s="8">
        <f>F29+F40+F53+F55+F57+F63</f>
        <v>1738789.2499999998</v>
      </c>
      <c r="G28" s="8">
        <f t="shared" ref="G28:Q28" si="4">G29+G40+G53+G55+G57+G63</f>
        <v>1738767.4849999996</v>
      </c>
      <c r="H28" s="8">
        <f t="shared" si="4"/>
        <v>1739296</v>
      </c>
      <c r="I28" s="8">
        <f t="shared" si="4"/>
        <v>1732930</v>
      </c>
      <c r="J28" s="8">
        <f t="shared" si="4"/>
        <v>1733251</v>
      </c>
      <c r="K28" s="8">
        <f t="shared" si="4"/>
        <v>1733547.8</v>
      </c>
      <c r="L28" s="8">
        <f t="shared" si="4"/>
        <v>1733946.76</v>
      </c>
      <c r="M28" s="8">
        <f t="shared" si="4"/>
        <v>1709096</v>
      </c>
      <c r="N28" s="8">
        <f t="shared" si="4"/>
        <v>1864690</v>
      </c>
      <c r="O28" s="8">
        <f t="shared" si="4"/>
        <v>1864766</v>
      </c>
      <c r="P28" s="8">
        <f t="shared" si="4"/>
        <v>1864827</v>
      </c>
      <c r="Q28" s="8">
        <f t="shared" si="4"/>
        <v>1864752</v>
      </c>
      <c r="R28" s="8"/>
      <c r="U28" s="28" t="s">
        <v>84</v>
      </c>
    </row>
    <row r="29" spans="1:22" ht="15" x14ac:dyDescent="0.25">
      <c r="B29" s="29"/>
      <c r="C29" s="29"/>
      <c r="D29" s="29" t="s">
        <v>34</v>
      </c>
      <c r="E29" s="29"/>
      <c r="F29" s="8">
        <v>804880.94</v>
      </c>
      <c r="G29" s="8">
        <v>804880.94</v>
      </c>
      <c r="H29" s="8">
        <v>804881</v>
      </c>
      <c r="I29" s="8">
        <v>804881</v>
      </c>
      <c r="J29" s="8">
        <v>804881</v>
      </c>
      <c r="K29" s="8">
        <v>804881</v>
      </c>
      <c r="L29" s="8">
        <v>804881</v>
      </c>
      <c r="M29" s="8">
        <v>779307</v>
      </c>
      <c r="N29" s="8">
        <v>753195</v>
      </c>
      <c r="O29" s="8">
        <v>753195</v>
      </c>
      <c r="P29" s="8">
        <v>753195</v>
      </c>
      <c r="Q29" s="8">
        <v>753195</v>
      </c>
      <c r="R29" s="8"/>
    </row>
    <row r="30" spans="1:22" ht="15" x14ac:dyDescent="0.25">
      <c r="A30" s="29"/>
      <c r="B30" s="29"/>
      <c r="C30" s="29"/>
      <c r="D30" s="29"/>
      <c r="E30" s="27">
        <v>2.1</v>
      </c>
      <c r="F30" s="28">
        <f>SUM(F31:F33)</f>
        <v>176987.7</v>
      </c>
      <c r="G30" s="28">
        <f t="shared" ref="G30:Q30" si="5">SUM(G31:G33)</f>
        <v>176987.7</v>
      </c>
      <c r="H30" s="28">
        <f t="shared" si="5"/>
        <v>176988</v>
      </c>
      <c r="I30" s="28">
        <f t="shared" si="5"/>
        <v>176988</v>
      </c>
      <c r="J30" s="28">
        <f t="shared" si="5"/>
        <v>176988</v>
      </c>
      <c r="K30" s="28">
        <f t="shared" si="5"/>
        <v>176988</v>
      </c>
      <c r="L30" s="28">
        <f t="shared" si="5"/>
        <v>176988</v>
      </c>
      <c r="M30" s="28">
        <f t="shared" si="5"/>
        <v>151414</v>
      </c>
      <c r="N30" s="28">
        <f t="shared" si="5"/>
        <v>151549</v>
      </c>
      <c r="O30" s="28">
        <f t="shared" si="5"/>
        <v>151549</v>
      </c>
      <c r="P30" s="28">
        <f t="shared" si="5"/>
        <v>151549</v>
      </c>
      <c r="Q30" s="28">
        <f t="shared" si="5"/>
        <v>151549</v>
      </c>
      <c r="R30" s="28"/>
    </row>
    <row r="31" spans="1:22" x14ac:dyDescent="0.2">
      <c r="E31" s="37" t="s">
        <v>27</v>
      </c>
      <c r="F31" s="30">
        <v>53822.1</v>
      </c>
      <c r="G31" s="30">
        <v>53822.1</v>
      </c>
      <c r="H31" s="30">
        <v>53822</v>
      </c>
      <c r="I31" s="30">
        <v>53822</v>
      </c>
      <c r="J31" s="30">
        <v>53822</v>
      </c>
      <c r="K31" s="30">
        <v>53822</v>
      </c>
      <c r="L31" s="30">
        <v>53822</v>
      </c>
      <c r="M31" s="30">
        <v>28248</v>
      </c>
      <c r="N31" s="30">
        <v>27493</v>
      </c>
      <c r="O31" s="30">
        <v>27493</v>
      </c>
      <c r="P31" s="30">
        <v>27493</v>
      </c>
      <c r="Q31" s="30">
        <v>27493</v>
      </c>
      <c r="R31" s="30"/>
    </row>
    <row r="32" spans="1:22" x14ac:dyDescent="0.2">
      <c r="E32" s="37" t="s">
        <v>58</v>
      </c>
      <c r="F32" s="30">
        <v>49563.6</v>
      </c>
      <c r="G32" s="30">
        <v>49563.6</v>
      </c>
      <c r="H32" s="30">
        <v>49564</v>
      </c>
      <c r="I32" s="30">
        <v>49564</v>
      </c>
      <c r="J32" s="30">
        <v>49564</v>
      </c>
      <c r="K32" s="30">
        <v>49564</v>
      </c>
      <c r="L32" s="30">
        <v>49564</v>
      </c>
      <c r="M32" s="30">
        <v>49564</v>
      </c>
      <c r="N32" s="30">
        <v>49346</v>
      </c>
      <c r="O32" s="30">
        <v>49346</v>
      </c>
      <c r="P32" s="30">
        <v>49346</v>
      </c>
      <c r="Q32" s="30">
        <v>49346</v>
      </c>
      <c r="R32" s="30"/>
    </row>
    <row r="33" spans="1:18" x14ac:dyDescent="0.2">
      <c r="E33" s="37" t="s">
        <v>67</v>
      </c>
      <c r="F33" s="30">
        <v>73602</v>
      </c>
      <c r="G33" s="30">
        <v>73602</v>
      </c>
      <c r="H33" s="30">
        <v>73602</v>
      </c>
      <c r="I33" s="30">
        <v>73602</v>
      </c>
      <c r="J33" s="30">
        <v>73602</v>
      </c>
      <c r="K33" s="30">
        <v>73602</v>
      </c>
      <c r="L33" s="30">
        <v>73602</v>
      </c>
      <c r="M33" s="30">
        <v>73602</v>
      </c>
      <c r="N33" s="30">
        <v>74710</v>
      </c>
      <c r="O33" s="30">
        <v>74710</v>
      </c>
      <c r="P33" s="30">
        <v>74710</v>
      </c>
      <c r="Q33" s="30">
        <v>74710</v>
      </c>
      <c r="R33" s="30"/>
    </row>
    <row r="34" spans="1:18" ht="15" x14ac:dyDescent="0.25">
      <c r="E34" s="27">
        <v>2.2000000000000002</v>
      </c>
      <c r="F34" s="28">
        <f>SUM(F35:F38)</f>
        <v>627893.24</v>
      </c>
      <c r="G34" s="28">
        <f t="shared" ref="G34:Q34" si="6">SUM(G35:G38)</f>
        <v>627893.24</v>
      </c>
      <c r="H34" s="28">
        <f t="shared" si="6"/>
        <v>627893</v>
      </c>
      <c r="I34" s="28">
        <f t="shared" si="6"/>
        <v>627893</v>
      </c>
      <c r="J34" s="28">
        <f t="shared" si="6"/>
        <v>627893</v>
      </c>
      <c r="K34" s="28">
        <f t="shared" si="6"/>
        <v>627893</v>
      </c>
      <c r="L34" s="28">
        <f t="shared" si="6"/>
        <v>627893</v>
      </c>
      <c r="M34" s="28">
        <f t="shared" si="6"/>
        <v>627893</v>
      </c>
      <c r="N34" s="28">
        <f t="shared" si="6"/>
        <v>601646</v>
      </c>
      <c r="O34" s="28">
        <f t="shared" si="6"/>
        <v>601646</v>
      </c>
      <c r="P34" s="28">
        <f t="shared" si="6"/>
        <v>601646</v>
      </c>
      <c r="Q34" s="28">
        <f t="shared" si="6"/>
        <v>601646</v>
      </c>
      <c r="R34" s="28"/>
    </row>
    <row r="35" spans="1:18" x14ac:dyDescent="0.2">
      <c r="E35" s="23" t="s">
        <v>67</v>
      </c>
      <c r="F35" s="30">
        <v>204953.06</v>
      </c>
      <c r="G35" s="30">
        <v>204953.06</v>
      </c>
      <c r="H35" s="30">
        <v>204953</v>
      </c>
      <c r="I35" s="30">
        <v>204953</v>
      </c>
      <c r="J35" s="30">
        <v>204953</v>
      </c>
      <c r="K35" s="30">
        <v>204953</v>
      </c>
      <c r="L35" s="30">
        <v>204953</v>
      </c>
      <c r="M35" s="30">
        <v>204953</v>
      </c>
      <c r="N35" s="30">
        <v>194027</v>
      </c>
      <c r="O35" s="30">
        <v>194027</v>
      </c>
      <c r="P35" s="30">
        <v>194027</v>
      </c>
      <c r="Q35" s="30">
        <v>194027</v>
      </c>
      <c r="R35" s="30"/>
    </row>
    <row r="36" spans="1:18" x14ac:dyDescent="0.2">
      <c r="E36" s="23" t="s">
        <v>66</v>
      </c>
      <c r="F36" s="30">
        <v>99281.43</v>
      </c>
      <c r="G36" s="30">
        <v>99281.43</v>
      </c>
      <c r="H36" s="30">
        <v>99281</v>
      </c>
      <c r="I36" s="30">
        <v>99281</v>
      </c>
      <c r="J36" s="30">
        <v>99281</v>
      </c>
      <c r="K36" s="30">
        <v>99281</v>
      </c>
      <c r="L36" s="30">
        <v>99281</v>
      </c>
      <c r="M36" s="30">
        <v>99281</v>
      </c>
      <c r="N36" s="30">
        <v>95805</v>
      </c>
      <c r="O36" s="30">
        <v>95805</v>
      </c>
      <c r="P36" s="30">
        <v>95805</v>
      </c>
      <c r="Q36" s="30">
        <v>95805</v>
      </c>
      <c r="R36" s="30"/>
    </row>
    <row r="37" spans="1:18" x14ac:dyDescent="0.2">
      <c r="E37" s="23" t="s">
        <v>72</v>
      </c>
      <c r="F37" s="30">
        <v>135658.75</v>
      </c>
      <c r="G37" s="30">
        <v>135658.75</v>
      </c>
      <c r="H37" s="30">
        <v>135659</v>
      </c>
      <c r="I37" s="30">
        <v>135659</v>
      </c>
      <c r="J37" s="30">
        <v>135659</v>
      </c>
      <c r="K37" s="30">
        <v>135659</v>
      </c>
      <c r="L37" s="30">
        <v>135659</v>
      </c>
      <c r="M37" s="30">
        <v>135659</v>
      </c>
      <c r="N37" s="30">
        <v>132682</v>
      </c>
      <c r="O37" s="30">
        <v>132682</v>
      </c>
      <c r="P37" s="30">
        <v>132682</v>
      </c>
      <c r="Q37" s="30">
        <v>132682</v>
      </c>
      <c r="R37" s="30"/>
    </row>
    <row r="38" spans="1:18" x14ac:dyDescent="0.2">
      <c r="E38" s="23" t="s">
        <v>73</v>
      </c>
      <c r="F38" s="30">
        <v>188000</v>
      </c>
      <c r="G38" s="30">
        <v>188000</v>
      </c>
      <c r="H38" s="30">
        <v>188000</v>
      </c>
      <c r="I38" s="30">
        <v>188000</v>
      </c>
      <c r="J38" s="30">
        <v>188000</v>
      </c>
      <c r="K38" s="30">
        <v>188000</v>
      </c>
      <c r="L38" s="30">
        <v>188000</v>
      </c>
      <c r="M38" s="30">
        <v>188000</v>
      </c>
      <c r="N38" s="30">
        <v>179132</v>
      </c>
      <c r="O38" s="30">
        <v>179132</v>
      </c>
      <c r="P38" s="30">
        <v>179132</v>
      </c>
      <c r="Q38" s="30">
        <v>179132</v>
      </c>
      <c r="R38" s="30"/>
    </row>
    <row r="39" spans="1:18" x14ac:dyDescent="0.2"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ht="15" x14ac:dyDescent="0.25">
      <c r="C40" s="31"/>
      <c r="D40" s="29" t="s">
        <v>165</v>
      </c>
      <c r="F40" s="8">
        <f>F41+F45+F49</f>
        <v>850017.79999999993</v>
      </c>
      <c r="G40" s="8">
        <f t="shared" ref="G40:Q40" si="7">G41+G45+G49</f>
        <v>850017.79999999993</v>
      </c>
      <c r="H40" s="8">
        <f t="shared" si="7"/>
        <v>850018</v>
      </c>
      <c r="I40" s="8">
        <f t="shared" si="7"/>
        <v>850018</v>
      </c>
      <c r="J40" s="8">
        <f t="shared" si="7"/>
        <v>850018</v>
      </c>
      <c r="K40" s="8">
        <f t="shared" si="7"/>
        <v>850018</v>
      </c>
      <c r="L40" s="8">
        <f t="shared" si="7"/>
        <v>850018</v>
      </c>
      <c r="M40" s="8">
        <f t="shared" si="7"/>
        <v>850018</v>
      </c>
      <c r="N40" s="8">
        <f t="shared" si="7"/>
        <v>1031342</v>
      </c>
      <c r="O40" s="8">
        <f t="shared" si="7"/>
        <v>1031342</v>
      </c>
      <c r="P40" s="8">
        <f t="shared" si="7"/>
        <v>1031342</v>
      </c>
      <c r="Q40" s="8">
        <f t="shared" si="7"/>
        <v>1031342</v>
      </c>
      <c r="R40" s="8"/>
    </row>
    <row r="41" spans="1:18" ht="15" x14ac:dyDescent="0.25">
      <c r="C41" s="31"/>
      <c r="D41" s="29"/>
      <c r="E41" s="27">
        <v>2.1</v>
      </c>
      <c r="F41" s="8">
        <f>SUM(F42:F43)</f>
        <v>198321.34999999998</v>
      </c>
      <c r="G41" s="8">
        <f t="shared" ref="G41:Q41" si="8">SUM(G42:G43)</f>
        <v>198321.34999999998</v>
      </c>
      <c r="H41" s="8">
        <f t="shared" si="8"/>
        <v>198321</v>
      </c>
      <c r="I41" s="8">
        <f t="shared" si="8"/>
        <v>198321</v>
      </c>
      <c r="J41" s="8">
        <f t="shared" si="8"/>
        <v>198321</v>
      </c>
      <c r="K41" s="8">
        <f t="shared" si="8"/>
        <v>198321</v>
      </c>
      <c r="L41" s="8">
        <f t="shared" si="8"/>
        <v>198321</v>
      </c>
      <c r="M41" s="8">
        <f t="shared" si="8"/>
        <v>198321</v>
      </c>
      <c r="N41" s="8">
        <f t="shared" si="8"/>
        <v>144224</v>
      </c>
      <c r="O41" s="8">
        <f t="shared" si="8"/>
        <v>144224</v>
      </c>
      <c r="P41" s="8">
        <f t="shared" si="8"/>
        <v>144224</v>
      </c>
      <c r="Q41" s="8">
        <f t="shared" si="8"/>
        <v>144224</v>
      </c>
      <c r="R41" s="8"/>
    </row>
    <row r="42" spans="1:18" ht="15" x14ac:dyDescent="0.25">
      <c r="C42" s="31"/>
      <c r="E42" s="37" t="s">
        <v>43</v>
      </c>
      <c r="F42" s="30">
        <v>135122.93</v>
      </c>
      <c r="G42" s="30">
        <v>135122.93</v>
      </c>
      <c r="H42" s="30">
        <v>135123</v>
      </c>
      <c r="I42" s="30">
        <v>135123</v>
      </c>
      <c r="J42" s="30">
        <v>135123</v>
      </c>
      <c r="K42" s="30">
        <v>135123</v>
      </c>
      <c r="L42" s="30">
        <v>135123</v>
      </c>
      <c r="M42" s="30">
        <v>135123</v>
      </c>
      <c r="N42" s="30">
        <v>87696</v>
      </c>
      <c r="O42" s="30">
        <v>87696</v>
      </c>
      <c r="P42" s="30">
        <v>87696</v>
      </c>
      <c r="Q42" s="30">
        <v>87696</v>
      </c>
      <c r="R42" s="30"/>
    </row>
    <row r="43" spans="1:18" ht="15" x14ac:dyDescent="0.25">
      <c r="A43" s="29"/>
      <c r="B43" s="29"/>
      <c r="C43" s="29"/>
      <c r="E43" s="37" t="s">
        <v>54</v>
      </c>
      <c r="F43" s="30">
        <v>63198.42</v>
      </c>
      <c r="G43" s="30">
        <v>63198.42</v>
      </c>
      <c r="H43" s="30">
        <v>63198</v>
      </c>
      <c r="I43" s="30">
        <v>63198</v>
      </c>
      <c r="J43" s="30">
        <v>63198</v>
      </c>
      <c r="K43" s="30">
        <v>63198</v>
      </c>
      <c r="L43" s="30">
        <v>63198</v>
      </c>
      <c r="M43" s="30">
        <v>63198</v>
      </c>
      <c r="N43" s="30">
        <v>56528</v>
      </c>
      <c r="O43" s="30">
        <v>56528</v>
      </c>
      <c r="P43" s="30">
        <v>56528</v>
      </c>
      <c r="Q43" s="30">
        <v>56528</v>
      </c>
      <c r="R43" s="30"/>
    </row>
    <row r="44" spans="1:18" ht="15" x14ac:dyDescent="0.25">
      <c r="A44" s="29"/>
      <c r="B44" s="29"/>
      <c r="C44" s="29"/>
      <c r="E44" s="37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 ht="15" x14ac:dyDescent="0.25">
      <c r="A45" s="29"/>
      <c r="B45" s="29"/>
      <c r="C45" s="31"/>
      <c r="D45" s="29"/>
      <c r="E45" s="27">
        <v>2.2000000000000002</v>
      </c>
      <c r="F45" s="8">
        <f>SUM(F46:F47)</f>
        <v>333609.73</v>
      </c>
      <c r="G45" s="8">
        <f t="shared" ref="G45:Q45" si="9">SUM(G46:G47)</f>
        <v>333609.73</v>
      </c>
      <c r="H45" s="8">
        <f t="shared" si="9"/>
        <v>333610</v>
      </c>
      <c r="I45" s="8">
        <f t="shared" si="9"/>
        <v>333610</v>
      </c>
      <c r="J45" s="8">
        <f t="shared" si="9"/>
        <v>333610</v>
      </c>
      <c r="K45" s="8">
        <f t="shared" si="9"/>
        <v>333610</v>
      </c>
      <c r="L45" s="8">
        <f t="shared" si="9"/>
        <v>333610</v>
      </c>
      <c r="M45" s="8">
        <f t="shared" si="9"/>
        <v>333610</v>
      </c>
      <c r="N45" s="8">
        <f t="shared" si="9"/>
        <v>573373</v>
      </c>
      <c r="O45" s="8">
        <f t="shared" si="9"/>
        <v>573373</v>
      </c>
      <c r="P45" s="8">
        <f t="shared" si="9"/>
        <v>573373</v>
      </c>
      <c r="Q45" s="8">
        <f t="shared" si="9"/>
        <v>573373</v>
      </c>
      <c r="R45" s="8"/>
    </row>
    <row r="46" spans="1:18" ht="15" x14ac:dyDescent="0.25">
      <c r="A46" s="29"/>
      <c r="B46" s="29"/>
      <c r="C46" s="29"/>
      <c r="E46" s="37" t="s">
        <v>62</v>
      </c>
      <c r="F46" s="30">
        <v>167599.69</v>
      </c>
      <c r="G46" s="30">
        <v>167599.69</v>
      </c>
      <c r="H46" s="30">
        <v>167600</v>
      </c>
      <c r="I46" s="30">
        <v>167600</v>
      </c>
      <c r="J46" s="30">
        <v>167600</v>
      </c>
      <c r="K46" s="30">
        <v>167600</v>
      </c>
      <c r="L46" s="30">
        <v>167600</v>
      </c>
      <c r="M46" s="30">
        <v>167600</v>
      </c>
      <c r="N46" s="30">
        <v>267598</v>
      </c>
      <c r="O46" s="30">
        <v>267598</v>
      </c>
      <c r="P46" s="30">
        <v>267598</v>
      </c>
      <c r="Q46" s="30">
        <v>267598</v>
      </c>
      <c r="R46" s="30"/>
    </row>
    <row r="47" spans="1:18" ht="15" x14ac:dyDescent="0.25">
      <c r="A47" s="29"/>
      <c r="B47" s="29"/>
      <c r="C47" s="29"/>
      <c r="E47" s="37" t="s">
        <v>19</v>
      </c>
      <c r="F47" s="30">
        <v>166010.04</v>
      </c>
      <c r="G47" s="30">
        <v>166010.04</v>
      </c>
      <c r="H47" s="30">
        <v>166010</v>
      </c>
      <c r="I47" s="30">
        <v>166010</v>
      </c>
      <c r="J47" s="30">
        <v>166010</v>
      </c>
      <c r="K47" s="30">
        <v>166010</v>
      </c>
      <c r="L47" s="30">
        <v>166010</v>
      </c>
      <c r="M47" s="30">
        <v>166010</v>
      </c>
      <c r="N47" s="30">
        <v>305775</v>
      </c>
      <c r="O47" s="30">
        <v>305775</v>
      </c>
      <c r="P47" s="30">
        <v>305775</v>
      </c>
      <c r="Q47" s="30">
        <v>305775</v>
      </c>
      <c r="R47" s="30"/>
    </row>
    <row r="48" spans="1:18" ht="15" x14ac:dyDescent="0.25">
      <c r="A48" s="29"/>
      <c r="B48" s="29"/>
      <c r="C48" s="29"/>
      <c r="E48" s="37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 ht="15" x14ac:dyDescent="0.25">
      <c r="A49" s="29"/>
      <c r="B49" s="29"/>
      <c r="C49" s="29"/>
      <c r="E49" s="27">
        <v>2.2999999999999998</v>
      </c>
      <c r="F49" s="8">
        <f>SUM(F50:F51)</f>
        <v>318086.71999999997</v>
      </c>
      <c r="G49" s="8">
        <f t="shared" ref="G49:Q49" si="10">SUM(G50:G51)</f>
        <v>318086.71999999997</v>
      </c>
      <c r="H49" s="8">
        <f t="shared" si="10"/>
        <v>318087</v>
      </c>
      <c r="I49" s="8">
        <f t="shared" si="10"/>
        <v>318087</v>
      </c>
      <c r="J49" s="8">
        <f t="shared" si="10"/>
        <v>318087</v>
      </c>
      <c r="K49" s="8">
        <f t="shared" si="10"/>
        <v>318087</v>
      </c>
      <c r="L49" s="8">
        <f t="shared" si="10"/>
        <v>318087</v>
      </c>
      <c r="M49" s="8">
        <f t="shared" si="10"/>
        <v>318087</v>
      </c>
      <c r="N49" s="8">
        <f t="shared" si="10"/>
        <v>313745</v>
      </c>
      <c r="O49" s="8">
        <f t="shared" si="10"/>
        <v>313745</v>
      </c>
      <c r="P49" s="8">
        <f t="shared" si="10"/>
        <v>313745</v>
      </c>
      <c r="Q49" s="8">
        <f t="shared" si="10"/>
        <v>313745</v>
      </c>
      <c r="R49" s="8"/>
    </row>
    <row r="50" spans="1:18" ht="15" x14ac:dyDescent="0.25">
      <c r="A50" s="29"/>
      <c r="B50" s="29"/>
      <c r="C50" s="29"/>
      <c r="E50" s="23" t="s">
        <v>69</v>
      </c>
      <c r="F50" s="30">
        <v>62249.57</v>
      </c>
      <c r="G50" s="30">
        <v>62249.57</v>
      </c>
      <c r="H50" s="30">
        <v>62250</v>
      </c>
      <c r="I50" s="30">
        <v>62250</v>
      </c>
      <c r="J50" s="30">
        <v>62250</v>
      </c>
      <c r="K50" s="30">
        <v>62250</v>
      </c>
      <c r="L50" s="30">
        <v>62250</v>
      </c>
      <c r="M50" s="30">
        <v>62250</v>
      </c>
      <c r="N50" s="30">
        <v>57908</v>
      </c>
      <c r="O50" s="30">
        <v>57908</v>
      </c>
      <c r="P50" s="30">
        <v>57908</v>
      </c>
      <c r="Q50" s="30">
        <v>57908</v>
      </c>
      <c r="R50" s="30"/>
    </row>
    <row r="51" spans="1:18" ht="15" x14ac:dyDescent="0.25">
      <c r="A51" s="29"/>
      <c r="B51" s="29"/>
      <c r="C51" s="29"/>
      <c r="E51" s="23" t="s">
        <v>16</v>
      </c>
      <c r="F51" s="30">
        <v>255837.15</v>
      </c>
      <c r="G51" s="30">
        <v>255837.15</v>
      </c>
      <c r="H51" s="30">
        <v>255837</v>
      </c>
      <c r="I51" s="30">
        <v>255837</v>
      </c>
      <c r="J51" s="30">
        <v>255837</v>
      </c>
      <c r="K51" s="30">
        <v>255837</v>
      </c>
      <c r="L51" s="30">
        <v>255837</v>
      </c>
      <c r="M51" s="30">
        <v>255837</v>
      </c>
      <c r="N51" s="30">
        <v>255837</v>
      </c>
      <c r="O51" s="30">
        <v>255837</v>
      </c>
      <c r="P51" s="30">
        <v>255837</v>
      </c>
      <c r="Q51" s="30">
        <v>255837</v>
      </c>
      <c r="R51" s="30"/>
    </row>
    <row r="52" spans="1:18" ht="15" x14ac:dyDescent="0.25">
      <c r="A52" s="29"/>
      <c r="B52" s="29"/>
      <c r="C52" s="29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 ht="15" x14ac:dyDescent="0.25">
      <c r="A53" s="29"/>
      <c r="B53" s="29"/>
      <c r="C53" s="29"/>
      <c r="D53" s="29" t="s">
        <v>166</v>
      </c>
      <c r="E53" s="29"/>
      <c r="F53" s="28">
        <v>50000</v>
      </c>
      <c r="G53" s="28">
        <v>50000</v>
      </c>
      <c r="H53" s="28">
        <v>50000</v>
      </c>
      <c r="I53" s="28">
        <v>50000</v>
      </c>
      <c r="J53" s="28">
        <v>50000</v>
      </c>
      <c r="K53" s="28">
        <v>50000</v>
      </c>
      <c r="L53" s="28">
        <v>50000</v>
      </c>
      <c r="M53" s="28">
        <v>50000</v>
      </c>
      <c r="N53" s="28">
        <v>50000</v>
      </c>
      <c r="O53" s="28">
        <v>50000</v>
      </c>
      <c r="P53" s="28">
        <v>50000</v>
      </c>
      <c r="Q53" s="28">
        <v>50000</v>
      </c>
      <c r="R53" s="28"/>
    </row>
    <row r="54" spans="1:18" ht="15" x14ac:dyDescent="0.25">
      <c r="A54" s="29"/>
      <c r="B54" s="29"/>
      <c r="C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18" ht="15" x14ac:dyDescent="0.25">
      <c r="A55" s="29"/>
      <c r="B55" s="29"/>
      <c r="C55" s="29"/>
      <c r="D55" s="29" t="s">
        <v>95</v>
      </c>
      <c r="E55" s="29"/>
      <c r="F55" s="28">
        <v>5647.75</v>
      </c>
      <c r="G55" s="28">
        <v>5660.89</v>
      </c>
      <c r="H55" s="28">
        <v>5718</v>
      </c>
      <c r="I55" s="28">
        <v>5881</v>
      </c>
      <c r="J55" s="28">
        <v>6052</v>
      </c>
      <c r="K55" s="28">
        <v>6048.8</v>
      </c>
      <c r="L55" s="28">
        <v>6247.76</v>
      </c>
      <c r="M55" s="28">
        <v>6421</v>
      </c>
      <c r="N55" s="28">
        <v>6678</v>
      </c>
      <c r="O55" s="28">
        <v>6779</v>
      </c>
      <c r="P55" s="28">
        <v>6740</v>
      </c>
      <c r="Q55" s="28">
        <v>6640</v>
      </c>
      <c r="R55" s="28"/>
    </row>
    <row r="56" spans="1:18" ht="15" x14ac:dyDescent="0.25">
      <c r="A56" s="29"/>
      <c r="B56" s="29"/>
      <c r="C56" s="29"/>
      <c r="D56" s="29"/>
      <c r="E56" s="29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ht="15" x14ac:dyDescent="0.25">
      <c r="A57" s="29"/>
      <c r="B57" s="29"/>
      <c r="C57" s="31"/>
      <c r="D57" s="29" t="s">
        <v>167</v>
      </c>
      <c r="F57" s="8">
        <f>F58+F60</f>
        <v>6192.76</v>
      </c>
      <c r="G57" s="8">
        <f t="shared" ref="G57:Q57" si="11">G58+G60</f>
        <v>6182.8549999999996</v>
      </c>
      <c r="H57" s="8">
        <f t="shared" si="11"/>
        <v>6279</v>
      </c>
      <c r="I57" s="8">
        <f t="shared" si="11"/>
        <v>0</v>
      </c>
      <c r="J57" s="8">
        <f t="shared" si="11"/>
        <v>0</v>
      </c>
      <c r="K57" s="8">
        <f t="shared" si="11"/>
        <v>0</v>
      </c>
      <c r="L57" s="8">
        <f t="shared" si="11"/>
        <v>0</v>
      </c>
      <c r="M57" s="8">
        <f t="shared" si="11"/>
        <v>0</v>
      </c>
      <c r="N57" s="8">
        <f t="shared" si="11"/>
        <v>0</v>
      </c>
      <c r="O57" s="8">
        <f t="shared" si="11"/>
        <v>0</v>
      </c>
      <c r="P57" s="8">
        <f t="shared" si="11"/>
        <v>0</v>
      </c>
      <c r="Q57" s="8">
        <f t="shared" si="11"/>
        <v>0</v>
      </c>
      <c r="R57" s="8"/>
    </row>
    <row r="58" spans="1:18" ht="15" x14ac:dyDescent="0.25">
      <c r="A58" s="29"/>
      <c r="B58" s="29"/>
      <c r="C58" s="29"/>
      <c r="D58" s="29"/>
      <c r="E58" s="60" t="s">
        <v>60</v>
      </c>
      <c r="F58" s="28">
        <v>5925.41</v>
      </c>
      <c r="G58" s="28">
        <v>5918.69</v>
      </c>
      <c r="H58" s="28">
        <v>6019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/>
    </row>
    <row r="59" spans="1:18" ht="15" x14ac:dyDescent="0.25">
      <c r="A59" s="29"/>
      <c r="B59" s="29"/>
      <c r="C59" s="29"/>
      <c r="D59" s="29"/>
      <c r="E59" s="61" t="s">
        <v>78</v>
      </c>
      <c r="F59" s="30">
        <v>5925.41</v>
      </c>
      <c r="G59" s="30">
        <v>5918.69</v>
      </c>
      <c r="H59" s="30">
        <v>6019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/>
    </row>
    <row r="60" spans="1:18" ht="15" x14ac:dyDescent="0.25">
      <c r="A60" s="29"/>
      <c r="B60" s="29"/>
      <c r="C60" s="29"/>
      <c r="D60" s="29"/>
      <c r="E60" s="60" t="s">
        <v>61</v>
      </c>
      <c r="F60" s="28">
        <v>267.35000000000002</v>
      </c>
      <c r="G60" s="28">
        <v>264.16500000000002</v>
      </c>
      <c r="H60" s="28">
        <v>260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/>
    </row>
    <row r="61" spans="1:18" ht="15" x14ac:dyDescent="0.25">
      <c r="A61" s="29"/>
      <c r="B61" s="29"/>
      <c r="C61" s="29"/>
      <c r="D61" s="29"/>
      <c r="E61" s="61" t="s">
        <v>78</v>
      </c>
      <c r="F61" s="30">
        <v>267.35000000000002</v>
      </c>
      <c r="G61" s="30">
        <v>264.16500000000002</v>
      </c>
      <c r="H61" s="30">
        <v>260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/>
    </row>
    <row r="62" spans="1:18" ht="15" x14ac:dyDescent="0.25">
      <c r="A62" s="29"/>
      <c r="B62" s="29"/>
      <c r="C62" s="29"/>
      <c r="D62" s="29"/>
      <c r="E62" s="29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8" ht="15" x14ac:dyDescent="0.25">
      <c r="A63" s="29"/>
      <c r="B63" s="29"/>
      <c r="C63" s="31"/>
      <c r="D63" s="29" t="s">
        <v>168</v>
      </c>
      <c r="E63" s="29"/>
      <c r="F63" s="28">
        <v>22050</v>
      </c>
      <c r="G63" s="28">
        <v>22025</v>
      </c>
      <c r="H63" s="28">
        <v>22400</v>
      </c>
      <c r="I63" s="28">
        <v>22150</v>
      </c>
      <c r="J63" s="28">
        <v>22300</v>
      </c>
      <c r="K63" s="28">
        <v>22600</v>
      </c>
      <c r="L63" s="28">
        <v>22800</v>
      </c>
      <c r="M63" s="28">
        <v>23350</v>
      </c>
      <c r="N63" s="28">
        <v>23475</v>
      </c>
      <c r="O63" s="28">
        <v>23450</v>
      </c>
      <c r="P63" s="28">
        <v>23550</v>
      </c>
      <c r="Q63" s="28">
        <v>23575</v>
      </c>
      <c r="R63" s="28"/>
    </row>
    <row r="64" spans="1:18" ht="15" x14ac:dyDescent="0.25">
      <c r="A64" s="29"/>
      <c r="B64" s="29"/>
      <c r="C64" s="31"/>
      <c r="D64" s="29"/>
      <c r="E64" s="23" t="s">
        <v>79</v>
      </c>
      <c r="F64" s="30">
        <v>22050</v>
      </c>
      <c r="G64" s="30">
        <v>22025</v>
      </c>
      <c r="H64" s="30">
        <v>22400</v>
      </c>
      <c r="I64" s="30">
        <v>22150</v>
      </c>
      <c r="J64" s="30">
        <v>22300</v>
      </c>
      <c r="K64" s="30">
        <v>22600</v>
      </c>
      <c r="L64" s="30">
        <v>22800</v>
      </c>
      <c r="M64" s="30">
        <v>23350</v>
      </c>
      <c r="N64" s="30">
        <v>23475</v>
      </c>
      <c r="O64" s="30">
        <v>23450</v>
      </c>
      <c r="P64" s="30">
        <v>23550</v>
      </c>
      <c r="Q64" s="30">
        <v>23575</v>
      </c>
      <c r="R64" s="30"/>
    </row>
    <row r="65" spans="1:18" ht="15" x14ac:dyDescent="0.25">
      <c r="A65" s="29"/>
      <c r="B65" s="29"/>
      <c r="C65" s="31"/>
      <c r="D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ht="15" x14ac:dyDescent="0.25">
      <c r="A66" s="29" t="s">
        <v>49</v>
      </c>
      <c r="B66" s="29" t="s">
        <v>49</v>
      </c>
      <c r="C66" s="29"/>
      <c r="D66" s="29"/>
      <c r="E66" s="29"/>
      <c r="F66" s="28">
        <v>44320</v>
      </c>
      <c r="G66" s="28">
        <v>44320</v>
      </c>
      <c r="H66" s="28">
        <v>44320</v>
      </c>
      <c r="I66" s="28">
        <v>32998</v>
      </c>
      <c r="J66" s="28">
        <v>32998</v>
      </c>
      <c r="K66" s="28">
        <v>32998</v>
      </c>
      <c r="L66" s="28">
        <v>32998</v>
      </c>
      <c r="M66" s="28">
        <v>32998</v>
      </c>
      <c r="N66" s="28">
        <v>32998</v>
      </c>
      <c r="O66" s="28">
        <v>32998</v>
      </c>
      <c r="P66" s="28">
        <v>32998</v>
      </c>
      <c r="Q66" s="28">
        <v>32998</v>
      </c>
      <c r="R66" s="28"/>
    </row>
    <row r="67" spans="1:18" x14ac:dyDescent="0.2"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</row>
    <row r="68" spans="1:18" x14ac:dyDescent="0.2"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1:18" x14ac:dyDescent="0.2">
      <c r="A69" s="34"/>
      <c r="B69" s="35" t="s">
        <v>21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1:18" x14ac:dyDescent="0.2">
      <c r="B70" s="56"/>
      <c r="C70" s="56"/>
      <c r="D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2" spans="1:18" x14ac:dyDescent="0.2">
      <c r="A72" s="35"/>
      <c r="B72" s="35"/>
      <c r="C72" s="35"/>
    </row>
    <row r="73" spans="1:18" x14ac:dyDescent="0.2">
      <c r="A73" s="36"/>
      <c r="B73" s="35"/>
      <c r="C73" s="35"/>
    </row>
    <row r="75" spans="1:18" x14ac:dyDescent="0.2">
      <c r="E75" s="57" t="s">
        <v>71</v>
      </c>
    </row>
  </sheetData>
  <mergeCells count="4">
    <mergeCell ref="A5:E6"/>
    <mergeCell ref="B1:Q1"/>
    <mergeCell ref="B2:Q2"/>
    <mergeCell ref="A3:Q3"/>
  </mergeCells>
  <printOptions horizontalCentered="1"/>
  <pageMargins left="0" right="0" top="0.5" bottom="0.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83"/>
  <sheetViews>
    <sheetView topLeftCell="B1" zoomScaleNormal="100" zoomScaleSheetLayoutView="85" workbookViewId="0">
      <pane xSplit="4" ySplit="6" topLeftCell="F7" activePane="bottomRight" state="frozen"/>
      <selection activeCell="B1" sqref="B1"/>
      <selection pane="topRight" activeCell="F1" sqref="F1"/>
      <selection pane="bottomLeft" activeCell="B8" sqref="B8"/>
      <selection pane="bottomRight" activeCell="F61" sqref="F61"/>
    </sheetView>
  </sheetViews>
  <sheetFormatPr defaultColWidth="9.140625" defaultRowHeight="14.25" x14ac:dyDescent="0.2"/>
  <cols>
    <col min="1" max="1" width="0.42578125" style="23" hidden="1" customWidth="1"/>
    <col min="2" max="2" width="0.42578125" style="23" customWidth="1"/>
    <col min="3" max="3" width="1.85546875" style="23" customWidth="1"/>
    <col min="4" max="4" width="0.85546875" style="23" customWidth="1"/>
    <col min="5" max="5" width="30.140625" style="23" customWidth="1"/>
    <col min="6" max="7" width="11" style="23" bestFit="1" customWidth="1"/>
    <col min="8" max="8" width="10.7109375" style="23" bestFit="1" customWidth="1"/>
    <col min="9" max="17" width="11" style="23" bestFit="1" customWidth="1"/>
    <col min="18" max="16384" width="9.140625" style="23"/>
  </cols>
  <sheetData>
    <row r="1" spans="1:20" ht="15" x14ac:dyDescent="0.25">
      <c r="A1" s="29"/>
      <c r="B1" s="95" t="s">
        <v>85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20" ht="15" x14ac:dyDescent="0.25">
      <c r="A2" s="51" t="s">
        <v>82</v>
      </c>
      <c r="B2" s="96" t="s">
        <v>185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20" x14ac:dyDescent="0.2">
      <c r="A3" s="97" t="s">
        <v>86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20" x14ac:dyDescent="0.2">
      <c r="A5" s="93" t="s">
        <v>17</v>
      </c>
      <c r="B5" s="93"/>
      <c r="C5" s="93"/>
      <c r="D5" s="93"/>
      <c r="E5" s="93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20" ht="15" thickBot="1" x14ac:dyDescent="0.25">
      <c r="A6" s="98"/>
      <c r="B6" s="98"/>
      <c r="C6" s="98"/>
      <c r="D6" s="98"/>
      <c r="E6" s="98"/>
      <c r="F6" s="70" t="s">
        <v>0</v>
      </c>
      <c r="G6" s="70" t="s">
        <v>1</v>
      </c>
      <c r="H6" s="70" t="s">
        <v>2</v>
      </c>
      <c r="I6" s="70" t="s">
        <v>3</v>
      </c>
      <c r="J6" s="70" t="s">
        <v>4</v>
      </c>
      <c r="K6" s="70" t="s">
        <v>18</v>
      </c>
      <c r="L6" s="70" t="s">
        <v>83</v>
      </c>
      <c r="M6" s="70" t="s">
        <v>6</v>
      </c>
      <c r="N6" s="70" t="s">
        <v>10</v>
      </c>
      <c r="O6" s="70" t="s">
        <v>7</v>
      </c>
      <c r="P6" s="70" t="s">
        <v>8</v>
      </c>
      <c r="Q6" s="70" t="s">
        <v>9</v>
      </c>
    </row>
    <row r="7" spans="1:20" ht="15" thickTop="1" x14ac:dyDescent="0.2">
      <c r="A7" s="26"/>
      <c r="B7" s="26"/>
      <c r="C7" s="26"/>
      <c r="D7" s="26"/>
      <c r="E7" s="26"/>
      <c r="F7" s="26"/>
      <c r="G7" s="26"/>
      <c r="H7" s="26"/>
    </row>
    <row r="8" spans="1:20" ht="15" x14ac:dyDescent="0.25">
      <c r="A8" s="27" t="s">
        <v>57</v>
      </c>
      <c r="B8" s="27"/>
      <c r="C8" s="27"/>
      <c r="D8" s="27"/>
      <c r="E8" s="27"/>
      <c r="F8" s="6">
        <v>3676662.5350000001</v>
      </c>
      <c r="G8" s="6">
        <v>3700507.6280000005</v>
      </c>
      <c r="H8" s="6">
        <v>3718542.6529999999</v>
      </c>
      <c r="I8" s="6">
        <v>3742483.5180000002</v>
      </c>
      <c r="J8" s="6">
        <v>3762092.5180000002</v>
      </c>
      <c r="K8" s="6">
        <v>3788016.591</v>
      </c>
      <c r="L8" s="6">
        <v>3813253</v>
      </c>
      <c r="M8" s="6">
        <v>3834068</v>
      </c>
      <c r="N8" s="6">
        <v>3815567</v>
      </c>
      <c r="O8" s="6">
        <v>3803268.9000000004</v>
      </c>
      <c r="P8" s="6">
        <v>3833046.5999999996</v>
      </c>
      <c r="Q8" s="6">
        <v>3864325</v>
      </c>
    </row>
    <row r="9" spans="1:20" ht="15" x14ac:dyDescent="0.25">
      <c r="A9" s="22"/>
      <c r="B9" s="22"/>
      <c r="C9" s="22"/>
      <c r="D9" s="22"/>
      <c r="E9" s="2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20" ht="15" x14ac:dyDescent="0.25">
      <c r="B10" s="27" t="s">
        <v>51</v>
      </c>
      <c r="C10" s="27"/>
      <c r="D10" s="27"/>
      <c r="E10" s="27"/>
      <c r="F10" s="8">
        <v>3619842.5350000001</v>
      </c>
      <c r="G10" s="8">
        <v>3643687.6280000005</v>
      </c>
      <c r="H10" s="8">
        <v>3661722.6529999999</v>
      </c>
      <c r="I10" s="8">
        <v>3685663.5180000002</v>
      </c>
      <c r="J10" s="8">
        <v>3705272.5180000002</v>
      </c>
      <c r="K10" s="8">
        <v>3731196.591</v>
      </c>
      <c r="L10" s="8">
        <v>3756433</v>
      </c>
      <c r="M10" s="8">
        <v>3777248</v>
      </c>
      <c r="N10" s="8">
        <v>3758747</v>
      </c>
      <c r="O10" s="8">
        <v>3755448.9000000004</v>
      </c>
      <c r="P10" s="8">
        <v>3788726.5999999996</v>
      </c>
      <c r="Q10" s="8">
        <v>3820005</v>
      </c>
    </row>
    <row r="11" spans="1:20" ht="15" x14ac:dyDescent="0.25">
      <c r="B11" s="27"/>
      <c r="C11" s="27" t="s">
        <v>24</v>
      </c>
      <c r="D11" s="27"/>
      <c r="E11" s="27" t="s">
        <v>55</v>
      </c>
      <c r="F11" s="8">
        <v>1942412.3820000002</v>
      </c>
      <c r="G11" s="8">
        <v>1966648.6820000003</v>
      </c>
      <c r="H11" s="8">
        <v>1984528.4950000001</v>
      </c>
      <c r="I11" s="8">
        <v>2008647.2550000001</v>
      </c>
      <c r="J11" s="8">
        <v>2028552.2550000001</v>
      </c>
      <c r="K11" s="8">
        <v>2054649.6030000001</v>
      </c>
      <c r="L11" s="8">
        <v>2080064</v>
      </c>
      <c r="M11" s="8">
        <v>1996038</v>
      </c>
      <c r="N11" s="8">
        <v>2013193</v>
      </c>
      <c r="O11" s="8">
        <v>2016960.4000000001</v>
      </c>
      <c r="P11" s="8">
        <v>2049762.2</v>
      </c>
      <c r="Q11" s="8">
        <v>2080762</v>
      </c>
    </row>
    <row r="12" spans="1:20" ht="15" x14ac:dyDescent="0.25">
      <c r="B12" s="29"/>
      <c r="C12" s="29"/>
      <c r="D12" s="29" t="s">
        <v>52</v>
      </c>
      <c r="E12" s="29"/>
      <c r="F12" s="8">
        <v>305561.3</v>
      </c>
      <c r="G12" s="8">
        <v>292711.3</v>
      </c>
      <c r="H12" s="8">
        <v>293111</v>
      </c>
      <c r="I12" s="8">
        <v>287576</v>
      </c>
      <c r="J12" s="8">
        <v>282481</v>
      </c>
      <c r="K12" s="8">
        <v>288481</v>
      </c>
      <c r="L12" s="8">
        <v>290481</v>
      </c>
      <c r="M12" s="8">
        <v>289141</v>
      </c>
      <c r="N12" s="8">
        <v>285141</v>
      </c>
      <c r="O12" s="8">
        <v>271141.3</v>
      </c>
      <c r="P12" s="8">
        <v>275738</v>
      </c>
      <c r="Q12" s="8">
        <v>281738</v>
      </c>
    </row>
    <row r="13" spans="1:20" ht="15" x14ac:dyDescent="0.25">
      <c r="A13" s="29"/>
      <c r="B13" s="29"/>
      <c r="C13" s="29"/>
      <c r="D13" s="29"/>
      <c r="E13" s="2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0" x14ac:dyDescent="0.2">
      <c r="E14" s="23" t="s">
        <v>76</v>
      </c>
      <c r="F14" s="30">
        <v>174568.3</v>
      </c>
      <c r="G14" s="30">
        <v>174568.3</v>
      </c>
      <c r="H14" s="30">
        <v>174568</v>
      </c>
      <c r="I14" s="30">
        <v>174568</v>
      </c>
      <c r="J14" s="30">
        <v>174568</v>
      </c>
      <c r="K14" s="30">
        <v>174568</v>
      </c>
      <c r="L14" s="30">
        <v>174568</v>
      </c>
      <c r="M14" s="30">
        <v>174568</v>
      </c>
      <c r="N14" s="30">
        <v>174568</v>
      </c>
      <c r="O14" s="30">
        <v>174568.3</v>
      </c>
      <c r="P14" s="30">
        <v>174568</v>
      </c>
      <c r="Q14" s="30">
        <v>174568</v>
      </c>
      <c r="T14" s="23" t="s">
        <v>84</v>
      </c>
    </row>
    <row r="15" spans="1:20" x14ac:dyDescent="0.2">
      <c r="E15" s="23" t="s">
        <v>12</v>
      </c>
      <c r="F15" s="30">
        <v>7535</v>
      </c>
      <c r="G15" s="30">
        <v>7535</v>
      </c>
      <c r="H15" s="30">
        <v>11535</v>
      </c>
      <c r="I15" s="30">
        <v>16000</v>
      </c>
      <c r="J15" s="30">
        <v>20000</v>
      </c>
      <c r="K15" s="30">
        <v>24000</v>
      </c>
      <c r="L15" s="30">
        <v>24000</v>
      </c>
      <c r="M15" s="30">
        <v>24000</v>
      </c>
      <c r="N15" s="30">
        <v>24000</v>
      </c>
      <c r="O15" s="30">
        <v>24000</v>
      </c>
      <c r="P15" s="30">
        <v>24000</v>
      </c>
      <c r="Q15" s="30">
        <v>24000</v>
      </c>
      <c r="T15" s="23" t="s">
        <v>84</v>
      </c>
    </row>
    <row r="16" spans="1:20" x14ac:dyDescent="0.2">
      <c r="E16" s="23" t="s">
        <v>44</v>
      </c>
      <c r="F16" s="30">
        <v>28850</v>
      </c>
      <c r="G16" s="30">
        <v>24000</v>
      </c>
      <c r="H16" s="30">
        <v>24000</v>
      </c>
      <c r="I16" s="30">
        <v>18000</v>
      </c>
      <c r="J16" s="30">
        <v>12000</v>
      </c>
      <c r="K16" s="30">
        <v>18000</v>
      </c>
      <c r="L16" s="30">
        <v>24000</v>
      </c>
      <c r="M16" s="30">
        <v>24000</v>
      </c>
      <c r="N16" s="30">
        <v>24000</v>
      </c>
      <c r="O16" s="30">
        <v>24000</v>
      </c>
      <c r="P16" s="30">
        <v>30000</v>
      </c>
      <c r="Q16" s="30">
        <v>30000</v>
      </c>
    </row>
    <row r="17" spans="1:20" x14ac:dyDescent="0.2">
      <c r="E17" s="23" t="s">
        <v>45</v>
      </c>
      <c r="F17" s="30">
        <v>94608</v>
      </c>
      <c r="G17" s="30">
        <v>86608</v>
      </c>
      <c r="H17" s="30">
        <v>83008</v>
      </c>
      <c r="I17" s="30">
        <v>79008</v>
      </c>
      <c r="J17" s="30">
        <v>75913</v>
      </c>
      <c r="K17" s="30">
        <v>71913</v>
      </c>
      <c r="L17" s="30">
        <v>67913</v>
      </c>
      <c r="M17" s="30">
        <v>66573</v>
      </c>
      <c r="N17" s="30">
        <v>62573</v>
      </c>
      <c r="O17" s="30">
        <v>48573</v>
      </c>
      <c r="P17" s="30">
        <v>47170</v>
      </c>
      <c r="Q17" s="30">
        <v>53170</v>
      </c>
    </row>
    <row r="18" spans="1:20" x14ac:dyDescent="0.2"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20" ht="15" x14ac:dyDescent="0.25">
      <c r="B19" s="29"/>
      <c r="C19" s="29"/>
      <c r="D19" s="29" t="s">
        <v>50</v>
      </c>
      <c r="E19" s="29"/>
      <c r="F19" s="8">
        <v>1636851.0820000002</v>
      </c>
      <c r="G19" s="8">
        <v>1673937.3820000002</v>
      </c>
      <c r="H19" s="8">
        <v>1691417.4950000001</v>
      </c>
      <c r="I19" s="8">
        <v>1721071.2550000001</v>
      </c>
      <c r="J19" s="8">
        <v>1746071.2550000001</v>
      </c>
      <c r="K19" s="8">
        <v>1766168.6030000001</v>
      </c>
      <c r="L19" s="8">
        <v>1789583</v>
      </c>
      <c r="M19" s="8">
        <v>1706897</v>
      </c>
      <c r="N19" s="8">
        <v>1728052</v>
      </c>
      <c r="O19" s="8">
        <v>1745819.1</v>
      </c>
      <c r="P19" s="8">
        <v>1774024.2</v>
      </c>
      <c r="Q19" s="8">
        <v>1799024</v>
      </c>
      <c r="T19" s="23" t="s">
        <v>84</v>
      </c>
    </row>
    <row r="20" spans="1:20" x14ac:dyDescent="0.2">
      <c r="E20" s="23" t="s">
        <v>22</v>
      </c>
      <c r="F20" s="30">
        <v>74620</v>
      </c>
      <c r="G20" s="30">
        <v>74620</v>
      </c>
      <c r="H20" s="30">
        <v>74620</v>
      </c>
      <c r="I20" s="30">
        <v>99620</v>
      </c>
      <c r="J20" s="30">
        <v>124620</v>
      </c>
      <c r="K20" s="30">
        <v>124620</v>
      </c>
      <c r="L20" s="30">
        <v>124620</v>
      </c>
      <c r="M20" s="30">
        <v>119914</v>
      </c>
      <c r="N20" s="30">
        <v>119914</v>
      </c>
      <c r="O20" s="30">
        <v>146462</v>
      </c>
      <c r="P20" s="30">
        <v>146462</v>
      </c>
      <c r="Q20" s="30">
        <v>146462</v>
      </c>
    </row>
    <row r="21" spans="1:20" x14ac:dyDescent="0.2">
      <c r="E21" s="23" t="s">
        <v>23</v>
      </c>
      <c r="F21" s="30">
        <v>9000</v>
      </c>
      <c r="G21" s="30">
        <v>9000</v>
      </c>
      <c r="H21" s="30">
        <v>9000</v>
      </c>
      <c r="I21" s="30">
        <v>9000</v>
      </c>
      <c r="J21" s="30">
        <v>9000</v>
      </c>
      <c r="K21" s="30">
        <v>9000</v>
      </c>
      <c r="L21" s="30">
        <v>9000</v>
      </c>
      <c r="M21" s="30">
        <v>8782</v>
      </c>
      <c r="N21" s="30">
        <v>8782</v>
      </c>
      <c r="O21" s="30">
        <v>8782</v>
      </c>
      <c r="P21" s="30">
        <v>8782</v>
      </c>
      <c r="Q21" s="30">
        <v>8782</v>
      </c>
    </row>
    <row r="22" spans="1:20" x14ac:dyDescent="0.2">
      <c r="E22" s="23" t="s">
        <v>14</v>
      </c>
      <c r="F22" s="30">
        <v>163385.603</v>
      </c>
      <c r="G22" s="30">
        <v>188385.603</v>
      </c>
      <c r="H22" s="30">
        <v>188385.603</v>
      </c>
      <c r="I22" s="30">
        <v>188385.603</v>
      </c>
      <c r="J22" s="30">
        <v>188385.603</v>
      </c>
      <c r="K22" s="30">
        <v>188385.603</v>
      </c>
      <c r="L22" s="30">
        <v>188386</v>
      </c>
      <c r="M22" s="30">
        <v>176992</v>
      </c>
      <c r="N22" s="30">
        <v>176992</v>
      </c>
      <c r="O22" s="30">
        <v>176992</v>
      </c>
      <c r="P22" s="30">
        <v>176992</v>
      </c>
      <c r="Q22" s="30">
        <v>176992</v>
      </c>
    </row>
    <row r="23" spans="1:20" x14ac:dyDescent="0.2">
      <c r="E23" s="23" t="s">
        <v>15</v>
      </c>
      <c r="F23" s="30">
        <v>401684.99300000002</v>
      </c>
      <c r="G23" s="30">
        <v>401684.99300000002</v>
      </c>
      <c r="H23" s="30">
        <v>426684.99300000002</v>
      </c>
      <c r="I23" s="30">
        <v>426684.99300000002</v>
      </c>
      <c r="J23" s="30">
        <v>426684.99300000002</v>
      </c>
      <c r="K23" s="30">
        <v>446783</v>
      </c>
      <c r="L23" s="30">
        <v>475733</v>
      </c>
      <c r="M23" s="30">
        <v>444096</v>
      </c>
      <c r="N23" s="30">
        <v>448301</v>
      </c>
      <c r="O23" s="30">
        <v>436028.1</v>
      </c>
      <c r="P23" s="30">
        <v>461028</v>
      </c>
      <c r="Q23" s="30">
        <v>486028</v>
      </c>
    </row>
    <row r="24" spans="1:20" x14ac:dyDescent="0.2">
      <c r="E24" s="23" t="s">
        <v>20</v>
      </c>
      <c r="F24" s="30">
        <v>465613.33600000001</v>
      </c>
      <c r="G24" s="30">
        <v>465613.33600000001</v>
      </c>
      <c r="H24" s="30">
        <v>455091.34899999999</v>
      </c>
      <c r="I24" s="30">
        <v>455091.34899999999</v>
      </c>
      <c r="J24" s="30">
        <v>455091.34899999999</v>
      </c>
      <c r="K24" s="30">
        <v>455091</v>
      </c>
      <c r="L24" s="30">
        <v>449555</v>
      </c>
      <c r="M24" s="30">
        <v>419222</v>
      </c>
      <c r="N24" s="30">
        <v>419222</v>
      </c>
      <c r="O24" s="30">
        <v>419222</v>
      </c>
      <c r="P24" s="30">
        <v>419222</v>
      </c>
      <c r="Q24" s="30">
        <v>419222</v>
      </c>
    </row>
    <row r="25" spans="1:20" x14ac:dyDescent="0.2">
      <c r="E25" s="23" t="s">
        <v>46</v>
      </c>
      <c r="F25" s="30">
        <v>291865.31</v>
      </c>
      <c r="G25" s="30">
        <v>291865.31</v>
      </c>
      <c r="H25" s="30">
        <v>291865.31</v>
      </c>
      <c r="I25" s="30">
        <v>291865.31</v>
      </c>
      <c r="J25" s="30">
        <v>291865.31</v>
      </c>
      <c r="K25" s="30">
        <v>291865</v>
      </c>
      <c r="L25" s="30">
        <v>291865</v>
      </c>
      <c r="M25" s="30">
        <v>287467</v>
      </c>
      <c r="N25" s="30">
        <v>304417</v>
      </c>
      <c r="O25" s="30">
        <v>307909</v>
      </c>
      <c r="P25" s="30">
        <v>311114.2</v>
      </c>
      <c r="Q25" s="30">
        <v>311114</v>
      </c>
    </row>
    <row r="26" spans="1:20" x14ac:dyDescent="0.2">
      <c r="E26" s="23" t="s">
        <v>47</v>
      </c>
      <c r="F26" s="30">
        <v>230584.84</v>
      </c>
      <c r="G26" s="30">
        <v>242671.14</v>
      </c>
      <c r="H26" s="30">
        <v>245673.24</v>
      </c>
      <c r="I26" s="30">
        <v>250327</v>
      </c>
      <c r="J26" s="30">
        <v>250327</v>
      </c>
      <c r="K26" s="30">
        <v>250327</v>
      </c>
      <c r="L26" s="30">
        <v>250327</v>
      </c>
      <c r="M26" s="30">
        <v>250327</v>
      </c>
      <c r="N26" s="30">
        <v>250327</v>
      </c>
      <c r="O26" s="30">
        <v>250327</v>
      </c>
      <c r="P26" s="30">
        <v>250327</v>
      </c>
      <c r="Q26" s="30">
        <v>250327</v>
      </c>
    </row>
    <row r="27" spans="1:20" x14ac:dyDescent="0.2">
      <c r="E27" s="23" t="s">
        <v>53</v>
      </c>
      <c r="F27" s="30">
        <v>97</v>
      </c>
      <c r="G27" s="30">
        <v>97</v>
      </c>
      <c r="H27" s="30">
        <v>97</v>
      </c>
      <c r="I27" s="30">
        <v>97</v>
      </c>
      <c r="J27" s="30">
        <v>97</v>
      </c>
      <c r="K27" s="30">
        <v>97</v>
      </c>
      <c r="L27" s="30">
        <v>97</v>
      </c>
      <c r="M27" s="30">
        <v>97</v>
      </c>
      <c r="N27" s="30">
        <v>97</v>
      </c>
      <c r="O27" s="30">
        <v>97</v>
      </c>
      <c r="P27" s="30">
        <v>97</v>
      </c>
      <c r="Q27" s="30">
        <v>97</v>
      </c>
    </row>
    <row r="29" spans="1:20" ht="15" x14ac:dyDescent="0.25">
      <c r="B29" s="29"/>
      <c r="C29" s="29" t="s">
        <v>147</v>
      </c>
      <c r="D29" s="29"/>
      <c r="E29" s="29"/>
      <c r="F29" s="8">
        <v>1677430.1529999999</v>
      </c>
      <c r="G29" s="8">
        <v>1677038.946</v>
      </c>
      <c r="H29" s="8">
        <v>1677194.1580000001</v>
      </c>
      <c r="I29" s="8">
        <v>1677016.263</v>
      </c>
      <c r="J29" s="8">
        <v>1676720.263</v>
      </c>
      <c r="K29" s="8">
        <v>1676545.9880000001</v>
      </c>
      <c r="L29" s="8">
        <v>1676368</v>
      </c>
      <c r="M29" s="8">
        <v>1781209</v>
      </c>
      <c r="N29" s="8">
        <v>1745553</v>
      </c>
      <c r="O29" s="8">
        <v>1738488.5</v>
      </c>
      <c r="P29" s="8">
        <v>1738964.4</v>
      </c>
      <c r="Q29" s="8">
        <v>1739243</v>
      </c>
      <c r="S29" s="28" t="s">
        <v>84</v>
      </c>
    </row>
    <row r="30" spans="1:20" ht="15" x14ac:dyDescent="0.25">
      <c r="B30" s="29"/>
      <c r="C30" s="29"/>
      <c r="D30" s="29" t="s">
        <v>34</v>
      </c>
      <c r="E30" s="29"/>
      <c r="F30" s="8">
        <v>860169.16200000001</v>
      </c>
      <c r="G30" s="8">
        <v>860169.16200000001</v>
      </c>
      <c r="H30" s="8">
        <v>860169.16200000001</v>
      </c>
      <c r="I30" s="8">
        <v>860169.16200000001</v>
      </c>
      <c r="J30" s="8">
        <v>860169.16200000001</v>
      </c>
      <c r="K30" s="8">
        <v>860169.16200000001</v>
      </c>
      <c r="L30" s="8">
        <v>860169</v>
      </c>
      <c r="M30" s="8">
        <v>841439</v>
      </c>
      <c r="N30" s="8">
        <v>804881</v>
      </c>
      <c r="O30" s="8">
        <v>804881.5</v>
      </c>
      <c r="P30" s="8">
        <v>804881.4</v>
      </c>
      <c r="Q30" s="8">
        <v>804881</v>
      </c>
    </row>
    <row r="31" spans="1:20" ht="15" x14ac:dyDescent="0.25">
      <c r="A31" s="29"/>
      <c r="B31" s="29"/>
      <c r="C31" s="29"/>
      <c r="D31" s="29"/>
      <c r="E31" s="27">
        <v>2.1</v>
      </c>
      <c r="F31" s="28">
        <v>232275.92199999999</v>
      </c>
      <c r="G31" s="28">
        <v>232275.92199999999</v>
      </c>
      <c r="H31" s="28">
        <v>232275.92199999999</v>
      </c>
      <c r="I31" s="28">
        <v>232275.92199999999</v>
      </c>
      <c r="J31" s="28">
        <v>232275.92199999999</v>
      </c>
      <c r="K31" s="28">
        <v>232275.92199999999</v>
      </c>
      <c r="L31" s="28">
        <v>232276</v>
      </c>
      <c r="M31" s="28">
        <v>213546</v>
      </c>
      <c r="N31" s="28">
        <v>176988</v>
      </c>
      <c r="O31" s="28">
        <v>176988.1</v>
      </c>
      <c r="P31" s="28">
        <v>176988</v>
      </c>
      <c r="Q31" s="28">
        <v>176988</v>
      </c>
    </row>
    <row r="32" spans="1:20" x14ac:dyDescent="0.2">
      <c r="E32" s="37" t="s">
        <v>27</v>
      </c>
      <c r="F32" s="30">
        <v>96321.948999999993</v>
      </c>
      <c r="G32" s="30">
        <v>96321.948999999993</v>
      </c>
      <c r="H32" s="30">
        <v>96321.948999999993</v>
      </c>
      <c r="I32" s="30">
        <v>96321.948999999993</v>
      </c>
      <c r="J32" s="30">
        <v>96321.948999999993</v>
      </c>
      <c r="K32" s="30">
        <v>96321.948999999993</v>
      </c>
      <c r="L32" s="30">
        <v>96322</v>
      </c>
      <c r="M32" s="30">
        <v>90380</v>
      </c>
      <c r="N32" s="30">
        <v>53822</v>
      </c>
      <c r="O32" s="30">
        <v>53822.1</v>
      </c>
      <c r="P32" s="30">
        <v>53822</v>
      </c>
      <c r="Q32" s="30">
        <v>53822</v>
      </c>
    </row>
    <row r="33" spans="1:17" x14ac:dyDescent="0.2">
      <c r="E33" s="37" t="s">
        <v>58</v>
      </c>
      <c r="F33" s="30">
        <v>53048.394</v>
      </c>
      <c r="G33" s="30">
        <v>53048.394</v>
      </c>
      <c r="H33" s="30">
        <v>53048.394</v>
      </c>
      <c r="I33" s="30">
        <v>53048.394</v>
      </c>
      <c r="J33" s="30">
        <v>53048.394</v>
      </c>
      <c r="K33" s="30">
        <v>53048.394</v>
      </c>
      <c r="L33" s="30">
        <v>53048</v>
      </c>
      <c r="M33" s="30">
        <v>49564</v>
      </c>
      <c r="N33" s="30">
        <v>49564</v>
      </c>
      <c r="O33" s="30">
        <v>49564</v>
      </c>
      <c r="P33" s="30">
        <v>49564</v>
      </c>
      <c r="Q33" s="30">
        <v>49564</v>
      </c>
    </row>
    <row r="34" spans="1:17" x14ac:dyDescent="0.2">
      <c r="E34" s="37" t="s">
        <v>67</v>
      </c>
      <c r="F34" s="30">
        <v>82905.578999999998</v>
      </c>
      <c r="G34" s="30">
        <v>82905.578999999998</v>
      </c>
      <c r="H34" s="30">
        <v>82905.578999999998</v>
      </c>
      <c r="I34" s="30">
        <v>82905.578999999998</v>
      </c>
      <c r="J34" s="30">
        <v>82905.578999999998</v>
      </c>
      <c r="K34" s="30">
        <v>82905.578999999998</v>
      </c>
      <c r="L34" s="30">
        <v>82906</v>
      </c>
      <c r="M34" s="30">
        <v>73602</v>
      </c>
      <c r="N34" s="30">
        <v>73602</v>
      </c>
      <c r="O34" s="30">
        <v>73602</v>
      </c>
      <c r="P34" s="30">
        <v>73602</v>
      </c>
      <c r="Q34" s="30">
        <v>73602</v>
      </c>
    </row>
    <row r="35" spans="1:17" ht="15" x14ac:dyDescent="0.25">
      <c r="E35" s="27">
        <v>2.2000000000000002</v>
      </c>
      <c r="F35" s="28">
        <v>627893.24</v>
      </c>
      <c r="G35" s="28">
        <v>627893.24</v>
      </c>
      <c r="H35" s="28">
        <v>627893.24</v>
      </c>
      <c r="I35" s="28">
        <v>627893.24</v>
      </c>
      <c r="J35" s="28">
        <v>627893.24</v>
      </c>
      <c r="K35" s="28">
        <v>627893.24</v>
      </c>
      <c r="L35" s="28">
        <v>627893</v>
      </c>
      <c r="M35" s="28">
        <v>627893</v>
      </c>
      <c r="N35" s="28">
        <v>627893</v>
      </c>
      <c r="O35" s="28">
        <v>627893.4</v>
      </c>
      <c r="P35" s="28">
        <v>627893.4</v>
      </c>
      <c r="Q35" s="28">
        <v>627893</v>
      </c>
    </row>
    <row r="36" spans="1:17" x14ac:dyDescent="0.2">
      <c r="E36" s="37" t="s">
        <v>67</v>
      </c>
      <c r="F36" s="30">
        <v>204953.06</v>
      </c>
      <c r="G36" s="30">
        <v>204953.06</v>
      </c>
      <c r="H36" s="30">
        <v>204953.06</v>
      </c>
      <c r="I36" s="30">
        <v>204953.06</v>
      </c>
      <c r="J36" s="30">
        <v>204953.06</v>
      </c>
      <c r="K36" s="30">
        <v>204953.06</v>
      </c>
      <c r="L36" s="30">
        <v>204953</v>
      </c>
      <c r="M36" s="30">
        <v>204953</v>
      </c>
      <c r="N36" s="30">
        <v>204953</v>
      </c>
      <c r="O36" s="30">
        <v>204953</v>
      </c>
      <c r="P36" s="30">
        <v>204953</v>
      </c>
      <c r="Q36" s="30">
        <v>204953</v>
      </c>
    </row>
    <row r="37" spans="1:17" x14ac:dyDescent="0.2">
      <c r="E37" s="37" t="s">
        <v>66</v>
      </c>
      <c r="F37" s="30">
        <v>99281.43</v>
      </c>
      <c r="G37" s="30">
        <v>99281.43</v>
      </c>
      <c r="H37" s="30">
        <v>99281.43</v>
      </c>
      <c r="I37" s="30">
        <v>99281.43</v>
      </c>
      <c r="J37" s="30">
        <v>99281.43</v>
      </c>
      <c r="K37" s="30">
        <v>99281.43</v>
      </c>
      <c r="L37" s="30">
        <v>99281</v>
      </c>
      <c r="M37" s="30">
        <v>99281</v>
      </c>
      <c r="N37" s="30">
        <v>99281</v>
      </c>
      <c r="O37" s="30">
        <v>99281.4</v>
      </c>
      <c r="P37" s="30">
        <v>99281.4</v>
      </c>
      <c r="Q37" s="30">
        <v>99281</v>
      </c>
    </row>
    <row r="38" spans="1:17" x14ac:dyDescent="0.2">
      <c r="E38" s="37" t="s">
        <v>72</v>
      </c>
      <c r="F38" s="30">
        <v>135658.75</v>
      </c>
      <c r="G38" s="30">
        <v>135658.75</v>
      </c>
      <c r="H38" s="30">
        <v>135658.75</v>
      </c>
      <c r="I38" s="30">
        <v>135658.75</v>
      </c>
      <c r="J38" s="30">
        <v>135658.75</v>
      </c>
      <c r="K38" s="30">
        <v>135658.75</v>
      </c>
      <c r="L38" s="30">
        <v>135659</v>
      </c>
      <c r="M38" s="30">
        <v>135659</v>
      </c>
      <c r="N38" s="30">
        <v>135659</v>
      </c>
      <c r="O38" s="30">
        <v>135659</v>
      </c>
      <c r="P38" s="30">
        <v>135659</v>
      </c>
      <c r="Q38" s="30">
        <v>135659</v>
      </c>
    </row>
    <row r="39" spans="1:17" x14ac:dyDescent="0.2">
      <c r="E39" s="37" t="s">
        <v>73</v>
      </c>
      <c r="F39" s="30">
        <v>188000</v>
      </c>
      <c r="G39" s="30">
        <v>188000</v>
      </c>
      <c r="H39" s="30">
        <v>188000</v>
      </c>
      <c r="I39" s="30">
        <v>188000</v>
      </c>
      <c r="J39" s="30">
        <v>188000</v>
      </c>
      <c r="K39" s="30">
        <v>188000</v>
      </c>
      <c r="L39" s="30">
        <v>188000</v>
      </c>
      <c r="M39" s="30">
        <v>188000</v>
      </c>
      <c r="N39" s="30">
        <v>188000</v>
      </c>
      <c r="O39" s="30">
        <v>188000</v>
      </c>
      <c r="P39" s="30">
        <v>188000</v>
      </c>
      <c r="Q39" s="30">
        <v>188000</v>
      </c>
    </row>
    <row r="40" spans="1:17" x14ac:dyDescent="0.2">
      <c r="E40" s="37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ht="15" x14ac:dyDescent="0.25">
      <c r="B41" s="29"/>
      <c r="C41" s="29"/>
      <c r="D41" s="29" t="s">
        <v>77</v>
      </c>
      <c r="E41" s="27"/>
      <c r="F41" s="28">
        <v>7000</v>
      </c>
      <c r="G41" s="28">
        <v>7000</v>
      </c>
      <c r="H41" s="28">
        <v>7000</v>
      </c>
      <c r="I41" s="28">
        <v>7000</v>
      </c>
      <c r="J41" s="28">
        <v>7000</v>
      </c>
      <c r="K41" s="28">
        <v>7000</v>
      </c>
      <c r="L41" s="28">
        <v>7000</v>
      </c>
      <c r="M41" s="28">
        <v>7000</v>
      </c>
      <c r="N41" s="28">
        <v>7000</v>
      </c>
      <c r="O41" s="28">
        <v>0</v>
      </c>
      <c r="P41" s="28">
        <v>0</v>
      </c>
      <c r="Q41" s="28">
        <v>0</v>
      </c>
    </row>
    <row r="42" spans="1:17" ht="15" x14ac:dyDescent="0.25">
      <c r="D42" s="29"/>
      <c r="E42" s="37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1:17" ht="15" x14ac:dyDescent="0.25">
      <c r="C43" s="31" t="s">
        <v>31</v>
      </c>
      <c r="D43" s="29" t="s">
        <v>186</v>
      </c>
      <c r="E43" s="37"/>
      <c r="F43" s="8">
        <v>726208.10100000002</v>
      </c>
      <c r="G43" s="8">
        <v>726208.10100000002</v>
      </c>
      <c r="H43" s="8">
        <v>726208.10100000002</v>
      </c>
      <c r="I43" s="8">
        <v>726208.10100000002</v>
      </c>
      <c r="J43" s="8">
        <v>726208.10100000002</v>
      </c>
      <c r="K43" s="8">
        <v>726208.10100000002</v>
      </c>
      <c r="L43" s="8">
        <v>726208</v>
      </c>
      <c r="M43" s="8">
        <v>849535</v>
      </c>
      <c r="N43" s="8">
        <v>849535</v>
      </c>
      <c r="O43" s="8">
        <v>849535</v>
      </c>
      <c r="P43" s="8">
        <v>850018</v>
      </c>
      <c r="Q43" s="8">
        <v>850018</v>
      </c>
    </row>
    <row r="44" spans="1:17" ht="15" x14ac:dyDescent="0.25">
      <c r="C44" s="31"/>
      <c r="D44" s="29"/>
      <c r="E44" s="27">
        <v>2.1</v>
      </c>
      <c r="F44" s="8">
        <v>203641.02899999998</v>
      </c>
      <c r="G44" s="8">
        <v>203641.02899999998</v>
      </c>
      <c r="H44" s="8">
        <v>203641.02899999998</v>
      </c>
      <c r="I44" s="8">
        <v>203641.02899999998</v>
      </c>
      <c r="J44" s="8">
        <v>203641.02899999998</v>
      </c>
      <c r="K44" s="8">
        <v>203641.02899999998</v>
      </c>
      <c r="L44" s="8">
        <v>203641</v>
      </c>
      <c r="M44" s="8">
        <v>198321</v>
      </c>
      <c r="N44" s="8">
        <v>198321</v>
      </c>
      <c r="O44" s="8">
        <v>198321</v>
      </c>
      <c r="P44" s="8">
        <v>198321</v>
      </c>
      <c r="Q44" s="8">
        <v>198321</v>
      </c>
    </row>
    <row r="45" spans="1:17" ht="15" x14ac:dyDescent="0.25">
      <c r="C45" s="31"/>
      <c r="E45" s="37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5" x14ac:dyDescent="0.25">
      <c r="C46" s="31"/>
      <c r="E46" s="37" t="s">
        <v>43</v>
      </c>
      <c r="F46" s="30">
        <v>136771.27299999999</v>
      </c>
      <c r="G46" s="30">
        <v>136771.27299999999</v>
      </c>
      <c r="H46" s="30">
        <v>136771.27299999999</v>
      </c>
      <c r="I46" s="30">
        <v>136771.27299999999</v>
      </c>
      <c r="J46" s="30">
        <v>136771.27299999999</v>
      </c>
      <c r="K46" s="30">
        <v>136771.27299999999</v>
      </c>
      <c r="L46" s="30">
        <v>136771</v>
      </c>
      <c r="M46" s="30">
        <v>135123</v>
      </c>
      <c r="N46" s="30">
        <v>135123</v>
      </c>
      <c r="O46" s="30">
        <v>135123</v>
      </c>
      <c r="P46" s="30">
        <v>135123</v>
      </c>
      <c r="Q46" s="30">
        <v>135123</v>
      </c>
    </row>
    <row r="47" spans="1:17" ht="15" x14ac:dyDescent="0.25">
      <c r="A47" s="29"/>
      <c r="B47" s="29"/>
      <c r="C47" s="29"/>
      <c r="E47" s="37" t="s">
        <v>54</v>
      </c>
      <c r="F47" s="30">
        <v>66869.755999999994</v>
      </c>
      <c r="G47" s="30">
        <v>66869.755999999994</v>
      </c>
      <c r="H47" s="30">
        <v>66869.755999999994</v>
      </c>
      <c r="I47" s="30">
        <v>66869.755999999994</v>
      </c>
      <c r="J47" s="30">
        <v>66869.755999999994</v>
      </c>
      <c r="K47" s="30">
        <v>66869.755999999994</v>
      </c>
      <c r="L47" s="30">
        <v>66870</v>
      </c>
      <c r="M47" s="30">
        <v>63198</v>
      </c>
      <c r="N47" s="30">
        <v>63198</v>
      </c>
      <c r="O47" s="30">
        <v>63198</v>
      </c>
      <c r="P47" s="30">
        <v>63198</v>
      </c>
      <c r="Q47" s="30">
        <v>63198</v>
      </c>
    </row>
    <row r="48" spans="1:17" ht="15" x14ac:dyDescent="0.25">
      <c r="A48" s="29"/>
      <c r="B48" s="29"/>
      <c r="C48" s="29"/>
      <c r="E48" s="37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1:17" ht="15" x14ac:dyDescent="0.25">
      <c r="A49" s="29"/>
      <c r="B49" s="29"/>
      <c r="C49" s="31"/>
      <c r="D49" s="29"/>
      <c r="E49" s="27">
        <v>2.2000000000000002</v>
      </c>
      <c r="F49" s="8">
        <v>199103.08900000001</v>
      </c>
      <c r="G49" s="8">
        <v>199103.08900000001</v>
      </c>
      <c r="H49" s="8">
        <v>199103.08900000001</v>
      </c>
      <c r="I49" s="8">
        <v>199103.08900000001</v>
      </c>
      <c r="J49" s="8">
        <v>199103.08900000001</v>
      </c>
      <c r="K49" s="8">
        <v>199103.08900000001</v>
      </c>
      <c r="L49" s="8">
        <v>199103</v>
      </c>
      <c r="M49" s="8">
        <v>333127</v>
      </c>
      <c r="N49" s="8">
        <v>333127</v>
      </c>
      <c r="O49" s="8">
        <v>333127</v>
      </c>
      <c r="P49" s="8">
        <v>333610</v>
      </c>
      <c r="Q49" s="8">
        <v>333610</v>
      </c>
    </row>
    <row r="50" spans="1:17" ht="15" x14ac:dyDescent="0.25">
      <c r="A50" s="29"/>
      <c r="B50" s="29"/>
      <c r="C50" s="31"/>
      <c r="E50" s="37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 ht="15" x14ac:dyDescent="0.25">
      <c r="A51" s="29"/>
      <c r="B51" s="29"/>
      <c r="C51" s="29"/>
      <c r="E51" s="37" t="s">
        <v>62</v>
      </c>
      <c r="F51" s="30">
        <v>33093.048000000003</v>
      </c>
      <c r="G51" s="30">
        <v>33093.048000000003</v>
      </c>
      <c r="H51" s="30">
        <v>33093.048000000003</v>
      </c>
      <c r="I51" s="30">
        <v>33093.048000000003</v>
      </c>
      <c r="J51" s="30">
        <v>33093.048000000003</v>
      </c>
      <c r="K51" s="30">
        <v>33093.048000000003</v>
      </c>
      <c r="L51" s="30">
        <v>33093</v>
      </c>
      <c r="M51" s="30">
        <v>167117</v>
      </c>
      <c r="N51" s="30">
        <v>167117</v>
      </c>
      <c r="O51" s="30">
        <v>167117</v>
      </c>
      <c r="P51" s="30">
        <v>167600</v>
      </c>
      <c r="Q51" s="30">
        <v>167600</v>
      </c>
    </row>
    <row r="52" spans="1:17" ht="15" x14ac:dyDescent="0.25">
      <c r="A52" s="29"/>
      <c r="B52" s="29"/>
      <c r="C52" s="29"/>
      <c r="E52" s="37" t="s">
        <v>19</v>
      </c>
      <c r="F52" s="30">
        <v>166010.041</v>
      </c>
      <c r="G52" s="30">
        <v>166010.041</v>
      </c>
      <c r="H52" s="30">
        <v>166010.041</v>
      </c>
      <c r="I52" s="30">
        <v>166010.041</v>
      </c>
      <c r="J52" s="30">
        <v>166010.041</v>
      </c>
      <c r="K52" s="30">
        <v>166010.041</v>
      </c>
      <c r="L52" s="30">
        <v>166010</v>
      </c>
      <c r="M52" s="30">
        <v>166010</v>
      </c>
      <c r="N52" s="30">
        <v>166010</v>
      </c>
      <c r="O52" s="30">
        <v>166010</v>
      </c>
      <c r="P52" s="30">
        <v>166010</v>
      </c>
      <c r="Q52" s="30">
        <v>166010</v>
      </c>
    </row>
    <row r="53" spans="1:17" ht="15" x14ac:dyDescent="0.25">
      <c r="A53" s="29"/>
      <c r="B53" s="29"/>
      <c r="C53" s="29"/>
      <c r="E53" s="37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5" x14ac:dyDescent="0.25">
      <c r="A54" s="29"/>
      <c r="B54" s="29"/>
      <c r="C54" s="29"/>
      <c r="E54" s="27">
        <v>2.2999999999999998</v>
      </c>
      <c r="F54" s="8">
        <v>323463.98300000001</v>
      </c>
      <c r="G54" s="8">
        <v>323463.98300000001</v>
      </c>
      <c r="H54" s="8">
        <v>323463.98300000001</v>
      </c>
      <c r="I54" s="8">
        <v>323463.98300000001</v>
      </c>
      <c r="J54" s="8">
        <v>323463.98300000001</v>
      </c>
      <c r="K54" s="8">
        <v>323463.98300000001</v>
      </c>
      <c r="L54" s="8">
        <v>323464</v>
      </c>
      <c r="M54" s="8">
        <v>318087</v>
      </c>
      <c r="N54" s="8">
        <v>318087</v>
      </c>
      <c r="O54" s="8">
        <v>318087</v>
      </c>
      <c r="P54" s="8">
        <v>318087</v>
      </c>
      <c r="Q54" s="8">
        <v>318087</v>
      </c>
    </row>
    <row r="55" spans="1:17" ht="15" x14ac:dyDescent="0.25">
      <c r="A55" s="29"/>
      <c r="B55" s="29"/>
      <c r="C55" s="29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15" x14ac:dyDescent="0.25">
      <c r="A56" s="29"/>
      <c r="B56" s="29"/>
      <c r="C56" s="29"/>
      <c r="E56" s="23" t="s">
        <v>69</v>
      </c>
      <c r="F56" s="30">
        <v>67626.83</v>
      </c>
      <c r="G56" s="30">
        <v>67626.83</v>
      </c>
      <c r="H56" s="30">
        <v>67626.83</v>
      </c>
      <c r="I56" s="30">
        <v>67626.83</v>
      </c>
      <c r="J56" s="30">
        <v>67626.83</v>
      </c>
      <c r="K56" s="30">
        <v>67626.83</v>
      </c>
      <c r="L56" s="30">
        <v>67627</v>
      </c>
      <c r="M56" s="30">
        <v>62250</v>
      </c>
      <c r="N56" s="30">
        <v>62250</v>
      </c>
      <c r="O56" s="30">
        <v>62250</v>
      </c>
      <c r="P56" s="30">
        <v>62250</v>
      </c>
      <c r="Q56" s="30">
        <v>62250</v>
      </c>
    </row>
    <row r="57" spans="1:17" ht="15" x14ac:dyDescent="0.25">
      <c r="A57" s="29"/>
      <c r="B57" s="29"/>
      <c r="C57" s="29"/>
      <c r="E57" s="23" t="s">
        <v>16</v>
      </c>
      <c r="F57" s="30">
        <v>255837.15299999999</v>
      </c>
      <c r="G57" s="30">
        <v>255837.15299999999</v>
      </c>
      <c r="H57" s="30">
        <v>255837.15299999999</v>
      </c>
      <c r="I57" s="30">
        <v>255837.15299999999</v>
      </c>
      <c r="J57" s="30">
        <v>255837.15299999999</v>
      </c>
      <c r="K57" s="30">
        <v>255837.15299999999</v>
      </c>
      <c r="L57" s="30">
        <v>255837</v>
      </c>
      <c r="M57" s="30">
        <v>255837</v>
      </c>
      <c r="N57" s="30">
        <v>255837</v>
      </c>
      <c r="O57" s="30">
        <v>255837</v>
      </c>
      <c r="P57" s="30">
        <v>255837</v>
      </c>
      <c r="Q57" s="30">
        <v>255837</v>
      </c>
    </row>
    <row r="58" spans="1:17" ht="15" x14ac:dyDescent="0.25">
      <c r="A58" s="29"/>
      <c r="B58" s="29"/>
      <c r="C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15" x14ac:dyDescent="0.25">
      <c r="A59" s="29"/>
      <c r="B59" s="29"/>
      <c r="C59" s="29" t="s">
        <v>187</v>
      </c>
      <c r="D59" s="29"/>
      <c r="E59" s="29"/>
      <c r="F59" s="28">
        <v>50000</v>
      </c>
      <c r="G59" s="28">
        <v>50000</v>
      </c>
      <c r="H59" s="28">
        <v>50000</v>
      </c>
      <c r="I59" s="28">
        <v>50000</v>
      </c>
      <c r="J59" s="28">
        <v>50000</v>
      </c>
      <c r="K59" s="28">
        <v>50000</v>
      </c>
      <c r="L59" s="28">
        <v>50000</v>
      </c>
      <c r="M59" s="28">
        <v>50000</v>
      </c>
      <c r="N59" s="28">
        <v>50000</v>
      </c>
      <c r="O59" s="28">
        <v>50000</v>
      </c>
      <c r="P59" s="28">
        <v>50000</v>
      </c>
      <c r="Q59" s="28">
        <v>50000</v>
      </c>
    </row>
    <row r="60" spans="1:17" ht="15" x14ac:dyDescent="0.25">
      <c r="A60" s="29"/>
      <c r="B60" s="29"/>
      <c r="C60" s="29"/>
      <c r="D60" s="29"/>
      <c r="E60" s="29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ht="15" x14ac:dyDescent="0.25">
      <c r="A61" s="29"/>
      <c r="B61" s="29"/>
      <c r="C61" s="29" t="s">
        <v>188</v>
      </c>
      <c r="D61" s="29"/>
      <c r="E61" s="29"/>
      <c r="F61" s="28">
        <v>5048.8900000000003</v>
      </c>
      <c r="G61" s="28">
        <v>5009.4250000000002</v>
      </c>
      <c r="H61" s="28">
        <v>5003.2240000000002</v>
      </c>
      <c r="I61" s="28">
        <v>5081</v>
      </c>
      <c r="J61" s="28">
        <v>5174</v>
      </c>
      <c r="K61" s="28">
        <v>5095.5029999999997</v>
      </c>
      <c r="L61" s="28">
        <v>5148</v>
      </c>
      <c r="M61" s="28">
        <v>5205</v>
      </c>
      <c r="N61" s="28">
        <v>5285</v>
      </c>
      <c r="O61" s="28">
        <v>5286</v>
      </c>
      <c r="P61" s="28">
        <v>5315</v>
      </c>
      <c r="Q61" s="28">
        <v>5696</v>
      </c>
    </row>
    <row r="62" spans="1:17" ht="15" x14ac:dyDescent="0.25">
      <c r="A62" s="29"/>
      <c r="B62" s="29"/>
      <c r="C62" s="29"/>
      <c r="D62" s="29"/>
      <c r="E62" s="29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ht="15" x14ac:dyDescent="0.25">
      <c r="A63" s="29"/>
      <c r="B63" s="29"/>
      <c r="C63" s="29" t="s">
        <v>189</v>
      </c>
      <c r="D63" s="29"/>
      <c r="F63" s="8">
        <v>6404</v>
      </c>
      <c r="G63" s="8">
        <v>6327.2579999999998</v>
      </c>
      <c r="H63" s="8">
        <v>6363.6710000000003</v>
      </c>
      <c r="I63" s="8">
        <v>6308</v>
      </c>
      <c r="J63" s="8">
        <v>6219</v>
      </c>
      <c r="K63" s="8">
        <v>6198.2220000000007</v>
      </c>
      <c r="L63" s="8">
        <v>6143</v>
      </c>
      <c r="M63" s="8">
        <v>6180</v>
      </c>
      <c r="N63" s="8">
        <v>6352</v>
      </c>
      <c r="O63" s="8">
        <v>6336</v>
      </c>
      <c r="P63" s="8">
        <v>6325</v>
      </c>
      <c r="Q63" s="8">
        <v>6298</v>
      </c>
    </row>
    <row r="64" spans="1:17" ht="15" x14ac:dyDescent="0.25">
      <c r="A64" s="29"/>
      <c r="B64" s="29"/>
      <c r="C64" s="29"/>
      <c r="D64" s="29"/>
      <c r="E64" s="29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ht="15" x14ac:dyDescent="0.25">
      <c r="A65" s="29"/>
      <c r="B65" s="29"/>
      <c r="C65" s="29"/>
      <c r="D65" s="29"/>
      <c r="E65" s="29" t="s">
        <v>60</v>
      </c>
      <c r="F65" s="28">
        <v>6073</v>
      </c>
      <c r="G65" s="28">
        <v>5999.3069999999998</v>
      </c>
      <c r="H65" s="28">
        <v>6032.8980000000001</v>
      </c>
      <c r="I65" s="28">
        <v>5979</v>
      </c>
      <c r="J65" s="28">
        <v>5899</v>
      </c>
      <c r="K65" s="28">
        <v>5878.3810000000003</v>
      </c>
      <c r="L65" s="28">
        <v>5832</v>
      </c>
      <c r="M65" s="28">
        <v>5872</v>
      </c>
      <c r="N65" s="28">
        <v>6046</v>
      </c>
      <c r="O65" s="28">
        <v>6033</v>
      </c>
      <c r="P65" s="28">
        <v>6026</v>
      </c>
      <c r="Q65" s="28">
        <v>6006</v>
      </c>
    </row>
    <row r="66" spans="1:17" ht="15" x14ac:dyDescent="0.25">
      <c r="A66" s="29"/>
      <c r="B66" s="29"/>
      <c r="C66" s="29"/>
      <c r="D66" s="29"/>
      <c r="E66" s="23" t="s">
        <v>78</v>
      </c>
      <c r="F66" s="30">
        <v>6073</v>
      </c>
      <c r="G66" s="30">
        <v>5999.3069999999998</v>
      </c>
      <c r="H66" s="30">
        <v>6032.8980000000001</v>
      </c>
      <c r="I66" s="30">
        <v>5979</v>
      </c>
      <c r="J66" s="30">
        <v>5899</v>
      </c>
      <c r="K66" s="30">
        <v>5878.3810000000003</v>
      </c>
      <c r="L66" s="30">
        <v>5832</v>
      </c>
      <c r="M66" s="30">
        <v>5872</v>
      </c>
      <c r="N66" s="30">
        <v>6046</v>
      </c>
      <c r="O66" s="30">
        <v>6033</v>
      </c>
      <c r="P66" s="30">
        <v>6026</v>
      </c>
      <c r="Q66" s="30">
        <v>6006</v>
      </c>
    </row>
    <row r="67" spans="1:17" ht="15" x14ac:dyDescent="0.25">
      <c r="A67" s="29"/>
      <c r="B67" s="29"/>
      <c r="C67" s="29"/>
      <c r="D67" s="29"/>
      <c r="E67" s="29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17" ht="15" x14ac:dyDescent="0.25">
      <c r="A68" s="29"/>
      <c r="B68" s="29"/>
      <c r="C68" s="29"/>
      <c r="D68" s="29"/>
      <c r="E68" s="29" t="s">
        <v>61</v>
      </c>
      <c r="F68" s="28">
        <v>331</v>
      </c>
      <c r="G68" s="28">
        <v>327.95100000000002</v>
      </c>
      <c r="H68" s="28">
        <v>330.77300000000002</v>
      </c>
      <c r="I68" s="28">
        <v>329</v>
      </c>
      <c r="J68" s="28">
        <v>320</v>
      </c>
      <c r="K68" s="28">
        <v>319.84100000000001</v>
      </c>
      <c r="L68" s="28">
        <v>311</v>
      </c>
      <c r="M68" s="28">
        <v>308</v>
      </c>
      <c r="N68" s="28">
        <v>306</v>
      </c>
      <c r="O68" s="28">
        <v>303</v>
      </c>
      <c r="P68" s="28">
        <v>299</v>
      </c>
      <c r="Q68" s="28">
        <v>292</v>
      </c>
    </row>
    <row r="69" spans="1:17" ht="15" x14ac:dyDescent="0.25">
      <c r="A69" s="29"/>
      <c r="B69" s="29"/>
      <c r="C69" s="29"/>
      <c r="D69" s="29"/>
      <c r="E69" s="23" t="s">
        <v>78</v>
      </c>
      <c r="F69" s="30">
        <v>331</v>
      </c>
      <c r="G69" s="30">
        <v>327.95100000000002</v>
      </c>
      <c r="H69" s="30">
        <v>330.77300000000002</v>
      </c>
      <c r="I69" s="30">
        <v>329</v>
      </c>
      <c r="J69" s="30">
        <v>320</v>
      </c>
      <c r="K69" s="30">
        <v>319.84100000000001</v>
      </c>
      <c r="L69" s="30">
        <v>311</v>
      </c>
      <c r="M69" s="30">
        <v>308</v>
      </c>
      <c r="N69" s="30">
        <v>306</v>
      </c>
      <c r="O69" s="30">
        <v>303</v>
      </c>
      <c r="P69" s="30">
        <v>299</v>
      </c>
      <c r="Q69" s="30">
        <v>292</v>
      </c>
    </row>
    <row r="70" spans="1:17" ht="15" x14ac:dyDescent="0.25">
      <c r="A70" s="29"/>
      <c r="B70" s="29"/>
      <c r="C70" s="29"/>
      <c r="D70" s="29"/>
      <c r="E70" s="29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ht="15" x14ac:dyDescent="0.25">
      <c r="A71" s="29"/>
      <c r="B71" s="29"/>
      <c r="C71" s="31" t="s">
        <v>190</v>
      </c>
      <c r="D71" s="29"/>
      <c r="E71" s="29" t="s">
        <v>74</v>
      </c>
      <c r="F71" s="28">
        <v>22600</v>
      </c>
      <c r="G71" s="28">
        <v>22325</v>
      </c>
      <c r="H71" s="28">
        <v>22450</v>
      </c>
      <c r="I71" s="28">
        <v>22250</v>
      </c>
      <c r="J71" s="28">
        <v>21950</v>
      </c>
      <c r="K71" s="28">
        <v>21875</v>
      </c>
      <c r="L71" s="28">
        <v>21700</v>
      </c>
      <c r="M71" s="28">
        <v>21850</v>
      </c>
      <c r="N71" s="28">
        <v>22500</v>
      </c>
      <c r="O71" s="28">
        <v>22450</v>
      </c>
      <c r="P71" s="28">
        <v>22425</v>
      </c>
      <c r="Q71" s="28">
        <v>22350</v>
      </c>
    </row>
    <row r="72" spans="1:17" ht="15" x14ac:dyDescent="0.25">
      <c r="A72" s="29"/>
      <c r="B72" s="29"/>
      <c r="C72" s="31"/>
      <c r="D72" s="29"/>
      <c r="E72" s="23" t="s">
        <v>79</v>
      </c>
      <c r="F72" s="30">
        <v>22600</v>
      </c>
      <c r="G72" s="30">
        <v>22325</v>
      </c>
      <c r="H72" s="30">
        <v>22450</v>
      </c>
      <c r="I72" s="30">
        <v>22250</v>
      </c>
      <c r="J72" s="30">
        <v>21950</v>
      </c>
      <c r="K72" s="30">
        <v>21875</v>
      </c>
      <c r="L72" s="30">
        <v>21700</v>
      </c>
      <c r="M72" s="30">
        <v>21850</v>
      </c>
      <c r="N72" s="30">
        <v>22500</v>
      </c>
      <c r="O72" s="30">
        <v>22450</v>
      </c>
      <c r="P72" s="30">
        <v>22425</v>
      </c>
      <c r="Q72" s="30">
        <v>22350</v>
      </c>
    </row>
    <row r="73" spans="1:17" ht="15" x14ac:dyDescent="0.25">
      <c r="A73" s="29"/>
      <c r="B73" s="29"/>
      <c r="C73" s="31"/>
      <c r="D73" s="29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15" x14ac:dyDescent="0.25">
      <c r="A74" s="29" t="s">
        <v>49</v>
      </c>
      <c r="B74" s="29" t="s">
        <v>49</v>
      </c>
      <c r="C74" s="29"/>
      <c r="D74" s="29"/>
      <c r="E74" s="29"/>
      <c r="F74" s="28">
        <v>56820</v>
      </c>
      <c r="G74" s="28">
        <v>56820</v>
      </c>
      <c r="H74" s="28">
        <v>56820</v>
      </c>
      <c r="I74" s="28">
        <v>56820</v>
      </c>
      <c r="J74" s="28">
        <v>56820</v>
      </c>
      <c r="K74" s="28">
        <v>56820</v>
      </c>
      <c r="L74" s="28">
        <v>56820</v>
      </c>
      <c r="M74" s="28">
        <v>56820</v>
      </c>
      <c r="N74" s="28">
        <v>56820</v>
      </c>
      <c r="O74" s="28">
        <v>47820</v>
      </c>
      <c r="P74" s="28">
        <v>44320</v>
      </c>
      <c r="Q74" s="28">
        <v>44320</v>
      </c>
    </row>
    <row r="75" spans="1:17" x14ac:dyDescent="0.2">
      <c r="F75" s="32"/>
      <c r="G75" s="32"/>
      <c r="H75" s="32"/>
    </row>
    <row r="76" spans="1:17" ht="15" x14ac:dyDescent="0.25">
      <c r="A76" s="29"/>
      <c r="B76" s="65"/>
      <c r="C76" s="65"/>
      <c r="D76" s="65"/>
      <c r="E76" s="67"/>
      <c r="F76" s="65"/>
      <c r="G76" s="65"/>
      <c r="H76" s="65"/>
    </row>
    <row r="77" spans="1:17" x14ac:dyDescent="0.2">
      <c r="A77" s="34"/>
      <c r="B77" s="35" t="s">
        <v>21</v>
      </c>
      <c r="C77" s="35"/>
      <c r="D77" s="35"/>
      <c r="E77" s="35"/>
      <c r="F77" s="35"/>
      <c r="G77" s="35"/>
      <c r="H77" s="35"/>
    </row>
    <row r="78" spans="1:17" x14ac:dyDescent="0.2">
      <c r="B78" s="56"/>
      <c r="C78" s="56"/>
      <c r="D78" s="36"/>
      <c r="F78" s="36"/>
      <c r="G78" s="36"/>
      <c r="H78" s="36"/>
    </row>
    <row r="80" spans="1:17" x14ac:dyDescent="0.2">
      <c r="A80" s="35"/>
      <c r="B80" s="35"/>
      <c r="C80" s="35"/>
    </row>
    <row r="81" spans="1:5" x14ac:dyDescent="0.2">
      <c r="A81" s="36"/>
      <c r="B81" s="35"/>
      <c r="C81" s="35"/>
    </row>
    <row r="83" spans="1:5" x14ac:dyDescent="0.2">
      <c r="E83" s="57" t="s">
        <v>71</v>
      </c>
    </row>
  </sheetData>
  <mergeCells count="4">
    <mergeCell ref="A5:E6"/>
    <mergeCell ref="B1:Q1"/>
    <mergeCell ref="B2:Q2"/>
    <mergeCell ref="A3:Q3"/>
  </mergeCells>
  <printOptions horizontalCentered="1"/>
  <pageMargins left="0" right="0" top="0.5" bottom="0.5" header="0.3" footer="0.3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84"/>
  <sheetViews>
    <sheetView zoomScaleNormal="100" workbookViewId="0">
      <pane ySplit="1" topLeftCell="A2" activePane="bottomLeft" state="frozen"/>
      <selection activeCell="N31" sqref="N31"/>
      <selection pane="bottomLeft" activeCell="W23" sqref="W23"/>
    </sheetView>
  </sheetViews>
  <sheetFormatPr defaultColWidth="9.14062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9.140625" style="23" customWidth="1"/>
    <col min="6" max="6" width="10.42578125" style="23" customWidth="1"/>
    <col min="7" max="8" width="10.28515625" style="23" customWidth="1"/>
    <col min="9" max="9" width="10.85546875" style="23" customWidth="1"/>
    <col min="10" max="10" width="10.85546875" style="23" bestFit="1" customWidth="1"/>
    <col min="11" max="11" width="10.42578125" style="23" bestFit="1" customWidth="1"/>
    <col min="12" max="12" width="10.42578125" style="23" customWidth="1"/>
    <col min="13" max="17" width="10.85546875" style="23" bestFit="1" customWidth="1"/>
    <col min="18" max="16384" width="9.140625" style="23"/>
  </cols>
  <sheetData>
    <row r="1" spans="1:17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x14ac:dyDescent="0.25">
      <c r="A2" s="51">
        <v>39448</v>
      </c>
      <c r="B2" s="96" t="s">
        <v>191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19.5" customHeight="1" thickBot="1" x14ac:dyDescent="0.25">
      <c r="A5" s="99" t="s">
        <v>17</v>
      </c>
      <c r="B5" s="98"/>
      <c r="C5" s="98"/>
      <c r="D5" s="98"/>
      <c r="E5" s="98"/>
      <c r="F5" s="70" t="s">
        <v>0</v>
      </c>
      <c r="G5" s="70" t="s">
        <v>1</v>
      </c>
      <c r="H5" s="70" t="s">
        <v>2</v>
      </c>
      <c r="I5" s="70" t="s">
        <v>3</v>
      </c>
      <c r="J5" s="70" t="s">
        <v>4</v>
      </c>
      <c r="K5" s="70" t="s">
        <v>18</v>
      </c>
      <c r="L5" s="70" t="s">
        <v>5</v>
      </c>
      <c r="M5" s="70" t="s">
        <v>6</v>
      </c>
      <c r="N5" s="70" t="s">
        <v>10</v>
      </c>
      <c r="O5" s="70" t="s">
        <v>7</v>
      </c>
      <c r="P5" s="70" t="s">
        <v>8</v>
      </c>
      <c r="Q5" s="71" t="s">
        <v>9</v>
      </c>
    </row>
    <row r="6" spans="1:17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Q6" s="26"/>
    </row>
    <row r="7" spans="1:17" ht="15" x14ac:dyDescent="0.25">
      <c r="A7" s="27" t="s">
        <v>97</v>
      </c>
      <c r="B7" s="27"/>
      <c r="C7" s="27"/>
      <c r="D7" s="27"/>
      <c r="E7" s="27"/>
      <c r="F7" s="6">
        <v>3477464.8450000002</v>
      </c>
      <c r="G7" s="6">
        <v>3514715.9189999998</v>
      </c>
      <c r="H7" s="6">
        <v>3472504.0240000002</v>
      </c>
      <c r="I7" s="6">
        <v>3505288.889</v>
      </c>
      <c r="J7" s="6">
        <v>3527726.5200000005</v>
      </c>
      <c r="K7" s="6">
        <v>3570012.2259999998</v>
      </c>
      <c r="L7" s="6">
        <v>3568009.6220000004</v>
      </c>
      <c r="M7" s="6">
        <v>3716071.7130000005</v>
      </c>
      <c r="N7" s="6">
        <v>3745790.1809999999</v>
      </c>
      <c r="O7" s="6">
        <v>3795410.5090000001</v>
      </c>
      <c r="P7" s="6">
        <v>3800975.5869999994</v>
      </c>
      <c r="Q7" s="6">
        <v>3789643.6529999999</v>
      </c>
    </row>
    <row r="8" spans="1:17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x14ac:dyDescent="0.25">
      <c r="B9" s="27" t="s">
        <v>51</v>
      </c>
      <c r="C9" s="27"/>
      <c r="D9" s="27"/>
      <c r="E9" s="27"/>
      <c r="F9" s="8">
        <v>3408644.8450000002</v>
      </c>
      <c r="G9" s="8">
        <v>3445895.9189999998</v>
      </c>
      <c r="H9" s="8">
        <v>3403684.0240000002</v>
      </c>
      <c r="I9" s="8">
        <v>3436468.889</v>
      </c>
      <c r="J9" s="8">
        <v>3458906.5200000005</v>
      </c>
      <c r="K9" s="8">
        <v>3501192.2259999998</v>
      </c>
      <c r="L9" s="8">
        <v>3499189.6220000004</v>
      </c>
      <c r="M9" s="8">
        <v>3647251.7130000005</v>
      </c>
      <c r="N9" s="8">
        <v>3676970.1809999999</v>
      </c>
      <c r="O9" s="8">
        <v>3726590.5090000001</v>
      </c>
      <c r="P9" s="8">
        <v>3744155.5869999994</v>
      </c>
      <c r="Q9" s="8">
        <v>3732823.6529999999</v>
      </c>
    </row>
    <row r="10" spans="1:17" ht="15" x14ac:dyDescent="0.25">
      <c r="B10" s="27"/>
      <c r="C10" s="27" t="s">
        <v>24</v>
      </c>
      <c r="D10" s="27"/>
      <c r="E10" s="27" t="s">
        <v>55</v>
      </c>
      <c r="F10" s="8">
        <v>1649085.4500000002</v>
      </c>
      <c r="G10" s="8">
        <v>1686411.7999999998</v>
      </c>
      <c r="H10" s="8">
        <v>1720400.3230000001</v>
      </c>
      <c r="I10" s="8">
        <v>1767629.0830000001</v>
      </c>
      <c r="J10" s="8">
        <v>1789343.047</v>
      </c>
      <c r="K10" s="8">
        <v>1831030.057</v>
      </c>
      <c r="L10" s="8">
        <v>1864829.9490000003</v>
      </c>
      <c r="M10" s="8">
        <v>1862080.1970000002</v>
      </c>
      <c r="N10" s="8">
        <v>1892729.8970000001</v>
      </c>
      <c r="O10" s="8">
        <v>1942547.5490000003</v>
      </c>
      <c r="P10" s="8">
        <v>1959701.0419999999</v>
      </c>
      <c r="Q10" s="8">
        <v>1948051.2490000001</v>
      </c>
    </row>
    <row r="11" spans="1:17" ht="15" x14ac:dyDescent="0.25">
      <c r="B11" s="29"/>
      <c r="C11" s="29"/>
      <c r="D11" s="29" t="s">
        <v>52</v>
      </c>
      <c r="E11" s="29"/>
      <c r="F11" s="8">
        <v>282506.3</v>
      </c>
      <c r="G11" s="8">
        <v>286056</v>
      </c>
      <c r="H11" s="8">
        <v>289656</v>
      </c>
      <c r="I11" s="8">
        <v>300856</v>
      </c>
      <c r="J11" s="8">
        <v>295091.3</v>
      </c>
      <c r="K11" s="8">
        <v>308213</v>
      </c>
      <c r="L11" s="8">
        <v>312013</v>
      </c>
      <c r="M11" s="8">
        <v>309263.3</v>
      </c>
      <c r="N11" s="8">
        <v>309913</v>
      </c>
      <c r="O11" s="8">
        <v>331913</v>
      </c>
      <c r="P11" s="8">
        <v>332566</v>
      </c>
      <c r="Q11" s="8">
        <v>320916</v>
      </c>
    </row>
    <row r="12" spans="1:17" ht="15" x14ac:dyDescent="0.25">
      <c r="A12" s="29"/>
      <c r="B12" s="29"/>
      <c r="C12" s="29"/>
      <c r="D12" s="29"/>
      <c r="E12" s="2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">
      <c r="E13" s="23" t="s">
        <v>76</v>
      </c>
      <c r="F13" s="30">
        <v>174568.3</v>
      </c>
      <c r="G13" s="30">
        <v>174568</v>
      </c>
      <c r="H13" s="30">
        <v>174568</v>
      </c>
      <c r="I13" s="30">
        <v>174568</v>
      </c>
      <c r="J13" s="30">
        <v>174568.3</v>
      </c>
      <c r="K13" s="30">
        <v>174568</v>
      </c>
      <c r="L13" s="30">
        <v>174568</v>
      </c>
      <c r="M13" s="30">
        <v>174568.3</v>
      </c>
      <c r="N13" s="30">
        <v>174568</v>
      </c>
      <c r="O13" s="32">
        <v>174568</v>
      </c>
      <c r="P13" s="30">
        <v>174568</v>
      </c>
      <c r="Q13" s="30">
        <v>174568</v>
      </c>
    </row>
    <row r="14" spans="1:17" x14ac:dyDescent="0.2">
      <c r="E14" s="23" t="s">
        <v>12</v>
      </c>
      <c r="F14" s="30">
        <v>5800</v>
      </c>
      <c r="G14" s="30">
        <v>5800</v>
      </c>
      <c r="H14" s="30">
        <v>6800</v>
      </c>
      <c r="I14" s="30">
        <v>8000</v>
      </c>
      <c r="J14" s="30">
        <v>10000</v>
      </c>
      <c r="K14" s="30">
        <v>12000</v>
      </c>
      <c r="L14" s="30">
        <v>12000</v>
      </c>
      <c r="M14" s="30">
        <v>12000</v>
      </c>
      <c r="N14" s="30">
        <v>9650</v>
      </c>
      <c r="O14" s="32">
        <v>13650</v>
      </c>
      <c r="P14" s="30">
        <v>13650</v>
      </c>
      <c r="Q14" s="30">
        <v>12000</v>
      </c>
    </row>
    <row r="15" spans="1:17" x14ac:dyDescent="0.2">
      <c r="E15" s="23" t="s">
        <v>44</v>
      </c>
      <c r="F15" s="30">
        <v>24538</v>
      </c>
      <c r="G15" s="30">
        <v>25088</v>
      </c>
      <c r="H15" s="30">
        <v>25088</v>
      </c>
      <c r="I15" s="30">
        <v>28588</v>
      </c>
      <c r="J15" s="30">
        <v>27128</v>
      </c>
      <c r="K15" s="30">
        <v>31750</v>
      </c>
      <c r="L15" s="30">
        <v>32750</v>
      </c>
      <c r="M15" s="30">
        <v>32600</v>
      </c>
      <c r="N15" s="30">
        <v>33600</v>
      </c>
      <c r="O15" s="32">
        <v>39600</v>
      </c>
      <c r="P15" s="30">
        <v>40850</v>
      </c>
      <c r="Q15" s="30">
        <v>34850</v>
      </c>
    </row>
    <row r="16" spans="1:17" x14ac:dyDescent="0.2">
      <c r="E16" s="23" t="s">
        <v>45</v>
      </c>
      <c r="F16" s="30">
        <v>77600</v>
      </c>
      <c r="G16" s="30">
        <v>80600</v>
      </c>
      <c r="H16" s="30">
        <v>83200</v>
      </c>
      <c r="I16" s="30">
        <v>89700</v>
      </c>
      <c r="J16" s="30">
        <v>83395</v>
      </c>
      <c r="K16" s="30">
        <v>89895</v>
      </c>
      <c r="L16" s="30">
        <v>92695</v>
      </c>
      <c r="M16" s="30">
        <v>90095</v>
      </c>
      <c r="N16" s="30">
        <v>92095</v>
      </c>
      <c r="O16" s="32">
        <v>104095</v>
      </c>
      <c r="P16" s="30">
        <v>103498</v>
      </c>
      <c r="Q16" s="30">
        <v>99498</v>
      </c>
    </row>
    <row r="17" spans="1:17" x14ac:dyDescent="0.2">
      <c r="F17" s="30"/>
      <c r="G17" s="30"/>
      <c r="H17" s="30"/>
      <c r="I17" s="30"/>
      <c r="J17" s="30"/>
      <c r="K17" s="30"/>
      <c r="L17" s="30"/>
      <c r="M17" s="30"/>
      <c r="N17" s="30"/>
      <c r="P17" s="30"/>
      <c r="Q17" s="30"/>
    </row>
    <row r="18" spans="1:17" ht="15" x14ac:dyDescent="0.25">
      <c r="B18" s="29"/>
      <c r="C18" s="29"/>
      <c r="D18" s="29" t="s">
        <v>50</v>
      </c>
      <c r="E18" s="29"/>
      <c r="F18" s="8">
        <v>1366579.1500000001</v>
      </c>
      <c r="G18" s="8">
        <v>1400355.7999999998</v>
      </c>
      <c r="H18" s="8">
        <v>1430744.3230000001</v>
      </c>
      <c r="I18" s="8">
        <v>1466773.0830000001</v>
      </c>
      <c r="J18" s="8">
        <v>1494251.747</v>
      </c>
      <c r="K18" s="8">
        <v>1522817.057</v>
      </c>
      <c r="L18" s="8">
        <v>1552816.9490000003</v>
      </c>
      <c r="M18" s="8">
        <v>1552816.8970000001</v>
      </c>
      <c r="N18" s="8">
        <v>1582816.8970000001</v>
      </c>
      <c r="O18" s="8">
        <v>1610634.5490000003</v>
      </c>
      <c r="P18" s="8">
        <v>1627135.0419999999</v>
      </c>
      <c r="Q18" s="8">
        <v>1627135.2490000001</v>
      </c>
    </row>
    <row r="19" spans="1:17" x14ac:dyDescent="0.2">
      <c r="E19" s="23" t="s">
        <v>22</v>
      </c>
      <c r="F19" s="30">
        <v>0</v>
      </c>
      <c r="G19" s="30">
        <v>0</v>
      </c>
      <c r="H19" s="30">
        <v>0</v>
      </c>
      <c r="I19" s="30">
        <v>35000</v>
      </c>
      <c r="J19" s="30">
        <v>35000</v>
      </c>
      <c r="K19" s="30">
        <v>35000</v>
      </c>
      <c r="L19" s="30">
        <v>65000</v>
      </c>
      <c r="M19" s="30">
        <v>65000</v>
      </c>
      <c r="N19" s="30">
        <v>65000</v>
      </c>
      <c r="O19" s="32">
        <v>65000</v>
      </c>
      <c r="P19" s="30">
        <v>65000</v>
      </c>
      <c r="Q19" s="30">
        <v>65000</v>
      </c>
    </row>
    <row r="20" spans="1:17" x14ac:dyDescent="0.2">
      <c r="E20" s="23" t="s">
        <v>23</v>
      </c>
      <c r="F20" s="30">
        <v>9000</v>
      </c>
      <c r="G20" s="30">
        <v>9000</v>
      </c>
      <c r="H20" s="30">
        <v>9000</v>
      </c>
      <c r="I20" s="30">
        <v>9000</v>
      </c>
      <c r="J20" s="30">
        <v>9000</v>
      </c>
      <c r="K20" s="30">
        <v>9000</v>
      </c>
      <c r="L20" s="30">
        <v>9000</v>
      </c>
      <c r="M20" s="30">
        <v>9000</v>
      </c>
      <c r="N20" s="30">
        <v>9000</v>
      </c>
      <c r="O20" s="32">
        <v>9000</v>
      </c>
      <c r="P20" s="30">
        <v>9000</v>
      </c>
      <c r="Q20" s="30">
        <v>9000</v>
      </c>
    </row>
    <row r="21" spans="1:17" x14ac:dyDescent="0.2">
      <c r="E21" s="23" t="s">
        <v>14</v>
      </c>
      <c r="F21" s="30">
        <v>112456.663</v>
      </c>
      <c r="G21" s="30">
        <v>112457</v>
      </c>
      <c r="H21" s="30">
        <v>102699.303</v>
      </c>
      <c r="I21" s="30">
        <v>102699.303</v>
      </c>
      <c r="J21" s="30">
        <v>133385.603</v>
      </c>
      <c r="K21" s="30">
        <v>133385.603</v>
      </c>
      <c r="L21" s="30">
        <v>133385.603</v>
      </c>
      <c r="M21" s="30">
        <v>133385.603</v>
      </c>
      <c r="N21" s="30">
        <v>163385.603</v>
      </c>
      <c r="O21" s="32">
        <v>163385.603</v>
      </c>
      <c r="P21" s="30">
        <v>163385.603</v>
      </c>
      <c r="Q21" s="30">
        <v>163385.603</v>
      </c>
    </row>
    <row r="22" spans="1:17" x14ac:dyDescent="0.2">
      <c r="E22" s="23" t="s">
        <v>15</v>
      </c>
      <c r="F22" s="30">
        <v>349379.41</v>
      </c>
      <c r="G22" s="30">
        <v>356523</v>
      </c>
      <c r="H22" s="30">
        <v>356523.31</v>
      </c>
      <c r="I22" s="30">
        <v>356523.31</v>
      </c>
      <c r="J22" s="30">
        <v>356523.31</v>
      </c>
      <c r="K22" s="30">
        <v>385088.46</v>
      </c>
      <c r="L22" s="30">
        <v>385088.46</v>
      </c>
      <c r="M22" s="30">
        <v>385088.46</v>
      </c>
      <c r="N22" s="30">
        <v>385088.46</v>
      </c>
      <c r="O22" s="32">
        <v>385088.46</v>
      </c>
      <c r="P22" s="30">
        <v>401588.79300000001</v>
      </c>
      <c r="Q22" s="30">
        <v>401589</v>
      </c>
    </row>
    <row r="23" spans="1:17" x14ac:dyDescent="0.2">
      <c r="E23" s="23" t="s">
        <v>20</v>
      </c>
      <c r="F23" s="30">
        <v>441741.92700000003</v>
      </c>
      <c r="G23" s="30">
        <v>468374</v>
      </c>
      <c r="H23" s="30">
        <v>471003.06</v>
      </c>
      <c r="I23" s="30">
        <v>471003.16</v>
      </c>
      <c r="J23" s="30">
        <v>467795.68400000001</v>
      </c>
      <c r="K23" s="30">
        <v>467795.68400000001</v>
      </c>
      <c r="L23" s="30">
        <v>467795.685</v>
      </c>
      <c r="M23" s="30">
        <v>467795.68400000001</v>
      </c>
      <c r="N23" s="30">
        <v>467795.68400000001</v>
      </c>
      <c r="O23" s="32">
        <v>465613.33600000001</v>
      </c>
      <c r="P23" s="30">
        <v>465613.33600000001</v>
      </c>
      <c r="Q23" s="30">
        <v>465613.33600000001</v>
      </c>
    </row>
    <row r="24" spans="1:17" x14ac:dyDescent="0.2">
      <c r="E24" s="23" t="s">
        <v>46</v>
      </c>
      <c r="F24" s="30">
        <v>223319.31</v>
      </c>
      <c r="G24" s="30">
        <v>223319.4</v>
      </c>
      <c r="H24" s="30">
        <v>260836.81</v>
      </c>
      <c r="I24" s="30">
        <v>261865.31</v>
      </c>
      <c r="J24" s="30">
        <v>261865.31</v>
      </c>
      <c r="K24" s="30">
        <v>261865.31</v>
      </c>
      <c r="L24" s="30">
        <v>261865.31099999999</v>
      </c>
      <c r="M24" s="30">
        <v>261865.31</v>
      </c>
      <c r="N24" s="30">
        <v>261865.31</v>
      </c>
      <c r="O24" s="32">
        <v>291865.31</v>
      </c>
      <c r="P24" s="30">
        <v>291865.31</v>
      </c>
      <c r="Q24" s="30">
        <v>291865.31</v>
      </c>
    </row>
    <row r="25" spans="1:17" x14ac:dyDescent="0.2">
      <c r="E25" s="23" t="s">
        <v>47</v>
      </c>
      <c r="F25" s="30">
        <v>230584.84</v>
      </c>
      <c r="G25" s="30">
        <v>230585.4</v>
      </c>
      <c r="H25" s="30">
        <v>230584.84</v>
      </c>
      <c r="I25" s="30">
        <v>230585</v>
      </c>
      <c r="J25" s="30">
        <v>230584.84</v>
      </c>
      <c r="K25" s="30">
        <v>230585</v>
      </c>
      <c r="L25" s="30">
        <v>230584.84</v>
      </c>
      <c r="M25" s="30">
        <v>230584.84</v>
      </c>
      <c r="N25" s="30">
        <v>230584.84</v>
      </c>
      <c r="O25" s="32">
        <v>230584.84</v>
      </c>
      <c r="P25" s="30">
        <v>230585</v>
      </c>
      <c r="Q25" s="30">
        <v>230585</v>
      </c>
    </row>
    <row r="26" spans="1:17" x14ac:dyDescent="0.2">
      <c r="E26" s="23" t="s">
        <v>53</v>
      </c>
      <c r="F26" s="30">
        <v>97</v>
      </c>
      <c r="G26" s="30">
        <v>97</v>
      </c>
      <c r="H26" s="30">
        <v>97</v>
      </c>
      <c r="I26" s="30">
        <v>97</v>
      </c>
      <c r="J26" s="30">
        <v>97</v>
      </c>
      <c r="K26" s="30">
        <v>97</v>
      </c>
      <c r="L26" s="30">
        <v>97.05</v>
      </c>
      <c r="M26" s="30">
        <v>97</v>
      </c>
      <c r="N26" s="30">
        <v>97</v>
      </c>
      <c r="O26" s="23">
        <v>97</v>
      </c>
      <c r="P26" s="30">
        <v>97</v>
      </c>
      <c r="Q26" s="30">
        <v>97</v>
      </c>
    </row>
    <row r="28" spans="1:17" ht="15" x14ac:dyDescent="0.25">
      <c r="B28" s="29"/>
      <c r="C28" s="29" t="s">
        <v>147</v>
      </c>
      <c r="D28" s="29"/>
      <c r="E28" s="29"/>
      <c r="F28" s="8">
        <v>1759559.395</v>
      </c>
      <c r="G28" s="8">
        <v>1759484.1189999999</v>
      </c>
      <c r="H28" s="8">
        <v>1683283.7009999999</v>
      </c>
      <c r="I28" s="8">
        <v>1668839.8059999999</v>
      </c>
      <c r="J28" s="8">
        <v>1669563.4730000002</v>
      </c>
      <c r="K28" s="8">
        <v>1670162.169</v>
      </c>
      <c r="L28" s="8">
        <v>1634359.673</v>
      </c>
      <c r="M28" s="8">
        <v>1785171.5160000001</v>
      </c>
      <c r="N28" s="8">
        <v>1784240.2839999998</v>
      </c>
      <c r="O28" s="8">
        <v>1784042.9599999997</v>
      </c>
      <c r="P28" s="8">
        <v>1784454.5449999997</v>
      </c>
      <c r="Q28" s="8">
        <v>1784772.4039999999</v>
      </c>
    </row>
    <row r="29" spans="1:17" ht="15" x14ac:dyDescent="0.25">
      <c r="B29" s="29"/>
      <c r="C29" s="29"/>
      <c r="D29" s="29" t="s">
        <v>34</v>
      </c>
      <c r="E29" s="27"/>
      <c r="F29" s="8">
        <v>745923.99</v>
      </c>
      <c r="G29" s="8">
        <v>745924</v>
      </c>
      <c r="H29" s="8">
        <v>745923.99</v>
      </c>
      <c r="I29" s="8">
        <v>745924.63399999996</v>
      </c>
      <c r="J29" s="8">
        <v>745923.99</v>
      </c>
      <c r="K29" s="8">
        <v>745924.41099999996</v>
      </c>
      <c r="L29" s="8">
        <v>710169.58299999998</v>
      </c>
      <c r="M29" s="8">
        <v>860169.16200000001</v>
      </c>
      <c r="N29" s="8">
        <v>860169.58299999998</v>
      </c>
      <c r="O29" s="8">
        <v>860169.58299999998</v>
      </c>
      <c r="P29" s="8">
        <v>860169.58299999998</v>
      </c>
      <c r="Q29" s="8">
        <v>860169.58299999998</v>
      </c>
    </row>
    <row r="30" spans="1:17" ht="15" x14ac:dyDescent="0.25">
      <c r="A30" s="29"/>
      <c r="B30" s="29"/>
      <c r="C30" s="29"/>
      <c r="D30" s="29"/>
      <c r="E30" s="27">
        <v>2.1</v>
      </c>
      <c r="F30" s="28">
        <v>268030.75</v>
      </c>
      <c r="G30" s="28">
        <v>268031</v>
      </c>
      <c r="H30" s="28">
        <v>268030.75</v>
      </c>
      <c r="I30" s="28">
        <v>268031.39399999997</v>
      </c>
      <c r="J30" s="28">
        <v>268030.75</v>
      </c>
      <c r="K30" s="28">
        <v>268031.17099999997</v>
      </c>
      <c r="L30" s="28">
        <v>232276.34299999999</v>
      </c>
      <c r="M30" s="28">
        <v>232275.92199999999</v>
      </c>
      <c r="N30" s="28">
        <v>232276.34299999999</v>
      </c>
      <c r="O30" s="28">
        <v>232276.34299999999</v>
      </c>
      <c r="P30" s="28">
        <v>232276.34299999999</v>
      </c>
      <c r="Q30" s="28">
        <v>232276.34299999999</v>
      </c>
    </row>
    <row r="31" spans="1:17" x14ac:dyDescent="0.2">
      <c r="E31" s="37" t="s">
        <v>27</v>
      </c>
      <c r="F31" s="30">
        <v>132076.777</v>
      </c>
      <c r="G31" s="30">
        <v>132077</v>
      </c>
      <c r="H31" s="30">
        <v>132076.777</v>
      </c>
      <c r="I31" s="30">
        <v>132077</v>
      </c>
      <c r="J31" s="30">
        <v>132076.777</v>
      </c>
      <c r="K31" s="30">
        <v>132076.777</v>
      </c>
      <c r="L31" s="30">
        <v>96321.948999999993</v>
      </c>
      <c r="M31" s="30">
        <v>96321.948999999993</v>
      </c>
      <c r="N31" s="30">
        <v>96321.948999999993</v>
      </c>
      <c r="O31" s="32">
        <v>96321.948999999993</v>
      </c>
      <c r="P31" s="30">
        <v>96321.948999999993</v>
      </c>
      <c r="Q31" s="30">
        <v>96321.948999999993</v>
      </c>
    </row>
    <row r="32" spans="1:17" x14ac:dyDescent="0.2">
      <c r="E32" s="37" t="s">
        <v>58</v>
      </c>
      <c r="F32" s="30">
        <v>53048.394</v>
      </c>
      <c r="G32" s="30">
        <v>53048</v>
      </c>
      <c r="H32" s="30">
        <v>53048.394</v>
      </c>
      <c r="I32" s="30">
        <v>53048.394</v>
      </c>
      <c r="J32" s="30">
        <v>53048.394</v>
      </c>
      <c r="K32" s="30">
        <v>53048.394</v>
      </c>
      <c r="L32" s="30">
        <v>53048.394</v>
      </c>
      <c r="M32" s="30">
        <v>53048.394</v>
      </c>
      <c r="N32" s="30">
        <v>53048.394</v>
      </c>
      <c r="O32" s="32">
        <v>53048.394</v>
      </c>
      <c r="P32" s="30">
        <v>53048.394</v>
      </c>
      <c r="Q32" s="30">
        <v>53048.394</v>
      </c>
    </row>
    <row r="33" spans="1:17" x14ac:dyDescent="0.2">
      <c r="E33" s="37" t="s">
        <v>67</v>
      </c>
      <c r="F33" s="30">
        <v>82905.578999999998</v>
      </c>
      <c r="G33" s="30">
        <v>82906</v>
      </c>
      <c r="H33" s="30">
        <v>82905.578999999998</v>
      </c>
      <c r="I33" s="30">
        <v>82906</v>
      </c>
      <c r="J33" s="30">
        <v>82905.578999999998</v>
      </c>
      <c r="K33" s="30">
        <v>82906</v>
      </c>
      <c r="L33" s="30">
        <v>82906</v>
      </c>
      <c r="M33" s="30">
        <v>82905.578999999998</v>
      </c>
      <c r="N33" s="30">
        <v>82906</v>
      </c>
      <c r="O33" s="32">
        <v>82906</v>
      </c>
      <c r="P33" s="30">
        <v>82906</v>
      </c>
      <c r="Q33" s="30">
        <v>82906</v>
      </c>
    </row>
    <row r="34" spans="1:17" ht="15" x14ac:dyDescent="0.25">
      <c r="E34" s="27">
        <v>2.2000000000000002</v>
      </c>
      <c r="F34" s="28">
        <v>477893.24</v>
      </c>
      <c r="G34" s="28">
        <v>477893</v>
      </c>
      <c r="H34" s="28">
        <v>477893.24</v>
      </c>
      <c r="I34" s="28">
        <v>477893.24</v>
      </c>
      <c r="J34" s="28">
        <v>477893.24</v>
      </c>
      <c r="K34" s="28">
        <v>477893.24</v>
      </c>
      <c r="L34" s="28">
        <v>477893.24</v>
      </c>
      <c r="M34" s="28">
        <v>627893.24</v>
      </c>
      <c r="N34" s="28">
        <v>627893.24</v>
      </c>
      <c r="O34" s="28">
        <v>627893.24</v>
      </c>
      <c r="P34" s="28">
        <v>627893.24</v>
      </c>
      <c r="Q34" s="28">
        <v>627893.24</v>
      </c>
    </row>
    <row r="35" spans="1:17" x14ac:dyDescent="0.2">
      <c r="E35" s="37" t="s">
        <v>67</v>
      </c>
      <c r="F35" s="30">
        <v>54953.06</v>
      </c>
      <c r="G35" s="30">
        <v>54953</v>
      </c>
      <c r="H35" s="30">
        <v>54953.06</v>
      </c>
      <c r="I35" s="30">
        <v>54953.06</v>
      </c>
      <c r="J35" s="30">
        <v>54953.06</v>
      </c>
      <c r="K35" s="30">
        <v>54953.06</v>
      </c>
      <c r="L35" s="30">
        <v>54953.06</v>
      </c>
      <c r="M35" s="30">
        <v>204953.06</v>
      </c>
      <c r="N35" s="30">
        <v>204953.06</v>
      </c>
      <c r="O35" s="32">
        <v>204953.06</v>
      </c>
      <c r="P35" s="30">
        <v>204953.06</v>
      </c>
      <c r="Q35" s="30">
        <v>204953.06</v>
      </c>
    </row>
    <row r="36" spans="1:17" x14ac:dyDescent="0.2">
      <c r="E36" s="37" t="s">
        <v>66</v>
      </c>
      <c r="F36" s="30">
        <v>99281.43</v>
      </c>
      <c r="G36" s="30">
        <v>99281</v>
      </c>
      <c r="H36" s="30">
        <v>99281.43</v>
      </c>
      <c r="I36" s="30">
        <v>99281.43</v>
      </c>
      <c r="J36" s="30">
        <v>99281.43</v>
      </c>
      <c r="K36" s="30">
        <v>99281.43</v>
      </c>
      <c r="L36" s="30">
        <v>99281.43</v>
      </c>
      <c r="M36" s="30">
        <v>99281.43</v>
      </c>
      <c r="N36" s="30">
        <v>99281.43</v>
      </c>
      <c r="O36" s="32">
        <v>99281.43</v>
      </c>
      <c r="P36" s="30">
        <v>99281.43</v>
      </c>
      <c r="Q36" s="30">
        <v>99281.43</v>
      </c>
    </row>
    <row r="37" spans="1:17" x14ac:dyDescent="0.2">
      <c r="E37" s="37" t="s">
        <v>72</v>
      </c>
      <c r="F37" s="30">
        <v>135658.75</v>
      </c>
      <c r="G37" s="30">
        <v>135659</v>
      </c>
      <c r="H37" s="30">
        <v>135658.75</v>
      </c>
      <c r="I37" s="30">
        <v>135658.75</v>
      </c>
      <c r="J37" s="30">
        <v>135658.75</v>
      </c>
      <c r="K37" s="30">
        <v>135658.75</v>
      </c>
      <c r="L37" s="30">
        <v>135658.75</v>
      </c>
      <c r="M37" s="30">
        <v>135658.75</v>
      </c>
      <c r="N37" s="30">
        <v>135658.75</v>
      </c>
      <c r="O37" s="32">
        <v>135658.75</v>
      </c>
      <c r="P37" s="30">
        <v>135658.75</v>
      </c>
      <c r="Q37" s="30">
        <v>135658.75</v>
      </c>
    </row>
    <row r="38" spans="1:17" x14ac:dyDescent="0.2">
      <c r="E38" s="37" t="s">
        <v>73</v>
      </c>
      <c r="F38" s="30">
        <v>188000</v>
      </c>
      <c r="G38" s="30">
        <v>188000</v>
      </c>
      <c r="H38" s="30">
        <v>188000</v>
      </c>
      <c r="I38" s="30">
        <v>188000</v>
      </c>
      <c r="J38" s="30">
        <v>188000</v>
      </c>
      <c r="K38" s="30">
        <v>188000</v>
      </c>
      <c r="L38" s="30">
        <v>188000</v>
      </c>
      <c r="M38" s="30">
        <v>188000</v>
      </c>
      <c r="N38" s="30">
        <v>188000</v>
      </c>
      <c r="O38" s="32">
        <v>188000</v>
      </c>
      <c r="P38" s="30">
        <v>188000</v>
      </c>
      <c r="Q38" s="30">
        <v>188000</v>
      </c>
    </row>
    <row r="39" spans="1:17" x14ac:dyDescent="0.2">
      <c r="E39" s="37"/>
      <c r="F39" s="30"/>
      <c r="P39" s="30"/>
    </row>
    <row r="40" spans="1:17" ht="15" x14ac:dyDescent="0.25">
      <c r="B40" s="29"/>
      <c r="C40" s="29"/>
      <c r="D40" s="29" t="s">
        <v>77</v>
      </c>
      <c r="E40" s="27"/>
      <c r="F40" s="28">
        <v>7000</v>
      </c>
      <c r="G40" s="28">
        <v>7000</v>
      </c>
      <c r="H40" s="28">
        <v>7000</v>
      </c>
      <c r="I40" s="28">
        <v>7000</v>
      </c>
      <c r="J40" s="28">
        <v>7000</v>
      </c>
      <c r="K40" s="28">
        <v>7000</v>
      </c>
      <c r="L40" s="28">
        <v>7000</v>
      </c>
      <c r="M40" s="28">
        <v>7000</v>
      </c>
      <c r="N40" s="28">
        <v>7000</v>
      </c>
      <c r="O40" s="72">
        <v>7000</v>
      </c>
      <c r="P40" s="28">
        <v>7000</v>
      </c>
      <c r="Q40" s="28">
        <v>7000</v>
      </c>
    </row>
    <row r="41" spans="1:17" ht="15" x14ac:dyDescent="0.25">
      <c r="B41" s="29"/>
      <c r="C41" s="29"/>
      <c r="D41" s="29"/>
      <c r="E41" s="37"/>
      <c r="F41" s="28"/>
      <c r="G41" s="28"/>
      <c r="H41" s="28"/>
      <c r="I41" s="28"/>
      <c r="J41" s="28"/>
      <c r="K41" s="28"/>
      <c r="L41" s="28"/>
      <c r="M41" s="28"/>
      <c r="N41" s="28"/>
      <c r="P41" s="28"/>
      <c r="Q41" s="28"/>
    </row>
    <row r="42" spans="1:17" ht="15" x14ac:dyDescent="0.25">
      <c r="C42" s="31" t="s">
        <v>31</v>
      </c>
      <c r="D42" s="29" t="s">
        <v>186</v>
      </c>
      <c r="E42" s="37"/>
      <c r="F42" s="8">
        <v>910573.93400000001</v>
      </c>
      <c r="G42" s="8">
        <v>910575</v>
      </c>
      <c r="H42" s="8">
        <v>834133.63199999998</v>
      </c>
      <c r="I42" s="8">
        <v>834133.63199999998</v>
      </c>
      <c r="J42" s="8">
        <v>834133.47900000005</v>
      </c>
      <c r="K42" s="8">
        <v>834133.63199999998</v>
      </c>
      <c r="L42" s="8">
        <v>834133.63199999998</v>
      </c>
      <c r="M42" s="8">
        <v>834133.63199999998</v>
      </c>
      <c r="N42" s="8">
        <v>834133.63199999998</v>
      </c>
      <c r="O42" s="8">
        <v>834133.63199999998</v>
      </c>
      <c r="P42" s="8">
        <v>834133.63199999998</v>
      </c>
      <c r="Q42" s="8">
        <v>834133.63199999998</v>
      </c>
    </row>
    <row r="43" spans="1:17" ht="15" x14ac:dyDescent="0.25">
      <c r="C43" s="31"/>
      <c r="D43" s="29"/>
      <c r="E43" s="27">
        <v>2.1</v>
      </c>
      <c r="F43" s="8">
        <v>388006.86200000002</v>
      </c>
      <c r="G43" s="8">
        <v>388008</v>
      </c>
      <c r="H43" s="8">
        <v>311566.56</v>
      </c>
      <c r="I43" s="8">
        <v>311566.56</v>
      </c>
      <c r="J43" s="8">
        <v>311566.56</v>
      </c>
      <c r="K43" s="8">
        <v>311566.56</v>
      </c>
      <c r="L43" s="8">
        <v>311566.56</v>
      </c>
      <c r="M43" s="8">
        <v>311566.56</v>
      </c>
      <c r="N43" s="8">
        <v>311566.56</v>
      </c>
      <c r="O43" s="8">
        <v>311566.56</v>
      </c>
      <c r="P43" s="8">
        <v>311566.56</v>
      </c>
      <c r="Q43" s="8">
        <v>311566.56</v>
      </c>
    </row>
    <row r="44" spans="1:17" ht="15" x14ac:dyDescent="0.25">
      <c r="C44" s="31"/>
      <c r="E44" s="37"/>
      <c r="F44" s="30"/>
      <c r="G44" s="30"/>
      <c r="H44" s="30"/>
      <c r="I44" s="30"/>
      <c r="J44" s="30"/>
      <c r="K44" s="30"/>
      <c r="L44" s="30"/>
      <c r="M44" s="30"/>
      <c r="N44" s="30"/>
      <c r="P44" s="30"/>
      <c r="Q44" s="30"/>
    </row>
    <row r="45" spans="1:17" ht="15" x14ac:dyDescent="0.25">
      <c r="C45" s="31"/>
      <c r="E45" s="37" t="s">
        <v>42</v>
      </c>
      <c r="F45" s="30">
        <v>107925.531</v>
      </c>
      <c r="G45" s="30">
        <v>107926</v>
      </c>
      <c r="H45" s="30">
        <v>107925.531</v>
      </c>
      <c r="I45" s="30">
        <v>107925.531</v>
      </c>
      <c r="J45" s="30">
        <v>107925.531</v>
      </c>
      <c r="K45" s="30">
        <v>107925.531</v>
      </c>
      <c r="L45" s="30">
        <v>107925.531</v>
      </c>
      <c r="M45" s="30">
        <v>107925.531</v>
      </c>
      <c r="N45" s="30">
        <v>107925.531</v>
      </c>
      <c r="O45" s="32">
        <v>107925.531</v>
      </c>
      <c r="P45" s="30">
        <v>107925.531</v>
      </c>
      <c r="Q45" s="30">
        <v>107925.531</v>
      </c>
    </row>
    <row r="46" spans="1:17" ht="15" x14ac:dyDescent="0.25">
      <c r="C46" s="31"/>
      <c r="E46" s="37" t="s">
        <v>43</v>
      </c>
      <c r="F46" s="30">
        <v>213211.57500000001</v>
      </c>
      <c r="G46" s="30">
        <v>213212</v>
      </c>
      <c r="H46" s="30">
        <v>136771.27299999999</v>
      </c>
      <c r="I46" s="30">
        <v>136771.27299999999</v>
      </c>
      <c r="J46" s="30">
        <v>136771.27299999999</v>
      </c>
      <c r="K46" s="30">
        <v>136771.27299999999</v>
      </c>
      <c r="L46" s="30">
        <v>136771.27299999999</v>
      </c>
      <c r="M46" s="30">
        <v>136771.27299999999</v>
      </c>
      <c r="N46" s="30">
        <v>136771.27299999999</v>
      </c>
      <c r="O46" s="32">
        <v>136771.27299999999</v>
      </c>
      <c r="P46" s="30">
        <v>136771.27299999999</v>
      </c>
      <c r="Q46" s="30">
        <v>136771.27299999999</v>
      </c>
    </row>
    <row r="47" spans="1:17" ht="15" x14ac:dyDescent="0.25">
      <c r="A47" s="29"/>
      <c r="B47" s="29"/>
      <c r="C47" s="29"/>
      <c r="E47" s="37" t="s">
        <v>54</v>
      </c>
      <c r="F47" s="30">
        <v>66869.755999999994</v>
      </c>
      <c r="G47" s="30">
        <v>66870</v>
      </c>
      <c r="H47" s="30">
        <v>66869.755999999994</v>
      </c>
      <c r="I47" s="30">
        <v>66869.755999999994</v>
      </c>
      <c r="J47" s="30">
        <v>66869.755999999994</v>
      </c>
      <c r="K47" s="30">
        <v>66869.755999999994</v>
      </c>
      <c r="L47" s="30">
        <v>66869.755999999994</v>
      </c>
      <c r="M47" s="30">
        <v>66869.755999999994</v>
      </c>
      <c r="N47" s="30">
        <v>66869.755999999994</v>
      </c>
      <c r="O47" s="32">
        <v>66869.755999999994</v>
      </c>
      <c r="P47" s="30">
        <v>66869.755999999994</v>
      </c>
      <c r="Q47" s="30">
        <v>66869.755999999994</v>
      </c>
    </row>
    <row r="48" spans="1:17" ht="15" x14ac:dyDescent="0.25">
      <c r="A48" s="29"/>
      <c r="B48" s="29"/>
      <c r="C48" s="29"/>
      <c r="E48" s="37"/>
      <c r="F48" s="30"/>
      <c r="G48" s="30"/>
      <c r="H48" s="30"/>
      <c r="I48" s="30"/>
      <c r="J48" s="30"/>
      <c r="K48" s="30"/>
      <c r="L48" s="30"/>
      <c r="M48" s="30"/>
      <c r="N48" s="30"/>
      <c r="P48" s="30"/>
      <c r="Q48" s="30"/>
    </row>
    <row r="49" spans="1:17" ht="15" x14ac:dyDescent="0.25">
      <c r="A49" s="29"/>
      <c r="B49" s="29"/>
      <c r="C49" s="31"/>
      <c r="D49" s="29"/>
      <c r="E49" s="27">
        <v>2.2000000000000002</v>
      </c>
      <c r="F49" s="8">
        <v>199103.08900000001</v>
      </c>
      <c r="G49" s="8">
        <v>199103</v>
      </c>
      <c r="H49" s="8">
        <v>199103.08900000001</v>
      </c>
      <c r="I49" s="8">
        <v>199103.08900000001</v>
      </c>
      <c r="J49" s="8">
        <v>199103.08900000001</v>
      </c>
      <c r="K49" s="8">
        <v>199103.08900000001</v>
      </c>
      <c r="L49" s="8">
        <v>199103.08900000001</v>
      </c>
      <c r="M49" s="8">
        <v>199103.08900000001</v>
      </c>
      <c r="N49" s="8">
        <v>199103.08900000001</v>
      </c>
      <c r="O49" s="8">
        <v>199103.08900000001</v>
      </c>
      <c r="P49" s="8">
        <v>199103.08900000001</v>
      </c>
      <c r="Q49" s="8">
        <v>199103.08900000001</v>
      </c>
    </row>
    <row r="50" spans="1:17" ht="15" x14ac:dyDescent="0.25">
      <c r="A50" s="29"/>
      <c r="B50" s="29"/>
      <c r="C50" s="31"/>
      <c r="E50" s="37"/>
      <c r="F50" s="30"/>
      <c r="G50" s="30"/>
      <c r="H50" s="30"/>
      <c r="I50" s="30"/>
      <c r="J50" s="30"/>
      <c r="K50" s="30"/>
      <c r="L50" s="30"/>
      <c r="M50" s="30"/>
      <c r="N50" s="30"/>
      <c r="P50" s="30"/>
      <c r="Q50" s="30"/>
    </row>
    <row r="51" spans="1:17" ht="15" x14ac:dyDescent="0.25">
      <c r="A51" s="29"/>
      <c r="B51" s="29"/>
      <c r="C51" s="29"/>
      <c r="E51" s="37" t="s">
        <v>62</v>
      </c>
      <c r="F51" s="30">
        <v>33093.048000000003</v>
      </c>
      <c r="G51" s="30">
        <v>33093</v>
      </c>
      <c r="H51" s="30">
        <v>33093.048000000003</v>
      </c>
      <c r="I51" s="30">
        <v>33093.048000000003</v>
      </c>
      <c r="J51" s="30">
        <v>33093.048000000003</v>
      </c>
      <c r="K51" s="30">
        <v>33093.048000000003</v>
      </c>
      <c r="L51" s="30">
        <v>33093.048000000003</v>
      </c>
      <c r="M51" s="30">
        <v>33093.048000000003</v>
      </c>
      <c r="N51" s="30">
        <v>33093.048000000003</v>
      </c>
      <c r="O51" s="32">
        <v>33093.048000000003</v>
      </c>
      <c r="P51" s="30">
        <v>33093.048000000003</v>
      </c>
      <c r="Q51" s="30">
        <v>33093.048000000003</v>
      </c>
    </row>
    <row r="52" spans="1:17" ht="15" x14ac:dyDescent="0.25">
      <c r="A52" s="29"/>
      <c r="B52" s="29"/>
      <c r="C52" s="29"/>
      <c r="E52" s="37" t="s">
        <v>19</v>
      </c>
      <c r="F52" s="30">
        <v>166010.041</v>
      </c>
      <c r="G52" s="30">
        <v>166010</v>
      </c>
      <c r="H52" s="30">
        <v>166010.041</v>
      </c>
      <c r="I52" s="30">
        <v>166010.041</v>
      </c>
      <c r="J52" s="30">
        <v>166010.041</v>
      </c>
      <c r="K52" s="30">
        <v>166010.041</v>
      </c>
      <c r="L52" s="30">
        <v>166010.041</v>
      </c>
      <c r="M52" s="30">
        <v>166010.041</v>
      </c>
      <c r="N52" s="30">
        <v>166010.041</v>
      </c>
      <c r="O52" s="32">
        <v>166010.041</v>
      </c>
      <c r="P52" s="30">
        <v>166010.041</v>
      </c>
      <c r="Q52" s="30">
        <v>166010.041</v>
      </c>
    </row>
    <row r="53" spans="1:17" ht="15" x14ac:dyDescent="0.25">
      <c r="A53" s="29"/>
      <c r="B53" s="29"/>
      <c r="C53" s="29"/>
      <c r="E53" s="37"/>
      <c r="F53" s="30"/>
      <c r="G53" s="30"/>
      <c r="H53" s="30"/>
      <c r="I53" s="30"/>
      <c r="J53" s="30"/>
      <c r="K53" s="30"/>
      <c r="L53" s="30"/>
      <c r="M53" s="30"/>
      <c r="N53" s="30"/>
      <c r="P53" s="30"/>
      <c r="Q53" s="30"/>
    </row>
    <row r="54" spans="1:17" ht="15" x14ac:dyDescent="0.25">
      <c r="A54" s="29"/>
      <c r="B54" s="29"/>
      <c r="C54" s="29"/>
      <c r="E54" s="27">
        <v>2.2999999999999998</v>
      </c>
      <c r="F54" s="8">
        <v>323463.98300000001</v>
      </c>
      <c r="G54" s="8">
        <v>323464</v>
      </c>
      <c r="H54" s="8">
        <v>323463.98300000001</v>
      </c>
      <c r="I54" s="8">
        <v>323463.98300000001</v>
      </c>
      <c r="J54" s="8">
        <v>323463.83</v>
      </c>
      <c r="K54" s="8">
        <v>323463.98300000001</v>
      </c>
      <c r="L54" s="8">
        <v>323463.98300000001</v>
      </c>
      <c r="M54" s="8">
        <v>323463.98300000001</v>
      </c>
      <c r="N54" s="8">
        <v>323463.98300000001</v>
      </c>
      <c r="O54" s="8">
        <v>323463.98300000001</v>
      </c>
      <c r="P54" s="8">
        <v>323463.98300000001</v>
      </c>
      <c r="Q54" s="8">
        <v>323463.98300000001</v>
      </c>
    </row>
    <row r="55" spans="1:17" ht="15" x14ac:dyDescent="0.25">
      <c r="A55" s="29"/>
      <c r="B55" s="29"/>
      <c r="C55" s="29"/>
      <c r="F55" s="30"/>
      <c r="G55" s="30"/>
      <c r="H55" s="30"/>
      <c r="I55" s="30"/>
      <c r="J55" s="30"/>
      <c r="K55" s="30"/>
      <c r="L55" s="30"/>
      <c r="M55" s="30"/>
      <c r="N55" s="30"/>
      <c r="P55" s="30"/>
      <c r="Q55" s="30"/>
    </row>
    <row r="56" spans="1:17" ht="15" x14ac:dyDescent="0.25">
      <c r="A56" s="29"/>
      <c r="B56" s="29"/>
      <c r="C56" s="29"/>
      <c r="E56" s="23" t="s">
        <v>69</v>
      </c>
      <c r="F56" s="30">
        <v>67626.83</v>
      </c>
      <c r="G56" s="30">
        <v>67627</v>
      </c>
      <c r="H56" s="30">
        <v>67626.83</v>
      </c>
      <c r="I56" s="30">
        <v>67626.83</v>
      </c>
      <c r="J56" s="30">
        <v>67626.83</v>
      </c>
      <c r="K56" s="30">
        <v>67626.83</v>
      </c>
      <c r="L56" s="30">
        <v>67626.83</v>
      </c>
      <c r="M56" s="30">
        <v>67626.83</v>
      </c>
      <c r="N56" s="30">
        <v>67626.83</v>
      </c>
      <c r="O56" s="32">
        <v>67626.83</v>
      </c>
      <c r="P56" s="30">
        <v>67626.83</v>
      </c>
      <c r="Q56" s="30">
        <v>67626.83</v>
      </c>
    </row>
    <row r="57" spans="1:17" ht="15" x14ac:dyDescent="0.25">
      <c r="A57" s="29"/>
      <c r="B57" s="29"/>
      <c r="C57" s="29"/>
      <c r="E57" s="23" t="s">
        <v>16</v>
      </c>
      <c r="F57" s="30">
        <v>255837.15299999999</v>
      </c>
      <c r="G57" s="30">
        <v>255837</v>
      </c>
      <c r="H57" s="30">
        <v>255837.15299999999</v>
      </c>
      <c r="I57" s="30">
        <v>255837.15299999999</v>
      </c>
      <c r="J57" s="30">
        <v>255837</v>
      </c>
      <c r="K57" s="30">
        <v>255837.15299999999</v>
      </c>
      <c r="L57" s="30">
        <v>255837.15299999999</v>
      </c>
      <c r="M57" s="30">
        <v>255837.15299999999</v>
      </c>
      <c r="N57" s="30">
        <v>255837.15299999999</v>
      </c>
      <c r="O57" s="32">
        <v>255837.15299999999</v>
      </c>
      <c r="P57" s="30">
        <v>255837.15299999999</v>
      </c>
      <c r="Q57" s="30">
        <v>255837.15299999999</v>
      </c>
    </row>
    <row r="58" spans="1:17" ht="15" x14ac:dyDescent="0.25">
      <c r="A58" s="29"/>
      <c r="B58" s="29"/>
      <c r="C58" s="29"/>
      <c r="F58" s="30"/>
      <c r="G58" s="30"/>
      <c r="H58" s="30"/>
      <c r="I58" s="30"/>
      <c r="J58" s="30"/>
      <c r="K58" s="30"/>
      <c r="L58" s="30"/>
      <c r="M58" s="30"/>
      <c r="N58" s="30"/>
      <c r="P58" s="30"/>
      <c r="Q58" s="30"/>
    </row>
    <row r="59" spans="1:17" ht="15" x14ac:dyDescent="0.25">
      <c r="A59" s="29"/>
      <c r="B59" s="29"/>
      <c r="C59" s="29" t="s">
        <v>187</v>
      </c>
      <c r="D59" s="29"/>
      <c r="E59" s="29"/>
      <c r="F59" s="28">
        <v>50000</v>
      </c>
      <c r="G59" s="28">
        <v>50000</v>
      </c>
      <c r="H59" s="28">
        <v>50000</v>
      </c>
      <c r="I59" s="28">
        <v>50000</v>
      </c>
      <c r="J59" s="28">
        <v>50000</v>
      </c>
      <c r="K59" s="28">
        <v>50000</v>
      </c>
      <c r="L59" s="28">
        <v>50000</v>
      </c>
      <c r="M59" s="28">
        <v>50000</v>
      </c>
      <c r="N59" s="28">
        <v>50000</v>
      </c>
      <c r="O59" s="72">
        <v>50000</v>
      </c>
      <c r="P59" s="28">
        <v>50000</v>
      </c>
      <c r="Q59" s="28">
        <v>50000</v>
      </c>
    </row>
    <row r="60" spans="1:17" ht="15" x14ac:dyDescent="0.25">
      <c r="A60" s="29"/>
      <c r="B60" s="29"/>
      <c r="C60" s="29"/>
      <c r="D60" s="29"/>
      <c r="E60" s="29"/>
      <c r="F60" s="28"/>
      <c r="G60" s="28"/>
      <c r="H60" s="28"/>
      <c r="I60" s="28"/>
      <c r="J60" s="28"/>
      <c r="K60" s="28"/>
      <c r="L60" s="28"/>
      <c r="M60" s="28"/>
      <c r="N60" s="28"/>
      <c r="P60" s="28"/>
      <c r="Q60" s="28"/>
    </row>
    <row r="61" spans="1:17" ht="15" x14ac:dyDescent="0.25">
      <c r="A61" s="29"/>
      <c r="B61" s="29"/>
      <c r="C61" s="29" t="s">
        <v>192</v>
      </c>
      <c r="D61" s="29"/>
      <c r="E61" s="29"/>
      <c r="F61" s="28">
        <v>5389.4709999999995</v>
      </c>
      <c r="G61" s="28">
        <v>5345.1189999999997</v>
      </c>
      <c r="H61" s="28">
        <v>5322.0789999999997</v>
      </c>
      <c r="I61" s="28">
        <v>5388.8130000000001</v>
      </c>
      <c r="J61" s="28">
        <v>5376.9380000000001</v>
      </c>
      <c r="K61" s="28">
        <v>5237.5540000000001</v>
      </c>
      <c r="L61" s="28">
        <v>5216.7929999999997</v>
      </c>
      <c r="M61" s="28">
        <v>5163.6049999999996</v>
      </c>
      <c r="N61" s="28">
        <v>5123.4880000000003</v>
      </c>
      <c r="O61" s="72">
        <v>5081.6260000000002</v>
      </c>
      <c r="P61" s="28">
        <v>5079.7950000000001</v>
      </c>
      <c r="Q61" s="28">
        <v>4945.7960000000003</v>
      </c>
    </row>
    <row r="62" spans="1:17" ht="15" x14ac:dyDescent="0.25">
      <c r="A62" s="29"/>
      <c r="B62" s="29"/>
      <c r="C62" s="29"/>
      <c r="D62" s="29"/>
      <c r="E62" s="29"/>
      <c r="F62" s="28"/>
      <c r="G62" s="28"/>
      <c r="H62" s="28"/>
      <c r="I62" s="28"/>
      <c r="J62" s="28"/>
      <c r="K62" s="28"/>
      <c r="L62" s="28"/>
      <c r="M62" s="28"/>
      <c r="N62" s="28"/>
      <c r="P62" s="28"/>
      <c r="Q62" s="28"/>
    </row>
    <row r="63" spans="1:17" ht="15" x14ac:dyDescent="0.25">
      <c r="A63" s="29"/>
      <c r="B63" s="29"/>
      <c r="C63" s="29" t="s">
        <v>193</v>
      </c>
      <c r="D63" s="29"/>
      <c r="F63" s="8">
        <v>20372</v>
      </c>
      <c r="G63" s="8">
        <v>20290</v>
      </c>
      <c r="H63" s="8">
        <v>20379</v>
      </c>
      <c r="I63" s="8">
        <v>5817.7269999999999</v>
      </c>
      <c r="J63" s="8">
        <v>5979.0659999999998</v>
      </c>
      <c r="K63" s="8">
        <v>6141.5720000000001</v>
      </c>
      <c r="L63" s="8">
        <v>6139.665</v>
      </c>
      <c r="M63" s="8">
        <v>6330.1169999999993</v>
      </c>
      <c r="N63" s="8">
        <v>6138.5810000000001</v>
      </c>
      <c r="O63" s="8">
        <v>6108.1189999999997</v>
      </c>
      <c r="P63" s="8">
        <v>6196.5349999999999</v>
      </c>
      <c r="Q63" s="8">
        <v>6298.393</v>
      </c>
    </row>
    <row r="64" spans="1:17" ht="15" x14ac:dyDescent="0.25">
      <c r="A64" s="29"/>
      <c r="B64" s="29"/>
      <c r="C64" s="29"/>
      <c r="D64" s="29"/>
      <c r="E64" s="29"/>
      <c r="F64" s="28"/>
      <c r="G64" s="28"/>
      <c r="H64" s="28"/>
      <c r="I64" s="28"/>
      <c r="J64" s="28"/>
      <c r="K64" s="28"/>
      <c r="L64" s="28"/>
      <c r="M64" s="28"/>
      <c r="N64" s="28"/>
      <c r="P64" s="28"/>
      <c r="Q64" s="28"/>
    </row>
    <row r="65" spans="1:17" ht="15" x14ac:dyDescent="0.25">
      <c r="A65" s="29"/>
      <c r="B65" s="29"/>
      <c r="C65" s="29"/>
      <c r="D65" s="29"/>
      <c r="E65" s="29" t="s">
        <v>60</v>
      </c>
      <c r="F65" s="28">
        <v>16240</v>
      </c>
      <c r="G65" s="28">
        <v>16280</v>
      </c>
      <c r="H65" s="28">
        <v>16420</v>
      </c>
      <c r="I65" s="28">
        <v>5529.0370000000003</v>
      </c>
      <c r="J65" s="28">
        <v>5683.5540000000001</v>
      </c>
      <c r="K65" s="28">
        <v>5838.0720000000001</v>
      </c>
      <c r="L65" s="28">
        <v>5831.3540000000003</v>
      </c>
      <c r="M65" s="28">
        <v>6012.7439999999997</v>
      </c>
      <c r="N65" s="28">
        <v>5824.6360000000004</v>
      </c>
      <c r="O65" s="28">
        <v>5791.0450000000001</v>
      </c>
      <c r="P65" s="28">
        <v>5878.3810000000003</v>
      </c>
      <c r="Q65" s="28">
        <v>5972.4350000000004</v>
      </c>
    </row>
    <row r="66" spans="1:17" ht="15" x14ac:dyDescent="0.25">
      <c r="A66" s="29"/>
      <c r="B66" s="29"/>
      <c r="C66" s="29"/>
      <c r="D66" s="29"/>
      <c r="E66" s="23" t="s">
        <v>41</v>
      </c>
      <c r="F66" s="30">
        <v>10785</v>
      </c>
      <c r="G66" s="30">
        <v>10811</v>
      </c>
      <c r="H66" s="30">
        <v>10904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23">
        <v>0</v>
      </c>
      <c r="P66" s="30">
        <v>0</v>
      </c>
      <c r="Q66" s="30">
        <v>0</v>
      </c>
    </row>
    <row r="67" spans="1:17" ht="15" x14ac:dyDescent="0.25">
      <c r="A67" s="29"/>
      <c r="B67" s="29"/>
      <c r="C67" s="29"/>
      <c r="D67" s="29"/>
      <c r="E67" s="23" t="s">
        <v>42</v>
      </c>
      <c r="F67" s="30">
        <v>5455</v>
      </c>
      <c r="G67" s="30">
        <v>5469</v>
      </c>
      <c r="H67" s="30">
        <v>5516</v>
      </c>
      <c r="I67" s="30">
        <v>5529.0370000000003</v>
      </c>
      <c r="J67" s="30">
        <v>5683.5540000000001</v>
      </c>
      <c r="K67" s="30">
        <v>5838.0720000000001</v>
      </c>
      <c r="L67" s="30">
        <v>5831.3540000000003</v>
      </c>
      <c r="M67" s="30">
        <v>6012.7439999999997</v>
      </c>
      <c r="N67" s="30">
        <v>5824.6360000000004</v>
      </c>
      <c r="O67" s="32">
        <v>5791.0450000000001</v>
      </c>
      <c r="P67" s="30">
        <v>5878.3810000000003</v>
      </c>
      <c r="Q67" s="30">
        <v>5972.4350000000004</v>
      </c>
    </row>
    <row r="68" spans="1:17" ht="15" x14ac:dyDescent="0.25">
      <c r="A68" s="29"/>
      <c r="B68" s="29"/>
      <c r="C68" s="29"/>
      <c r="D68" s="29"/>
      <c r="E68" s="29"/>
      <c r="F68" s="28"/>
      <c r="G68" s="28"/>
      <c r="H68" s="28"/>
      <c r="I68" s="30"/>
      <c r="J68" s="30"/>
      <c r="K68" s="30"/>
      <c r="L68" s="30"/>
      <c r="M68" s="30"/>
      <c r="N68" s="30"/>
      <c r="P68" s="30"/>
      <c r="Q68" s="30"/>
    </row>
    <row r="69" spans="1:17" ht="15" x14ac:dyDescent="0.25">
      <c r="A69" s="29"/>
      <c r="B69" s="29"/>
      <c r="C69" s="29"/>
      <c r="D69" s="29"/>
      <c r="E69" s="29" t="s">
        <v>61</v>
      </c>
      <c r="F69" s="28">
        <v>4132</v>
      </c>
      <c r="G69" s="28">
        <v>4010</v>
      </c>
      <c r="H69" s="28">
        <v>3959</v>
      </c>
      <c r="I69" s="28">
        <v>288.69</v>
      </c>
      <c r="J69" s="28">
        <v>295.512</v>
      </c>
      <c r="K69" s="28">
        <v>303.5</v>
      </c>
      <c r="L69" s="28">
        <v>308.31099999999998</v>
      </c>
      <c r="M69" s="28">
        <v>317.37299999999999</v>
      </c>
      <c r="N69" s="28">
        <v>313.94499999999999</v>
      </c>
      <c r="O69" s="28">
        <v>317.07400000000001</v>
      </c>
      <c r="P69" s="28">
        <v>318.154</v>
      </c>
      <c r="Q69" s="28">
        <v>325.95800000000003</v>
      </c>
    </row>
    <row r="70" spans="1:17" ht="15" x14ac:dyDescent="0.25">
      <c r="A70" s="29"/>
      <c r="B70" s="29"/>
      <c r="C70" s="29"/>
      <c r="D70" s="29"/>
      <c r="E70" s="23" t="s">
        <v>41</v>
      </c>
      <c r="F70" s="30">
        <v>3837</v>
      </c>
      <c r="G70" s="30">
        <v>3724</v>
      </c>
      <c r="H70" s="30">
        <v>3676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23">
        <v>0</v>
      </c>
      <c r="P70" s="30">
        <v>0</v>
      </c>
      <c r="Q70" s="30">
        <v>0</v>
      </c>
    </row>
    <row r="71" spans="1:17" ht="15" x14ac:dyDescent="0.25">
      <c r="A71" s="29"/>
      <c r="B71" s="29"/>
      <c r="C71" s="29"/>
      <c r="D71" s="29"/>
      <c r="E71" s="23" t="s">
        <v>42</v>
      </c>
      <c r="F71" s="30">
        <v>295</v>
      </c>
      <c r="G71" s="30">
        <v>286</v>
      </c>
      <c r="H71" s="30">
        <v>283</v>
      </c>
      <c r="I71" s="30">
        <v>288.69</v>
      </c>
      <c r="J71" s="30">
        <v>295.512</v>
      </c>
      <c r="K71" s="30">
        <v>303.5</v>
      </c>
      <c r="L71" s="30">
        <v>308.31099999999998</v>
      </c>
      <c r="M71" s="30">
        <v>317.37299999999999</v>
      </c>
      <c r="N71" s="30">
        <v>313.94499999999999</v>
      </c>
      <c r="O71" s="30">
        <v>317.07400000000001</v>
      </c>
      <c r="P71" s="30">
        <v>318.154</v>
      </c>
      <c r="Q71" s="30">
        <v>325.95800000000003</v>
      </c>
    </row>
    <row r="72" spans="1:17" ht="15" x14ac:dyDescent="0.25">
      <c r="A72" s="29"/>
      <c r="B72" s="29"/>
      <c r="C72" s="29"/>
      <c r="D72" s="29"/>
      <c r="E72" s="29"/>
      <c r="F72" s="28"/>
      <c r="G72" s="28"/>
      <c r="H72" s="28"/>
      <c r="I72" s="28"/>
      <c r="J72" s="28"/>
      <c r="K72" s="28"/>
      <c r="L72" s="28"/>
      <c r="M72" s="28"/>
      <c r="N72" s="28"/>
      <c r="P72" s="28"/>
      <c r="Q72" s="28"/>
    </row>
    <row r="73" spans="1:17" ht="15" x14ac:dyDescent="0.25">
      <c r="A73" s="29"/>
      <c r="B73" s="29"/>
      <c r="C73" s="29" t="s">
        <v>194</v>
      </c>
      <c r="D73" s="29"/>
      <c r="E73" s="29"/>
      <c r="F73" s="28">
        <v>20300</v>
      </c>
      <c r="G73" s="28">
        <v>20350</v>
      </c>
      <c r="H73" s="28">
        <v>20525</v>
      </c>
      <c r="I73" s="28">
        <v>20575</v>
      </c>
      <c r="J73" s="28">
        <v>21150</v>
      </c>
      <c r="K73" s="28">
        <v>21725</v>
      </c>
      <c r="L73" s="28">
        <v>21700</v>
      </c>
      <c r="M73" s="28">
        <v>22375</v>
      </c>
      <c r="N73" s="28">
        <v>21675</v>
      </c>
      <c r="O73" s="28">
        <v>21550</v>
      </c>
      <c r="P73" s="28">
        <v>21875</v>
      </c>
      <c r="Q73" s="28">
        <v>22225</v>
      </c>
    </row>
    <row r="74" spans="1:17" ht="15" x14ac:dyDescent="0.25">
      <c r="A74" s="29"/>
      <c r="B74" s="29"/>
      <c r="C74" s="31"/>
      <c r="D74" s="29"/>
      <c r="E74" s="23" t="s">
        <v>75</v>
      </c>
      <c r="F74" s="30">
        <v>20300</v>
      </c>
      <c r="G74" s="30">
        <v>20350</v>
      </c>
      <c r="H74" s="30">
        <v>20525</v>
      </c>
      <c r="I74" s="30">
        <v>20575</v>
      </c>
      <c r="J74" s="30">
        <v>21150</v>
      </c>
      <c r="K74" s="30">
        <v>21725</v>
      </c>
      <c r="L74" s="30">
        <v>21700</v>
      </c>
      <c r="M74" s="30">
        <v>22375</v>
      </c>
      <c r="N74" s="28">
        <v>21675</v>
      </c>
      <c r="O74" s="32">
        <v>21550</v>
      </c>
      <c r="P74" s="28">
        <v>21875</v>
      </c>
      <c r="Q74" s="28">
        <v>22225</v>
      </c>
    </row>
    <row r="75" spans="1:17" ht="15" x14ac:dyDescent="0.25">
      <c r="A75" s="29"/>
      <c r="B75" s="29"/>
      <c r="C75" s="31"/>
      <c r="D75" s="29"/>
      <c r="F75" s="30"/>
      <c r="G75" s="28"/>
      <c r="H75" s="28"/>
      <c r="I75" s="28"/>
      <c r="J75" s="28"/>
      <c r="K75" s="28"/>
      <c r="L75" s="28"/>
      <c r="M75" s="28"/>
      <c r="N75" s="28"/>
      <c r="P75" s="28"/>
      <c r="Q75" s="28"/>
    </row>
    <row r="76" spans="1:17" ht="15" x14ac:dyDescent="0.25">
      <c r="A76" s="29" t="s">
        <v>49</v>
      </c>
      <c r="B76" s="29"/>
      <c r="C76" s="29"/>
      <c r="D76" s="29"/>
      <c r="E76" s="29"/>
      <c r="F76" s="28">
        <v>68820</v>
      </c>
      <c r="G76" s="28">
        <v>68820</v>
      </c>
      <c r="H76" s="28">
        <v>68820</v>
      </c>
      <c r="I76" s="28">
        <v>68820</v>
      </c>
      <c r="J76" s="28">
        <v>68820</v>
      </c>
      <c r="K76" s="28">
        <v>68820</v>
      </c>
      <c r="L76" s="28">
        <v>68820</v>
      </c>
      <c r="M76" s="28">
        <v>68820</v>
      </c>
      <c r="N76" s="28">
        <v>68820</v>
      </c>
      <c r="O76" s="72">
        <v>68820</v>
      </c>
      <c r="P76" s="28">
        <v>56820</v>
      </c>
      <c r="Q76" s="28">
        <v>56820</v>
      </c>
    </row>
    <row r="77" spans="1:17" x14ac:dyDescent="0.2">
      <c r="F77" s="32"/>
      <c r="G77" s="33"/>
      <c r="H77" s="32"/>
      <c r="I77" s="32"/>
      <c r="J77" s="32"/>
      <c r="K77" s="32"/>
      <c r="L77" s="32"/>
      <c r="M77" s="32"/>
      <c r="N77" s="32"/>
      <c r="O77" s="32"/>
      <c r="P77" s="32"/>
    </row>
    <row r="78" spans="1:17" ht="15" x14ac:dyDescent="0.25">
      <c r="A78" s="29"/>
      <c r="B78" s="65"/>
      <c r="C78" s="65"/>
      <c r="D78" s="65"/>
      <c r="E78" s="67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</row>
    <row r="79" spans="1:17" x14ac:dyDescent="0.2">
      <c r="A79" s="34"/>
      <c r="B79" s="35" t="s">
        <v>21</v>
      </c>
      <c r="C79" s="35"/>
      <c r="D79" s="35"/>
      <c r="E79" s="35"/>
      <c r="F79" s="35"/>
      <c r="G79" s="37"/>
    </row>
    <row r="81" spans="1:5" x14ac:dyDescent="0.2">
      <c r="A81" s="35"/>
      <c r="B81" s="35"/>
      <c r="C81" s="35"/>
    </row>
    <row r="82" spans="1:5" x14ac:dyDescent="0.2">
      <c r="A82" s="36"/>
      <c r="B82" s="35"/>
      <c r="C82" s="35"/>
    </row>
    <row r="84" spans="1:5" x14ac:dyDescent="0.2">
      <c r="E84" s="57" t="s">
        <v>71</v>
      </c>
    </row>
  </sheetData>
  <mergeCells count="4">
    <mergeCell ref="A5:E5"/>
    <mergeCell ref="A1:Q1"/>
    <mergeCell ref="B2:Q2"/>
    <mergeCell ref="A3:Q3"/>
  </mergeCells>
  <printOptions horizontalCentered="1"/>
  <pageMargins left="0" right="0" top="0.60236220500000004" bottom="9.0551180999999994E-2" header="0.511811023622047" footer="0.75"/>
  <pageSetup paperSize="9"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93"/>
  <sheetViews>
    <sheetView zoomScaleNormal="100" zoomScaleSheetLayoutView="85" workbookViewId="0">
      <pane ySplit="1" topLeftCell="A2" activePane="bottomLeft" state="frozen"/>
      <selection activeCell="X65" sqref="X65"/>
      <selection pane="bottomLeft" activeCell="E85" sqref="E85"/>
    </sheetView>
  </sheetViews>
  <sheetFormatPr defaultColWidth="9.14062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9.140625" style="23" customWidth="1"/>
    <col min="6" max="8" width="11" style="23" bestFit="1" customWidth="1"/>
    <col min="9" max="9" width="10.7109375" style="23" bestFit="1" customWidth="1"/>
    <col min="10" max="11" width="11" style="23" bestFit="1" customWidth="1"/>
    <col min="12" max="12" width="10.42578125" style="23" customWidth="1"/>
    <col min="13" max="13" width="10.7109375" style="23" bestFit="1" customWidth="1"/>
    <col min="14" max="15" width="11" style="23" bestFit="1" customWidth="1"/>
    <col min="16" max="16" width="11" style="23" customWidth="1"/>
    <col min="17" max="17" width="11" style="23" bestFit="1" customWidth="1"/>
    <col min="18" max="18" width="13.42578125" style="23" customWidth="1"/>
    <col min="19" max="19" width="38.85546875" style="23" customWidth="1"/>
    <col min="20" max="16384" width="9.140625" style="23"/>
  </cols>
  <sheetData>
    <row r="1" spans="1:19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9" ht="15" x14ac:dyDescent="0.25">
      <c r="A2" s="96" t="s">
        <v>195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9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9" ht="7.5" customHeight="1" x14ac:dyDescent="0.2">
      <c r="A5" s="100" t="s">
        <v>17</v>
      </c>
      <c r="B5" s="101"/>
      <c r="C5" s="101"/>
      <c r="D5" s="101"/>
      <c r="E5" s="101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9" ht="15" thickBot="1" x14ac:dyDescent="0.25">
      <c r="A6" s="102"/>
      <c r="B6" s="103"/>
      <c r="C6" s="103"/>
      <c r="D6" s="103"/>
      <c r="E6" s="103"/>
      <c r="F6" s="75" t="s">
        <v>0</v>
      </c>
      <c r="G6" s="75" t="s">
        <v>1</v>
      </c>
      <c r="H6" s="75" t="s">
        <v>2</v>
      </c>
      <c r="I6" s="75" t="s">
        <v>3</v>
      </c>
      <c r="J6" s="75" t="s">
        <v>4</v>
      </c>
      <c r="K6" s="75" t="s">
        <v>18</v>
      </c>
      <c r="L6" s="75" t="s">
        <v>5</v>
      </c>
      <c r="M6" s="75" t="s">
        <v>6</v>
      </c>
      <c r="N6" s="75" t="s">
        <v>10</v>
      </c>
      <c r="O6" s="75" t="s">
        <v>7</v>
      </c>
      <c r="P6" s="75" t="s">
        <v>8</v>
      </c>
      <c r="Q6" s="76" t="s">
        <v>9</v>
      </c>
    </row>
    <row r="7" spans="1:19" ht="15" thickTop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9" ht="15" x14ac:dyDescent="0.25">
      <c r="A8" s="27" t="s">
        <v>97</v>
      </c>
      <c r="B8" s="27"/>
      <c r="C8" s="27"/>
      <c r="D8" s="27"/>
      <c r="E8" s="27"/>
      <c r="F8" s="6">
        <v>2957733.0470000003</v>
      </c>
      <c r="G8" s="6">
        <v>2907363.2430000002</v>
      </c>
      <c r="H8" s="6">
        <v>3095392.5490000001</v>
      </c>
      <c r="I8" s="6">
        <v>3099150.2779999999</v>
      </c>
      <c r="J8" s="6">
        <v>3115168.6290000002</v>
      </c>
      <c r="K8" s="6">
        <v>3127424.8880000003</v>
      </c>
      <c r="L8" s="6">
        <v>3194670.5424999995</v>
      </c>
      <c r="M8" s="6">
        <v>3212907.0549999997</v>
      </c>
      <c r="N8" s="6">
        <v>3262228.6830000002</v>
      </c>
      <c r="O8" s="6">
        <v>3450513.8360000001</v>
      </c>
      <c r="P8" s="6">
        <v>3472443.0050000004</v>
      </c>
      <c r="Q8" s="6">
        <v>3534744.0270000002</v>
      </c>
      <c r="R8" s="6"/>
      <c r="S8" s="6"/>
    </row>
    <row r="9" spans="1:19" ht="15" x14ac:dyDescent="0.25">
      <c r="A9" s="22"/>
      <c r="B9" s="22"/>
      <c r="C9" s="22"/>
      <c r="D9" s="22"/>
      <c r="E9" s="2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9" ht="15" x14ac:dyDescent="0.25">
      <c r="B10" s="27" t="s">
        <v>51</v>
      </c>
      <c r="C10" s="27"/>
      <c r="D10" s="27"/>
      <c r="E10" s="27"/>
      <c r="F10" s="8">
        <v>2874907.8050000002</v>
      </c>
      <c r="G10" s="8">
        <v>2824538.29</v>
      </c>
      <c r="H10" s="8">
        <v>3012569.1680000001</v>
      </c>
      <c r="I10" s="8">
        <v>3016327.5729999999</v>
      </c>
      <c r="J10" s="8">
        <v>3035347.29</v>
      </c>
      <c r="K10" s="8">
        <v>3047603.7690000003</v>
      </c>
      <c r="L10" s="8">
        <v>3114850.0324999997</v>
      </c>
      <c r="M10" s="8">
        <v>3133087.0469999998</v>
      </c>
      <c r="N10" s="8">
        <v>3182408.6750000003</v>
      </c>
      <c r="O10" s="8">
        <v>3370693.8280000002</v>
      </c>
      <c r="P10" s="8">
        <v>3403623.0050000004</v>
      </c>
      <c r="Q10" s="8">
        <v>3465924.0270000002</v>
      </c>
      <c r="R10" s="8"/>
    </row>
    <row r="11" spans="1:19" ht="15" x14ac:dyDescent="0.25">
      <c r="B11" s="27"/>
      <c r="C11" s="27" t="s">
        <v>24</v>
      </c>
      <c r="D11" s="27"/>
      <c r="E11" s="27" t="s">
        <v>55</v>
      </c>
      <c r="F11" s="8">
        <v>1347482.9750000001</v>
      </c>
      <c r="G11" s="8">
        <v>1385547.5249999999</v>
      </c>
      <c r="H11" s="8">
        <v>1393853.325</v>
      </c>
      <c r="I11" s="8">
        <v>1397936.267</v>
      </c>
      <c r="J11" s="8">
        <v>1416666.4180000001</v>
      </c>
      <c r="K11" s="8">
        <v>1429575.068</v>
      </c>
      <c r="L11" s="8">
        <v>1497113.2679999999</v>
      </c>
      <c r="M11" s="8">
        <v>1541005.889</v>
      </c>
      <c r="N11" s="8">
        <v>1630412.189</v>
      </c>
      <c r="O11" s="8">
        <v>1631070.531</v>
      </c>
      <c r="P11" s="8">
        <v>1664178.2110000001</v>
      </c>
      <c r="Q11" s="8">
        <v>1705884.8110000002</v>
      </c>
    </row>
    <row r="12" spans="1:19" ht="15" x14ac:dyDescent="0.25">
      <c r="B12" s="29"/>
      <c r="C12" s="29"/>
      <c r="D12" s="29" t="s">
        <v>52</v>
      </c>
      <c r="E12" s="29"/>
      <c r="F12" s="8">
        <v>271913.3</v>
      </c>
      <c r="G12" s="8">
        <v>268644.3</v>
      </c>
      <c r="H12" s="8">
        <v>267564</v>
      </c>
      <c r="I12" s="8">
        <v>257790.3</v>
      </c>
      <c r="J12" s="8">
        <v>260840.3</v>
      </c>
      <c r="K12" s="8">
        <v>254994</v>
      </c>
      <c r="L12" s="8">
        <v>258594.3</v>
      </c>
      <c r="M12" s="8">
        <v>257113</v>
      </c>
      <c r="N12" s="8">
        <v>261778.3</v>
      </c>
      <c r="O12" s="8">
        <v>262778</v>
      </c>
      <c r="P12" s="8">
        <v>272488.3</v>
      </c>
      <c r="Q12" s="8">
        <v>274866.3</v>
      </c>
    </row>
    <row r="13" spans="1:19" ht="15" x14ac:dyDescent="0.25">
      <c r="A13" s="29"/>
      <c r="B13" s="29"/>
      <c r="C13" s="29"/>
      <c r="D13" s="29"/>
      <c r="E13" s="2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9" x14ac:dyDescent="0.2">
      <c r="E14" s="23" t="s">
        <v>12</v>
      </c>
      <c r="F14" s="30">
        <v>75460</v>
      </c>
      <c r="G14" s="30">
        <v>75660</v>
      </c>
      <c r="H14" s="30">
        <v>78030</v>
      </c>
      <c r="I14" s="30">
        <v>75570</v>
      </c>
      <c r="J14" s="30">
        <v>73370</v>
      </c>
      <c r="K14" s="30">
        <v>69000</v>
      </c>
      <c r="L14" s="30">
        <v>69000</v>
      </c>
      <c r="M14" s="30">
        <v>69000</v>
      </c>
      <c r="N14" s="30">
        <v>71000</v>
      </c>
      <c r="O14" s="30">
        <v>71000</v>
      </c>
      <c r="P14" s="30">
        <v>71000</v>
      </c>
      <c r="Q14" s="30">
        <v>70000</v>
      </c>
    </row>
    <row r="15" spans="1:19" x14ac:dyDescent="0.2">
      <c r="E15" s="23" t="s">
        <v>44</v>
      </c>
      <c r="F15" s="30">
        <v>79900</v>
      </c>
      <c r="G15" s="30">
        <v>79431</v>
      </c>
      <c r="H15" s="30">
        <v>77466</v>
      </c>
      <c r="I15" s="30">
        <v>79466</v>
      </c>
      <c r="J15" s="30">
        <v>79316</v>
      </c>
      <c r="K15" s="30">
        <v>80366</v>
      </c>
      <c r="L15" s="30">
        <v>80766</v>
      </c>
      <c r="M15" s="30">
        <v>79685</v>
      </c>
      <c r="N15" s="30">
        <v>82450</v>
      </c>
      <c r="O15" s="30">
        <v>83450</v>
      </c>
      <c r="P15" s="30">
        <v>85160</v>
      </c>
      <c r="Q15" s="30">
        <v>84538</v>
      </c>
    </row>
    <row r="16" spans="1:19" x14ac:dyDescent="0.2">
      <c r="E16" s="23" t="s">
        <v>45</v>
      </c>
      <c r="F16" s="30">
        <v>116553.3</v>
      </c>
      <c r="G16" s="30">
        <v>113553.3</v>
      </c>
      <c r="H16" s="30">
        <v>112068</v>
      </c>
      <c r="I16" s="30">
        <v>102754.3</v>
      </c>
      <c r="J16" s="30">
        <v>108154.3</v>
      </c>
      <c r="K16" s="30">
        <v>105628</v>
      </c>
      <c r="L16" s="30">
        <v>108828.3</v>
      </c>
      <c r="M16" s="30">
        <v>108428</v>
      </c>
      <c r="N16" s="30">
        <v>108328.3</v>
      </c>
      <c r="O16" s="30">
        <v>108328</v>
      </c>
      <c r="P16" s="30">
        <v>116328.3</v>
      </c>
      <c r="Q16" s="30">
        <v>120328.3</v>
      </c>
    </row>
    <row r="17" spans="1:19" x14ac:dyDescent="0.2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9" ht="15" x14ac:dyDescent="0.25">
      <c r="B18" s="29"/>
      <c r="C18" s="29"/>
      <c r="D18" s="29" t="s">
        <v>50</v>
      </c>
      <c r="E18" s="29"/>
      <c r="F18" s="8">
        <v>1075569.675</v>
      </c>
      <c r="G18" s="8">
        <v>1116903.2249999999</v>
      </c>
      <c r="H18" s="8">
        <v>1126289.325</v>
      </c>
      <c r="I18" s="8">
        <v>1140145.9669999999</v>
      </c>
      <c r="J18" s="8">
        <v>1155826.118</v>
      </c>
      <c r="K18" s="8">
        <v>1174581.068</v>
      </c>
      <c r="L18" s="8">
        <v>1238518.9679999999</v>
      </c>
      <c r="M18" s="8">
        <v>1283892.889</v>
      </c>
      <c r="N18" s="8">
        <v>1368633.889</v>
      </c>
      <c r="O18" s="8">
        <v>1368292.531</v>
      </c>
      <c r="P18" s="8">
        <v>1391689.9110000001</v>
      </c>
      <c r="Q18" s="8">
        <v>1431018.5110000002</v>
      </c>
    </row>
    <row r="19" spans="1:19" x14ac:dyDescent="0.2">
      <c r="E19" s="23" t="s">
        <v>22</v>
      </c>
      <c r="F19" s="30">
        <v>95302.781000000003</v>
      </c>
      <c r="G19" s="30">
        <v>95302.781000000003</v>
      </c>
      <c r="H19" s="30">
        <v>95302.781000000003</v>
      </c>
      <c r="I19" s="30">
        <v>95302.78</v>
      </c>
      <c r="J19" s="30">
        <v>95302.781000000003</v>
      </c>
      <c r="K19" s="30">
        <v>95302.781000000003</v>
      </c>
      <c r="L19" s="30">
        <v>95302.781000000003</v>
      </c>
      <c r="M19" s="30">
        <v>95302.781000000003</v>
      </c>
      <c r="N19" s="30">
        <v>95302.781000000003</v>
      </c>
      <c r="O19" s="30">
        <v>95302.781000000003</v>
      </c>
      <c r="P19" s="30">
        <v>95302.781000000003</v>
      </c>
      <c r="Q19" s="30">
        <v>95302.781000000003</v>
      </c>
    </row>
    <row r="20" spans="1:19" x14ac:dyDescent="0.2">
      <c r="E20" s="23" t="s">
        <v>23</v>
      </c>
      <c r="F20" s="30">
        <v>9000</v>
      </c>
      <c r="G20" s="30">
        <v>9000</v>
      </c>
      <c r="H20" s="30">
        <v>9000</v>
      </c>
      <c r="I20" s="30">
        <v>9000</v>
      </c>
      <c r="J20" s="30">
        <v>9000</v>
      </c>
      <c r="K20" s="30">
        <v>9000</v>
      </c>
      <c r="L20" s="30">
        <v>9000</v>
      </c>
      <c r="M20" s="30">
        <v>9000</v>
      </c>
      <c r="N20" s="30">
        <v>9000</v>
      </c>
      <c r="O20" s="30">
        <v>9000</v>
      </c>
      <c r="P20" s="30">
        <v>9000</v>
      </c>
      <c r="Q20" s="30">
        <v>9000</v>
      </c>
    </row>
    <row r="21" spans="1:19" x14ac:dyDescent="0.2">
      <c r="E21" s="23" t="s">
        <v>14</v>
      </c>
      <c r="F21" s="30">
        <v>50219.163</v>
      </c>
      <c r="G21" s="30">
        <v>50219.163</v>
      </c>
      <c r="H21" s="30">
        <v>50219.163</v>
      </c>
      <c r="I21" s="30">
        <v>50219.163</v>
      </c>
      <c r="J21" s="30">
        <v>50219.163</v>
      </c>
      <c r="K21" s="30">
        <v>50219.163</v>
      </c>
      <c r="L21" s="30">
        <v>69335.562999999995</v>
      </c>
      <c r="M21" s="30">
        <v>91513.862999999998</v>
      </c>
      <c r="N21" s="30">
        <v>103206.163</v>
      </c>
      <c r="O21" s="30">
        <v>103422.06299999999</v>
      </c>
      <c r="P21" s="30">
        <v>112456.663</v>
      </c>
      <c r="Q21" s="30">
        <v>112456.663</v>
      </c>
    </row>
    <row r="22" spans="1:19" x14ac:dyDescent="0.2">
      <c r="E22" s="23" t="s">
        <v>15</v>
      </c>
      <c r="F22" s="30">
        <v>216484.96</v>
      </c>
      <c r="G22" s="30">
        <v>228337.56</v>
      </c>
      <c r="H22" s="30">
        <v>228723.66</v>
      </c>
      <c r="I22" s="30">
        <v>247012.19899999999</v>
      </c>
      <c r="J22" s="30">
        <v>253692.299</v>
      </c>
      <c r="K22" s="30">
        <v>264776.89899999998</v>
      </c>
      <c r="L22" s="30">
        <v>305018.39899999998</v>
      </c>
      <c r="M22" s="30">
        <v>300317.42</v>
      </c>
      <c r="N22" s="30">
        <v>310361.42</v>
      </c>
      <c r="O22" s="30">
        <v>310361.42</v>
      </c>
      <c r="P22" s="30">
        <v>318515.99</v>
      </c>
      <c r="Q22" s="30">
        <v>318515.99</v>
      </c>
    </row>
    <row r="23" spans="1:19" x14ac:dyDescent="0.2">
      <c r="E23" s="23" t="s">
        <v>20</v>
      </c>
      <c r="F23" s="30">
        <v>329652.87099999998</v>
      </c>
      <c r="G23" s="30">
        <v>333360.071</v>
      </c>
      <c r="H23" s="30">
        <v>342360.071</v>
      </c>
      <c r="I23" s="30">
        <v>337928.17499999999</v>
      </c>
      <c r="J23" s="30">
        <v>346928.17499999999</v>
      </c>
      <c r="K23" s="30">
        <v>346928.17499999999</v>
      </c>
      <c r="L23" s="30">
        <v>346928.17499999999</v>
      </c>
      <c r="M23" s="30">
        <v>365567.27500000002</v>
      </c>
      <c r="N23" s="30">
        <v>403506.67499999999</v>
      </c>
      <c r="O23" s="30">
        <v>402368.527</v>
      </c>
      <c r="P23" s="30">
        <v>402413.32699999999</v>
      </c>
      <c r="Q23" s="30">
        <v>441741.92700000003</v>
      </c>
    </row>
    <row r="24" spans="1:19" x14ac:dyDescent="0.2">
      <c r="E24" s="23" t="s">
        <v>46</v>
      </c>
      <c r="F24" s="30">
        <v>164815.41</v>
      </c>
      <c r="G24" s="30">
        <v>190589.21</v>
      </c>
      <c r="H24" s="30">
        <v>190589.21</v>
      </c>
      <c r="I24" s="30">
        <v>190589.21</v>
      </c>
      <c r="J24" s="30">
        <v>190589.21</v>
      </c>
      <c r="K24" s="30">
        <v>198259.61</v>
      </c>
      <c r="L24" s="30">
        <v>202839.61</v>
      </c>
      <c r="M24" s="30">
        <v>202839.61</v>
      </c>
      <c r="N24" s="30">
        <v>222738.11</v>
      </c>
      <c r="O24" s="30">
        <v>223319</v>
      </c>
      <c r="P24" s="30">
        <v>223319.31</v>
      </c>
      <c r="Q24" s="30">
        <v>223319.31</v>
      </c>
    </row>
    <row r="25" spans="1:19" x14ac:dyDescent="0.2">
      <c r="E25" s="23" t="s">
        <v>47</v>
      </c>
      <c r="F25" s="30">
        <v>209997.44</v>
      </c>
      <c r="G25" s="30">
        <v>209997.44</v>
      </c>
      <c r="H25" s="30">
        <v>209997.44</v>
      </c>
      <c r="I25" s="30">
        <v>209997.44</v>
      </c>
      <c r="J25" s="30">
        <v>209997.44</v>
      </c>
      <c r="K25" s="30">
        <v>209997.44</v>
      </c>
      <c r="L25" s="30">
        <v>209997.44</v>
      </c>
      <c r="M25" s="30">
        <v>219254.94</v>
      </c>
      <c r="N25" s="30">
        <v>224421.74</v>
      </c>
      <c r="O25" s="30">
        <v>224421.74</v>
      </c>
      <c r="P25" s="30">
        <v>230584.84</v>
      </c>
      <c r="Q25" s="30">
        <v>230584.84</v>
      </c>
    </row>
    <row r="26" spans="1:19" x14ac:dyDescent="0.2">
      <c r="E26" s="23" t="s">
        <v>53</v>
      </c>
      <c r="F26" s="30">
        <v>97.05</v>
      </c>
      <c r="G26" s="30">
        <v>97</v>
      </c>
      <c r="H26" s="30">
        <v>97</v>
      </c>
      <c r="I26" s="30">
        <v>97</v>
      </c>
      <c r="J26" s="30">
        <v>97.05</v>
      </c>
      <c r="K26" s="30">
        <v>97</v>
      </c>
      <c r="L26" s="30">
        <v>97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8" spans="1:19" ht="15" x14ac:dyDescent="0.25">
      <c r="B28" s="29"/>
      <c r="C28" s="29" t="s">
        <v>147</v>
      </c>
      <c r="D28" s="29"/>
      <c r="E28" s="29"/>
      <c r="F28" s="8">
        <v>1527424.83</v>
      </c>
      <c r="G28" s="8">
        <v>1438990.7649999999</v>
      </c>
      <c r="H28" s="8">
        <v>1618715.8430000001</v>
      </c>
      <c r="I28" s="8">
        <v>1618391.3060000001</v>
      </c>
      <c r="J28" s="8">
        <v>1618680.872</v>
      </c>
      <c r="K28" s="8">
        <v>1618028.7010000001</v>
      </c>
      <c r="L28" s="8">
        <v>1617736.7645</v>
      </c>
      <c r="M28" s="8">
        <v>1592081.1579999998</v>
      </c>
      <c r="N28" s="8">
        <v>1551996.4860000003</v>
      </c>
      <c r="O28" s="8">
        <v>1739623.2970000003</v>
      </c>
      <c r="P28" s="8">
        <v>1739444.7940000002</v>
      </c>
      <c r="Q28" s="8">
        <v>1760039.216</v>
      </c>
      <c r="R28" s="8"/>
      <c r="S28" s="8"/>
    </row>
    <row r="29" spans="1:19" ht="15" x14ac:dyDescent="0.25">
      <c r="B29" s="29"/>
      <c r="C29" s="29"/>
      <c r="D29" s="29" t="s">
        <v>34</v>
      </c>
      <c r="E29" s="29"/>
      <c r="F29" s="8">
        <v>435844.22899999993</v>
      </c>
      <c r="G29" s="8">
        <v>435844.22899999993</v>
      </c>
      <c r="H29" s="8">
        <v>615640.44900000002</v>
      </c>
      <c r="I29" s="8">
        <v>615640.44900000002</v>
      </c>
      <c r="J29" s="8">
        <v>615640.44900000002</v>
      </c>
      <c r="K29" s="8">
        <v>615640.38899999997</v>
      </c>
      <c r="L29" s="8">
        <v>615640.45149999997</v>
      </c>
      <c r="M29" s="8">
        <v>589780.03499999992</v>
      </c>
      <c r="N29" s="8">
        <v>557923.99</v>
      </c>
      <c r="O29" s="8">
        <v>745923.99</v>
      </c>
      <c r="P29" s="8">
        <v>745923.99</v>
      </c>
      <c r="Q29" s="8">
        <v>745923.99</v>
      </c>
      <c r="R29" s="32"/>
      <c r="S29" s="8"/>
    </row>
    <row r="30" spans="1:19" ht="15" x14ac:dyDescent="0.25">
      <c r="A30" s="29"/>
      <c r="B30" s="29"/>
      <c r="C30" s="29"/>
      <c r="D30" s="29"/>
      <c r="E30" s="27">
        <v>2.1</v>
      </c>
      <c r="F30" s="28">
        <v>325747.20899999997</v>
      </c>
      <c r="G30" s="28">
        <v>325747.20899999997</v>
      </c>
      <c r="H30" s="28">
        <v>325747.20899999997</v>
      </c>
      <c r="I30" s="28">
        <v>325747.20899999997</v>
      </c>
      <c r="J30" s="28">
        <v>325747.20899999997</v>
      </c>
      <c r="K30" s="28">
        <v>325747.14899999998</v>
      </c>
      <c r="L30" s="28">
        <v>325747.21149999998</v>
      </c>
      <c r="M30" s="28">
        <v>299886.79499999998</v>
      </c>
      <c r="N30" s="28">
        <v>268030.75</v>
      </c>
      <c r="O30" s="28">
        <v>268030.75</v>
      </c>
      <c r="P30" s="28">
        <v>268030.75</v>
      </c>
      <c r="Q30" s="28">
        <v>268030.75</v>
      </c>
      <c r="S30" s="28"/>
    </row>
    <row r="31" spans="1:19" ht="15" x14ac:dyDescent="0.25">
      <c r="E31" s="37" t="s">
        <v>68</v>
      </c>
      <c r="F31" s="30">
        <v>31856.044999999998</v>
      </c>
      <c r="G31" s="30">
        <v>31856.044999999998</v>
      </c>
      <c r="H31" s="30">
        <v>31856.044999999998</v>
      </c>
      <c r="I31" s="30">
        <v>31856.044999999998</v>
      </c>
      <c r="J31" s="30">
        <v>31856.044999999998</v>
      </c>
      <c r="K31" s="30">
        <v>31856.044999999998</v>
      </c>
      <c r="L31" s="30">
        <v>31856.047500000001</v>
      </c>
      <c r="M31" s="30">
        <v>31856.044999999998</v>
      </c>
      <c r="N31" s="30">
        <v>0</v>
      </c>
      <c r="O31" s="30">
        <v>0</v>
      </c>
      <c r="P31" s="30"/>
      <c r="Q31" s="30"/>
      <c r="S31" s="6"/>
    </row>
    <row r="32" spans="1:19" x14ac:dyDescent="0.2">
      <c r="E32" s="37" t="s">
        <v>27</v>
      </c>
      <c r="F32" s="30">
        <v>157937.19099999999</v>
      </c>
      <c r="G32" s="30">
        <v>157937.19099999999</v>
      </c>
      <c r="H32" s="30">
        <v>157937.19099999999</v>
      </c>
      <c r="I32" s="30">
        <v>157937.19099999999</v>
      </c>
      <c r="J32" s="30">
        <v>157937.19099999999</v>
      </c>
      <c r="K32" s="30">
        <v>157937.13099999999</v>
      </c>
      <c r="L32" s="30">
        <v>157937.19099999999</v>
      </c>
      <c r="M32" s="30">
        <v>132076.777</v>
      </c>
      <c r="N32" s="30">
        <v>132076.777</v>
      </c>
      <c r="O32" s="30">
        <v>132076.777</v>
      </c>
      <c r="P32" s="30">
        <v>132076.777</v>
      </c>
      <c r="Q32" s="30">
        <v>132076.777</v>
      </c>
    </row>
    <row r="33" spans="2:17" x14ac:dyDescent="0.2">
      <c r="E33" s="37" t="s">
        <v>58</v>
      </c>
      <c r="F33" s="30">
        <v>53048.394</v>
      </c>
      <c r="G33" s="30">
        <v>53048.394</v>
      </c>
      <c r="H33" s="30">
        <v>53048.394</v>
      </c>
      <c r="I33" s="30">
        <v>53048.394</v>
      </c>
      <c r="J33" s="30">
        <v>53048.394</v>
      </c>
      <c r="K33" s="30">
        <v>53048.394</v>
      </c>
      <c r="L33" s="30">
        <v>53048.394</v>
      </c>
      <c r="M33" s="30">
        <v>53048.394</v>
      </c>
      <c r="N33" s="30">
        <v>53048.394</v>
      </c>
      <c r="O33" s="30">
        <v>53048.394</v>
      </c>
      <c r="P33" s="30">
        <v>53048.394</v>
      </c>
      <c r="Q33" s="30">
        <v>53048.394</v>
      </c>
    </row>
    <row r="34" spans="2:17" x14ac:dyDescent="0.2">
      <c r="E34" s="37" t="s">
        <v>67</v>
      </c>
      <c r="F34" s="30">
        <v>82905.578999999998</v>
      </c>
      <c r="G34" s="30">
        <v>82905.578999999998</v>
      </c>
      <c r="H34" s="30">
        <v>82905.578999999998</v>
      </c>
      <c r="I34" s="30">
        <v>82905.578999999998</v>
      </c>
      <c r="J34" s="30">
        <v>82905.578999999998</v>
      </c>
      <c r="K34" s="30">
        <v>82905.578999999998</v>
      </c>
      <c r="L34" s="30">
        <v>82905.578999999998</v>
      </c>
      <c r="M34" s="30">
        <v>82905.578999999998</v>
      </c>
      <c r="N34" s="30">
        <v>82905.578999999998</v>
      </c>
      <c r="O34" s="30">
        <v>82905.578999999998</v>
      </c>
      <c r="P34" s="30">
        <v>82905.578999999998</v>
      </c>
      <c r="Q34" s="30">
        <v>82905.578999999998</v>
      </c>
    </row>
    <row r="35" spans="2:17" ht="15" x14ac:dyDescent="0.25">
      <c r="E35" s="27">
        <v>2.2000000000000002</v>
      </c>
      <c r="F35" s="28">
        <v>110097.01999999999</v>
      </c>
      <c r="G35" s="28">
        <v>110097.01999999999</v>
      </c>
      <c r="H35" s="28">
        <v>289893.24</v>
      </c>
      <c r="I35" s="28">
        <v>289893.24</v>
      </c>
      <c r="J35" s="28">
        <v>289893.24</v>
      </c>
      <c r="K35" s="28">
        <v>289893.24</v>
      </c>
      <c r="L35" s="28">
        <v>289893.24</v>
      </c>
      <c r="M35" s="28">
        <v>289893.24</v>
      </c>
      <c r="N35" s="28">
        <v>289893.24</v>
      </c>
      <c r="O35" s="28">
        <v>477893.24</v>
      </c>
      <c r="P35" s="28">
        <v>477893.24</v>
      </c>
      <c r="Q35" s="28">
        <v>477893.24</v>
      </c>
    </row>
    <row r="36" spans="2:17" x14ac:dyDescent="0.2">
      <c r="E36" s="23" t="s">
        <v>67</v>
      </c>
      <c r="F36" s="30">
        <v>54953.06</v>
      </c>
      <c r="G36" s="30">
        <v>54953.06</v>
      </c>
      <c r="H36" s="30">
        <v>54953.06</v>
      </c>
      <c r="I36" s="30">
        <v>54953.06</v>
      </c>
      <c r="J36" s="30">
        <v>54953.06</v>
      </c>
      <c r="K36" s="30">
        <v>54953.06</v>
      </c>
      <c r="L36" s="30">
        <v>54953.06</v>
      </c>
      <c r="M36" s="30">
        <v>54953.06</v>
      </c>
      <c r="N36" s="30">
        <v>54953.06</v>
      </c>
      <c r="O36" s="30">
        <v>54953.06</v>
      </c>
      <c r="P36" s="30">
        <v>54953.06</v>
      </c>
      <c r="Q36" s="30">
        <v>54953.06</v>
      </c>
    </row>
    <row r="37" spans="2:17" x14ac:dyDescent="0.2">
      <c r="E37" s="23" t="s">
        <v>66</v>
      </c>
      <c r="F37" s="30">
        <v>55143.96</v>
      </c>
      <c r="G37" s="30">
        <v>55143.96</v>
      </c>
      <c r="H37" s="30">
        <v>99281.43</v>
      </c>
      <c r="I37" s="30">
        <v>99281.43</v>
      </c>
      <c r="J37" s="30">
        <v>99281.43</v>
      </c>
      <c r="K37" s="30">
        <v>99281.43</v>
      </c>
      <c r="L37" s="30">
        <v>99281.43</v>
      </c>
      <c r="M37" s="30">
        <v>99281.43</v>
      </c>
      <c r="N37" s="30">
        <v>99281.43</v>
      </c>
      <c r="O37" s="30">
        <v>99281.43</v>
      </c>
      <c r="P37" s="30">
        <v>99281.43</v>
      </c>
      <c r="Q37" s="30">
        <v>99281.43</v>
      </c>
    </row>
    <row r="38" spans="2:17" x14ac:dyDescent="0.2">
      <c r="E38" s="23" t="s">
        <v>72</v>
      </c>
      <c r="F38" s="30"/>
      <c r="G38" s="30"/>
      <c r="H38" s="30">
        <v>135658.75</v>
      </c>
      <c r="I38" s="30">
        <v>135658.75</v>
      </c>
      <c r="J38" s="30">
        <v>135658.75</v>
      </c>
      <c r="K38" s="30">
        <v>135658.75</v>
      </c>
      <c r="L38" s="30">
        <v>135658.75</v>
      </c>
      <c r="M38" s="30">
        <v>135658.75</v>
      </c>
      <c r="N38" s="30">
        <v>135658.75</v>
      </c>
      <c r="O38" s="30">
        <v>135658.75</v>
      </c>
      <c r="P38" s="30">
        <v>135658.75</v>
      </c>
      <c r="Q38" s="30">
        <v>135658.75</v>
      </c>
    </row>
    <row r="39" spans="2:17" x14ac:dyDescent="0.2">
      <c r="E39" s="23" t="s">
        <v>73</v>
      </c>
      <c r="F39" s="30"/>
      <c r="G39" s="30"/>
      <c r="H39" s="30"/>
      <c r="I39" s="30"/>
      <c r="J39" s="30"/>
      <c r="K39" s="30"/>
      <c r="L39" s="30"/>
      <c r="M39" s="30"/>
      <c r="N39" s="30"/>
      <c r="O39" s="30">
        <v>188000</v>
      </c>
      <c r="P39" s="30">
        <v>188000</v>
      </c>
      <c r="Q39" s="30">
        <v>188000</v>
      </c>
    </row>
    <row r="40" spans="2:17" x14ac:dyDescent="0.2">
      <c r="F40" s="30"/>
    </row>
    <row r="41" spans="2:17" ht="15" x14ac:dyDescent="0.25">
      <c r="B41" s="29"/>
      <c r="C41" s="29"/>
      <c r="D41" s="29" t="s">
        <v>196</v>
      </c>
      <c r="E41" s="29"/>
      <c r="F41" s="28">
        <v>7000</v>
      </c>
      <c r="G41" s="28">
        <v>7000</v>
      </c>
      <c r="H41" s="28">
        <v>7000</v>
      </c>
      <c r="I41" s="28">
        <v>7000</v>
      </c>
      <c r="J41" s="28">
        <v>7000</v>
      </c>
      <c r="K41" s="28">
        <v>7000</v>
      </c>
      <c r="L41" s="28">
        <v>7000</v>
      </c>
      <c r="M41" s="28">
        <v>7000</v>
      </c>
      <c r="N41" s="28">
        <v>7000</v>
      </c>
      <c r="O41" s="28">
        <v>7000</v>
      </c>
      <c r="P41" s="28">
        <v>7000</v>
      </c>
      <c r="Q41" s="28">
        <v>7000</v>
      </c>
    </row>
    <row r="42" spans="2:17" x14ac:dyDescent="0.2"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7" ht="15" x14ac:dyDescent="0.25">
      <c r="C43" s="31" t="s">
        <v>31</v>
      </c>
      <c r="D43" s="29" t="s">
        <v>197</v>
      </c>
      <c r="E43" s="29"/>
      <c r="F43" s="8">
        <v>8131.6</v>
      </c>
      <c r="G43" s="8">
        <v>8131.6</v>
      </c>
      <c r="H43" s="8">
        <v>8131.6</v>
      </c>
      <c r="I43" s="8">
        <v>8131.6</v>
      </c>
      <c r="J43" s="8">
        <v>8131.6</v>
      </c>
      <c r="K43" s="8">
        <v>8131.6</v>
      </c>
      <c r="L43" s="8">
        <v>8131.6</v>
      </c>
      <c r="M43" s="8">
        <v>8131.6</v>
      </c>
      <c r="N43" s="8">
        <v>0</v>
      </c>
      <c r="O43" s="8">
        <v>0</v>
      </c>
      <c r="P43" s="8">
        <v>0</v>
      </c>
      <c r="Q43" s="8">
        <v>0</v>
      </c>
    </row>
    <row r="44" spans="2:17" ht="15" x14ac:dyDescent="0.25">
      <c r="C44" s="31"/>
      <c r="D44" s="29"/>
      <c r="E44" s="23" t="s">
        <v>39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</row>
    <row r="45" spans="2:17" ht="15" x14ac:dyDescent="0.25">
      <c r="C45" s="31"/>
      <c r="D45" s="29"/>
      <c r="E45" s="23" t="s">
        <v>40</v>
      </c>
      <c r="F45" s="30">
        <v>8131.6</v>
      </c>
      <c r="G45" s="30">
        <v>8131.6</v>
      </c>
      <c r="H45" s="30">
        <v>8131.6</v>
      </c>
      <c r="I45" s="30">
        <v>8131.6</v>
      </c>
      <c r="J45" s="30">
        <v>8131.6</v>
      </c>
      <c r="K45" s="30">
        <v>8131.6</v>
      </c>
      <c r="L45" s="30">
        <v>8131.6</v>
      </c>
      <c r="M45" s="30">
        <v>8131.6</v>
      </c>
      <c r="N45" s="30">
        <v>0</v>
      </c>
      <c r="O45" s="30">
        <v>0</v>
      </c>
      <c r="P45" s="30">
        <v>0</v>
      </c>
      <c r="Q45" s="30">
        <v>0</v>
      </c>
    </row>
    <row r="46" spans="2:17" ht="15" x14ac:dyDescent="0.25">
      <c r="C46" s="31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7" ht="15" x14ac:dyDescent="0.25">
      <c r="C47" s="31" t="s">
        <v>32</v>
      </c>
      <c r="D47" s="29" t="s">
        <v>186</v>
      </c>
      <c r="F47" s="8">
        <v>998936.35400000005</v>
      </c>
      <c r="G47" s="8">
        <v>910573.93400000001</v>
      </c>
      <c r="H47" s="8">
        <v>910573.93400000001</v>
      </c>
      <c r="I47" s="8">
        <v>910573.93400000001</v>
      </c>
      <c r="J47" s="8">
        <v>910573.93400000001</v>
      </c>
      <c r="K47" s="8">
        <v>910573.93400000001</v>
      </c>
      <c r="L47" s="8">
        <v>910573.93400000001</v>
      </c>
      <c r="M47" s="8">
        <v>910573.93400000001</v>
      </c>
      <c r="N47" s="8">
        <v>910573.93400000001</v>
      </c>
      <c r="O47" s="8">
        <v>910573.93400000001</v>
      </c>
      <c r="P47" s="8">
        <v>910573.93400000001</v>
      </c>
      <c r="Q47" s="8">
        <v>910573.93400000001</v>
      </c>
    </row>
    <row r="48" spans="2:17" ht="15" x14ac:dyDescent="0.25">
      <c r="C48" s="31"/>
      <c r="D48" s="29"/>
      <c r="E48" s="27">
        <v>2.1</v>
      </c>
      <c r="F48" s="8">
        <v>476369.28200000001</v>
      </c>
      <c r="G48" s="8">
        <v>388006.86200000002</v>
      </c>
      <c r="H48" s="8">
        <v>388006.86200000002</v>
      </c>
      <c r="I48" s="8">
        <v>388006.86200000002</v>
      </c>
      <c r="J48" s="8">
        <v>388006.86200000002</v>
      </c>
      <c r="K48" s="8">
        <v>388006.86200000002</v>
      </c>
      <c r="L48" s="8">
        <v>388006.86200000002</v>
      </c>
      <c r="M48" s="8">
        <v>388006.86200000002</v>
      </c>
      <c r="N48" s="8">
        <v>388006.86200000002</v>
      </c>
      <c r="O48" s="8">
        <v>388006.86200000002</v>
      </c>
      <c r="P48" s="8">
        <v>388006.86200000002</v>
      </c>
      <c r="Q48" s="8">
        <v>388006.86200000002</v>
      </c>
    </row>
    <row r="49" spans="1:17" ht="15" x14ac:dyDescent="0.25">
      <c r="C49" s="31"/>
      <c r="E49" s="37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17" ht="15" x14ac:dyDescent="0.25">
      <c r="C50" s="31"/>
      <c r="E50" s="37" t="s">
        <v>42</v>
      </c>
      <c r="F50" s="30">
        <v>196287.951</v>
      </c>
      <c r="G50" s="30">
        <v>107925.531</v>
      </c>
      <c r="H50" s="30">
        <v>107925.531</v>
      </c>
      <c r="I50" s="30">
        <v>107925.531</v>
      </c>
      <c r="J50" s="30">
        <v>107925.531</v>
      </c>
      <c r="K50" s="30">
        <v>107925.531</v>
      </c>
      <c r="L50" s="30">
        <v>107925.531</v>
      </c>
      <c r="M50" s="30">
        <v>107925.531</v>
      </c>
      <c r="N50" s="30">
        <v>107925.531</v>
      </c>
      <c r="O50" s="30">
        <v>107925.531</v>
      </c>
      <c r="P50" s="30">
        <v>107925.531</v>
      </c>
      <c r="Q50" s="30">
        <v>107925.531</v>
      </c>
    </row>
    <row r="51" spans="1:17" ht="15" x14ac:dyDescent="0.25">
      <c r="C51" s="31"/>
      <c r="E51" s="37" t="s">
        <v>43</v>
      </c>
      <c r="F51" s="30">
        <v>213211.57500000001</v>
      </c>
      <c r="G51" s="30">
        <v>213211.57500000001</v>
      </c>
      <c r="H51" s="30">
        <v>213211.57500000001</v>
      </c>
      <c r="I51" s="30">
        <v>213211.57500000001</v>
      </c>
      <c r="J51" s="30">
        <v>213211.57500000001</v>
      </c>
      <c r="K51" s="30">
        <v>213211.57500000001</v>
      </c>
      <c r="L51" s="30">
        <v>213211.57500000001</v>
      </c>
      <c r="M51" s="30">
        <v>213211.57500000001</v>
      </c>
      <c r="N51" s="30">
        <v>213211.57500000001</v>
      </c>
      <c r="O51" s="30">
        <v>213211.57500000001</v>
      </c>
      <c r="P51" s="30">
        <v>213211.57500000001</v>
      </c>
      <c r="Q51" s="30">
        <v>213211.57500000001</v>
      </c>
    </row>
    <row r="52" spans="1:17" ht="15" x14ac:dyDescent="0.25">
      <c r="A52" s="29"/>
      <c r="B52" s="29"/>
      <c r="C52" s="29"/>
      <c r="E52" s="37" t="s">
        <v>54</v>
      </c>
      <c r="F52" s="30">
        <v>66869.755999999994</v>
      </c>
      <c r="G52" s="30">
        <v>66869.755999999994</v>
      </c>
      <c r="H52" s="30">
        <v>66869.755999999994</v>
      </c>
      <c r="I52" s="30">
        <v>66869.755999999994</v>
      </c>
      <c r="J52" s="30">
        <v>66869.755999999994</v>
      </c>
      <c r="K52" s="30">
        <v>66869.755999999994</v>
      </c>
      <c r="L52" s="30">
        <v>66869.755999999994</v>
      </c>
      <c r="M52" s="30">
        <v>66869.755999999994</v>
      </c>
      <c r="N52" s="30">
        <v>66869.755999999994</v>
      </c>
      <c r="O52" s="30">
        <v>66869.755999999994</v>
      </c>
      <c r="P52" s="30">
        <v>66869.755999999994</v>
      </c>
      <c r="Q52" s="30">
        <v>66869.755999999994</v>
      </c>
    </row>
    <row r="53" spans="1:17" ht="15" x14ac:dyDescent="0.25">
      <c r="A53" s="29"/>
      <c r="B53" s="29"/>
      <c r="C53" s="29"/>
      <c r="E53" s="37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5" x14ac:dyDescent="0.25">
      <c r="A54" s="29"/>
      <c r="B54" s="29"/>
      <c r="C54" s="31"/>
      <c r="D54" s="29"/>
      <c r="E54" s="27">
        <v>2.2000000000000002</v>
      </c>
      <c r="F54" s="8">
        <v>199103.08900000001</v>
      </c>
      <c r="G54" s="8">
        <v>199103.08900000001</v>
      </c>
      <c r="H54" s="8">
        <v>199103.08900000001</v>
      </c>
      <c r="I54" s="8">
        <v>199103.08900000001</v>
      </c>
      <c r="J54" s="8">
        <v>199103.08900000001</v>
      </c>
      <c r="K54" s="8">
        <v>199103.08900000001</v>
      </c>
      <c r="L54" s="8">
        <v>199103.08900000001</v>
      </c>
      <c r="M54" s="8">
        <v>199103.08900000001</v>
      </c>
      <c r="N54" s="8">
        <v>199103.08900000001</v>
      </c>
      <c r="O54" s="8">
        <v>199103.08900000001</v>
      </c>
      <c r="P54" s="8">
        <v>199103.08900000001</v>
      </c>
      <c r="Q54" s="8">
        <v>199103.08900000001</v>
      </c>
    </row>
    <row r="55" spans="1:17" ht="15" x14ac:dyDescent="0.25">
      <c r="A55" s="29"/>
      <c r="B55" s="29"/>
      <c r="C55" s="31"/>
      <c r="E55" s="37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15" x14ac:dyDescent="0.25">
      <c r="A56" s="29"/>
      <c r="B56" s="29"/>
      <c r="C56" s="29"/>
      <c r="E56" s="37" t="s">
        <v>62</v>
      </c>
      <c r="F56" s="30">
        <v>33093.048000000003</v>
      </c>
      <c r="G56" s="30">
        <v>33093.048000000003</v>
      </c>
      <c r="H56" s="30">
        <v>33093.048000000003</v>
      </c>
      <c r="I56" s="30">
        <v>33093.048000000003</v>
      </c>
      <c r="J56" s="30">
        <v>33093.048000000003</v>
      </c>
      <c r="K56" s="30">
        <v>33093.048000000003</v>
      </c>
      <c r="L56" s="30">
        <v>33093.048000000003</v>
      </c>
      <c r="M56" s="30">
        <v>33093.048000000003</v>
      </c>
      <c r="N56" s="30">
        <v>33093.048000000003</v>
      </c>
      <c r="O56" s="30">
        <v>33093.048000000003</v>
      </c>
      <c r="P56" s="30">
        <v>33093.048000000003</v>
      </c>
      <c r="Q56" s="30">
        <v>33093.048000000003</v>
      </c>
    </row>
    <row r="57" spans="1:17" ht="15" x14ac:dyDescent="0.25">
      <c r="A57" s="29"/>
      <c r="B57" s="29"/>
      <c r="C57" s="29"/>
      <c r="E57" s="37" t="s">
        <v>19</v>
      </c>
      <c r="F57" s="30">
        <v>166010.041</v>
      </c>
      <c r="G57" s="30">
        <v>166010.041</v>
      </c>
      <c r="H57" s="30">
        <v>166010.041</v>
      </c>
      <c r="I57" s="30">
        <v>166010.041</v>
      </c>
      <c r="J57" s="30">
        <v>166010.041</v>
      </c>
      <c r="K57" s="30">
        <v>166010.041</v>
      </c>
      <c r="L57" s="30">
        <v>166010.041</v>
      </c>
      <c r="M57" s="30">
        <v>166010.041</v>
      </c>
      <c r="N57" s="30">
        <v>166010.041</v>
      </c>
      <c r="O57" s="30">
        <v>166010.041</v>
      </c>
      <c r="P57" s="30">
        <v>166010.041</v>
      </c>
      <c r="Q57" s="30">
        <v>166010.041</v>
      </c>
    </row>
    <row r="58" spans="1:17" ht="15" x14ac:dyDescent="0.25">
      <c r="A58" s="29"/>
      <c r="B58" s="29"/>
      <c r="C58" s="29"/>
      <c r="E58" s="37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15" x14ac:dyDescent="0.25">
      <c r="A59" s="29"/>
      <c r="B59" s="29"/>
      <c r="C59" s="29"/>
      <c r="E59" s="27">
        <v>2.2999999999999998</v>
      </c>
      <c r="F59" s="8">
        <v>323463.98300000001</v>
      </c>
      <c r="G59" s="8">
        <v>323463.98300000001</v>
      </c>
      <c r="H59" s="8">
        <v>323463.98300000001</v>
      </c>
      <c r="I59" s="8">
        <v>323463.98300000001</v>
      </c>
      <c r="J59" s="8">
        <v>323463.98300000001</v>
      </c>
      <c r="K59" s="8">
        <v>323463.98300000001</v>
      </c>
      <c r="L59" s="8">
        <v>323463.98300000001</v>
      </c>
      <c r="M59" s="8">
        <v>323463.98300000001</v>
      </c>
      <c r="N59" s="8">
        <v>323463.98300000001</v>
      </c>
      <c r="O59" s="8">
        <v>323463.98300000001</v>
      </c>
      <c r="P59" s="8">
        <v>323463.98300000001</v>
      </c>
      <c r="Q59" s="8">
        <v>323463.98300000001</v>
      </c>
    </row>
    <row r="60" spans="1:17" ht="15" x14ac:dyDescent="0.25">
      <c r="A60" s="29"/>
      <c r="B60" s="29"/>
      <c r="C60" s="29"/>
      <c r="E60" s="37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15" x14ac:dyDescent="0.25">
      <c r="A61" s="29"/>
      <c r="B61" s="29"/>
      <c r="C61" s="29"/>
      <c r="E61" s="37" t="s">
        <v>69</v>
      </c>
      <c r="F61" s="30">
        <v>67626.83</v>
      </c>
      <c r="G61" s="30">
        <v>67626.83</v>
      </c>
      <c r="H61" s="30">
        <v>67626.83</v>
      </c>
      <c r="I61" s="30">
        <v>67626.83</v>
      </c>
      <c r="J61" s="30">
        <v>67626.83</v>
      </c>
      <c r="K61" s="30">
        <v>67626.83</v>
      </c>
      <c r="L61" s="30">
        <v>67626.83</v>
      </c>
      <c r="M61" s="30">
        <v>67626.83</v>
      </c>
      <c r="N61" s="30">
        <v>67626.83</v>
      </c>
      <c r="O61" s="30">
        <v>67626.83</v>
      </c>
      <c r="P61" s="30">
        <v>67626.83</v>
      </c>
      <c r="Q61" s="30">
        <v>67626.83</v>
      </c>
    </row>
    <row r="62" spans="1:17" ht="15" x14ac:dyDescent="0.25">
      <c r="A62" s="29"/>
      <c r="B62" s="29"/>
      <c r="C62" s="29"/>
      <c r="E62" s="23" t="s">
        <v>16</v>
      </c>
      <c r="F62" s="30">
        <v>255837.15299999999</v>
      </c>
      <c r="G62" s="30">
        <v>255837.15299999999</v>
      </c>
      <c r="H62" s="30">
        <v>255837.15299999999</v>
      </c>
      <c r="I62" s="30">
        <v>255837.15299999999</v>
      </c>
      <c r="J62" s="30">
        <v>255837.15299999999</v>
      </c>
      <c r="K62" s="30">
        <v>255837.15299999999</v>
      </c>
      <c r="L62" s="30">
        <v>255837.15299999999</v>
      </c>
      <c r="M62" s="30">
        <v>255837.15299999999</v>
      </c>
      <c r="N62" s="30">
        <v>255837.15299999999</v>
      </c>
      <c r="O62" s="30">
        <v>255837.15299999999</v>
      </c>
      <c r="P62" s="30">
        <v>255837.15299999999</v>
      </c>
      <c r="Q62" s="30">
        <v>255837.15299999999</v>
      </c>
    </row>
    <row r="63" spans="1:17" ht="15" x14ac:dyDescent="0.25">
      <c r="A63" s="29"/>
      <c r="B63" s="29"/>
      <c r="C63" s="29"/>
      <c r="F63" s="30"/>
      <c r="G63" s="30"/>
      <c r="H63" s="30"/>
      <c r="I63" s="30"/>
      <c r="J63" s="30"/>
      <c r="K63" s="30"/>
      <c r="L63" s="30"/>
      <c r="M63" s="30"/>
      <c r="N63" s="30"/>
      <c r="O63" s="30" t="s">
        <v>70</v>
      </c>
      <c r="P63" s="30"/>
      <c r="Q63" s="30"/>
    </row>
    <row r="64" spans="1:17" ht="15" x14ac:dyDescent="0.25">
      <c r="A64" s="29"/>
      <c r="B64" s="29"/>
      <c r="C64" s="29" t="s">
        <v>198</v>
      </c>
      <c r="D64" s="29"/>
      <c r="E64" s="29"/>
      <c r="F64" s="28">
        <v>50000</v>
      </c>
      <c r="G64" s="28">
        <v>50000</v>
      </c>
      <c r="H64" s="28">
        <v>50000</v>
      </c>
      <c r="I64" s="28">
        <v>50000</v>
      </c>
      <c r="J64" s="28">
        <v>50000</v>
      </c>
      <c r="K64" s="28">
        <v>50000</v>
      </c>
      <c r="L64" s="28">
        <v>50000</v>
      </c>
      <c r="M64" s="28">
        <v>50000</v>
      </c>
      <c r="N64" s="28">
        <v>50000</v>
      </c>
      <c r="O64" s="28">
        <v>50000</v>
      </c>
      <c r="P64" s="28">
        <v>50000</v>
      </c>
      <c r="Q64" s="28">
        <v>50000</v>
      </c>
    </row>
    <row r="65" spans="1:17" ht="15" x14ac:dyDescent="0.25">
      <c r="A65" s="29"/>
      <c r="B65" s="29"/>
      <c r="C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1:17" ht="15" x14ac:dyDescent="0.25">
      <c r="A66" s="29"/>
      <c r="B66" s="29"/>
      <c r="C66" s="29" t="s">
        <v>199</v>
      </c>
      <c r="D66" s="29"/>
      <c r="E66" s="29"/>
      <c r="F66" s="28">
        <v>6025.79</v>
      </c>
      <c r="G66" s="28">
        <v>5975.9390000000003</v>
      </c>
      <c r="H66" s="28">
        <v>5905.277</v>
      </c>
      <c r="I66" s="28">
        <v>5898.3819999999996</v>
      </c>
      <c r="J66" s="28">
        <v>5899.1779999999999</v>
      </c>
      <c r="K66" s="28">
        <v>5789.62</v>
      </c>
      <c r="L66" s="28">
        <v>5753.4790000000003</v>
      </c>
      <c r="M66" s="28">
        <v>5732.5349999999999</v>
      </c>
      <c r="N66" s="28">
        <v>5705.4960000000001</v>
      </c>
      <c r="O66" s="28">
        <v>5640.1170000000002</v>
      </c>
      <c r="P66" s="28">
        <v>5617.8339999999998</v>
      </c>
      <c r="Q66" s="28">
        <v>5471</v>
      </c>
    </row>
    <row r="67" spans="1:17" ht="15" x14ac:dyDescent="0.25">
      <c r="A67" s="29"/>
      <c r="B67" s="29"/>
      <c r="C67" s="29"/>
      <c r="D67" s="29"/>
      <c r="E67" s="29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17" ht="15" x14ac:dyDescent="0.25">
      <c r="A68" s="29"/>
      <c r="B68" s="29"/>
      <c r="C68" s="31" t="s">
        <v>190</v>
      </c>
      <c r="D68" s="29" t="s">
        <v>200</v>
      </c>
      <c r="F68" s="8">
        <v>21486.857</v>
      </c>
      <c r="G68" s="8">
        <v>21465.063000000002</v>
      </c>
      <c r="H68" s="8">
        <v>21464.582999999999</v>
      </c>
      <c r="I68" s="8">
        <v>21146.940999999999</v>
      </c>
      <c r="J68" s="8">
        <v>21435.710999999999</v>
      </c>
      <c r="K68" s="8">
        <v>20893.157999999999</v>
      </c>
      <c r="L68" s="8">
        <v>20637.3</v>
      </c>
      <c r="M68" s="8">
        <v>20863.054</v>
      </c>
      <c r="N68" s="8">
        <v>20793.065999999999</v>
      </c>
      <c r="O68" s="8">
        <v>20485.256000000001</v>
      </c>
      <c r="P68" s="8">
        <v>20329.036</v>
      </c>
      <c r="Q68" s="8">
        <v>20520.292000000001</v>
      </c>
    </row>
    <row r="69" spans="1:17" ht="15" x14ac:dyDescent="0.25">
      <c r="A69" s="29"/>
      <c r="B69" s="29"/>
      <c r="C69" s="29"/>
      <c r="D69" s="29"/>
      <c r="E69" s="29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1:17" ht="15" x14ac:dyDescent="0.25">
      <c r="A70" s="29"/>
      <c r="B70" s="29"/>
      <c r="C70" s="29"/>
      <c r="D70" s="29"/>
      <c r="E70" s="29" t="s">
        <v>60</v>
      </c>
      <c r="F70" s="28">
        <v>17239.999</v>
      </c>
      <c r="G70" s="28">
        <v>17139.999</v>
      </c>
      <c r="H70" s="28">
        <v>17179.999</v>
      </c>
      <c r="I70" s="28">
        <v>16939.999</v>
      </c>
      <c r="J70" s="28">
        <v>17399.999</v>
      </c>
      <c r="K70" s="28">
        <v>16939.999</v>
      </c>
      <c r="L70" s="28">
        <v>16779.999</v>
      </c>
      <c r="M70" s="28">
        <v>16899.899000000001</v>
      </c>
      <c r="N70" s="28">
        <v>16739.999</v>
      </c>
      <c r="O70" s="28">
        <v>16479.999</v>
      </c>
      <c r="P70" s="28">
        <v>16359.999</v>
      </c>
      <c r="Q70" s="28">
        <v>16439.68</v>
      </c>
    </row>
    <row r="71" spans="1:17" ht="15" x14ac:dyDescent="0.25">
      <c r="A71" s="29"/>
      <c r="B71" s="29"/>
      <c r="C71" s="29"/>
      <c r="D71" s="29"/>
      <c r="E71" s="23" t="s">
        <v>41</v>
      </c>
      <c r="F71" s="30">
        <v>11448.954</v>
      </c>
      <c r="G71" s="30">
        <v>11382.545</v>
      </c>
      <c r="H71" s="30">
        <v>11409.109</v>
      </c>
      <c r="I71" s="30">
        <v>11249.726000000001</v>
      </c>
      <c r="J71" s="30">
        <v>11555.209000000001</v>
      </c>
      <c r="K71" s="30">
        <v>11249.726000000001</v>
      </c>
      <c r="L71" s="30">
        <v>11143.472</v>
      </c>
      <c r="M71" s="30">
        <v>11223.063</v>
      </c>
      <c r="N71" s="30">
        <v>11116.907999999999</v>
      </c>
      <c r="O71" s="30">
        <v>10944.244000000001</v>
      </c>
      <c r="P71" s="30">
        <v>10864.553</v>
      </c>
      <c r="Q71" s="30">
        <v>10917.68</v>
      </c>
    </row>
    <row r="72" spans="1:17" ht="15" x14ac:dyDescent="0.25">
      <c r="A72" s="29"/>
      <c r="B72" s="29"/>
      <c r="C72" s="29"/>
      <c r="D72" s="29"/>
      <c r="E72" s="23" t="s">
        <v>42</v>
      </c>
      <c r="F72" s="30">
        <v>5791.0450000000001</v>
      </c>
      <c r="G72" s="30">
        <v>5757.4539999999997</v>
      </c>
      <c r="H72" s="30">
        <v>5770.89</v>
      </c>
      <c r="I72" s="30">
        <v>5690.2730000000001</v>
      </c>
      <c r="J72" s="30">
        <v>5844.79</v>
      </c>
      <c r="K72" s="30">
        <v>5690.2730000000001</v>
      </c>
      <c r="L72" s="30">
        <v>5636.527</v>
      </c>
      <c r="M72" s="30">
        <v>5676.8360000000002</v>
      </c>
      <c r="N72" s="30">
        <v>5623.0910000000003</v>
      </c>
      <c r="O72" s="30">
        <v>5535.7550000000001</v>
      </c>
      <c r="P72" s="30">
        <v>5495.4459999999999</v>
      </c>
      <c r="Q72" s="30">
        <v>5522</v>
      </c>
    </row>
    <row r="73" spans="1:17" ht="15" x14ac:dyDescent="0.25">
      <c r="A73" s="29"/>
      <c r="B73" s="29"/>
      <c r="C73" s="29"/>
      <c r="D73" s="29"/>
      <c r="E73" s="29"/>
      <c r="F73" s="28"/>
      <c r="G73" s="28"/>
      <c r="H73" s="28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15" x14ac:dyDescent="0.25">
      <c r="A74" s="29"/>
      <c r="B74" s="29"/>
      <c r="C74" s="29"/>
      <c r="D74" s="29"/>
      <c r="E74" s="29" t="s">
        <v>61</v>
      </c>
      <c r="F74" s="28">
        <v>4246.8580000000002</v>
      </c>
      <c r="G74" s="28">
        <v>4325.0640000000003</v>
      </c>
      <c r="H74" s="28">
        <v>4284.5839999999998</v>
      </c>
      <c r="I74" s="28">
        <v>4206.942</v>
      </c>
      <c r="J74" s="28">
        <v>4035.712</v>
      </c>
      <c r="K74" s="28">
        <v>3953.1589999999997</v>
      </c>
      <c r="L74" s="28">
        <v>3857.3009999999999</v>
      </c>
      <c r="M74" s="28">
        <v>3963.1549999999997</v>
      </c>
      <c r="N74" s="28">
        <v>4053.067</v>
      </c>
      <c r="O74" s="28">
        <v>4005.2570000000001</v>
      </c>
      <c r="P74" s="28">
        <v>3969.0369999999998</v>
      </c>
      <c r="Q74" s="28">
        <v>4080.6120000000001</v>
      </c>
    </row>
    <row r="75" spans="1:17" ht="15" x14ac:dyDescent="0.25">
      <c r="A75" s="29"/>
      <c r="B75" s="29"/>
      <c r="C75" s="29"/>
      <c r="D75" s="29"/>
      <c r="E75" s="23" t="s">
        <v>41</v>
      </c>
      <c r="F75" s="30">
        <v>3943.61</v>
      </c>
      <c r="G75" s="30">
        <v>4016.232</v>
      </c>
      <c r="H75" s="30">
        <v>3978.6419999999998</v>
      </c>
      <c r="I75" s="30">
        <v>3906.5439999999999</v>
      </c>
      <c r="J75" s="30">
        <v>3747.5410000000002</v>
      </c>
      <c r="K75" s="30">
        <v>3670.8829999999998</v>
      </c>
      <c r="L75" s="30">
        <v>3581.87</v>
      </c>
      <c r="M75" s="30">
        <v>3680.165</v>
      </c>
      <c r="N75" s="30">
        <v>3763.6570000000002</v>
      </c>
      <c r="O75" s="30">
        <v>3719.261</v>
      </c>
      <c r="P75" s="30">
        <v>3685.627</v>
      </c>
      <c r="Q75" s="30">
        <v>3789.2350000000001</v>
      </c>
    </row>
    <row r="76" spans="1:17" ht="15" x14ac:dyDescent="0.25">
      <c r="A76" s="29"/>
      <c r="B76" s="29"/>
      <c r="C76" s="29"/>
      <c r="D76" s="29"/>
      <c r="E76" s="23" t="s">
        <v>42</v>
      </c>
      <c r="F76" s="30">
        <v>303.24799999999999</v>
      </c>
      <c r="G76" s="30">
        <v>308.83199999999999</v>
      </c>
      <c r="H76" s="30">
        <v>305.94200000000001</v>
      </c>
      <c r="I76" s="30">
        <v>300.39800000000002</v>
      </c>
      <c r="J76" s="30">
        <v>288.17099999999999</v>
      </c>
      <c r="K76" s="30">
        <v>282.27600000000001</v>
      </c>
      <c r="L76" s="30">
        <v>275.43099999999998</v>
      </c>
      <c r="M76" s="30">
        <v>282.99</v>
      </c>
      <c r="N76" s="30">
        <v>289.41000000000003</v>
      </c>
      <c r="O76" s="30">
        <v>285.99599999999998</v>
      </c>
      <c r="P76" s="30">
        <v>283.41000000000003</v>
      </c>
      <c r="Q76" s="30">
        <v>291.37700000000001</v>
      </c>
    </row>
    <row r="77" spans="1:17" ht="15" x14ac:dyDescent="0.25">
      <c r="A77" s="29"/>
      <c r="B77" s="29"/>
      <c r="C77" s="29"/>
      <c r="D77" s="29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15" x14ac:dyDescent="0.25">
      <c r="A78" s="29"/>
      <c r="B78" s="29"/>
      <c r="C78" s="31" t="s">
        <v>59</v>
      </c>
      <c r="D78" s="29"/>
      <c r="E78" s="29" t="s">
        <v>74</v>
      </c>
      <c r="F78" s="8">
        <f>F79</f>
        <v>0</v>
      </c>
      <c r="G78" s="8">
        <f t="shared" ref="G78:Q78" si="0">G79</f>
        <v>0</v>
      </c>
      <c r="H78" s="8">
        <f t="shared" si="0"/>
        <v>0</v>
      </c>
      <c r="I78" s="8">
        <f t="shared" si="0"/>
        <v>0</v>
      </c>
      <c r="J78" s="8">
        <f t="shared" si="0"/>
        <v>0</v>
      </c>
      <c r="K78" s="8">
        <f t="shared" si="0"/>
        <v>0</v>
      </c>
      <c r="L78" s="8">
        <f t="shared" si="0"/>
        <v>0</v>
      </c>
      <c r="M78" s="8">
        <f t="shared" si="0"/>
        <v>0</v>
      </c>
      <c r="N78" s="8">
        <f t="shared" si="0"/>
        <v>0</v>
      </c>
      <c r="O78" s="8">
        <f t="shared" si="0"/>
        <v>0</v>
      </c>
      <c r="P78" s="8">
        <f t="shared" si="0"/>
        <v>0</v>
      </c>
      <c r="Q78" s="8">
        <f t="shared" si="0"/>
        <v>20550</v>
      </c>
    </row>
    <row r="79" spans="1:17" ht="15" x14ac:dyDescent="0.25">
      <c r="A79" s="29"/>
      <c r="B79" s="29"/>
      <c r="C79" s="31"/>
      <c r="D79" s="29"/>
      <c r="E79" s="23" t="s">
        <v>75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20550</v>
      </c>
    </row>
    <row r="80" spans="1:17" ht="15" x14ac:dyDescent="0.25">
      <c r="A80" s="29"/>
      <c r="B80" s="29"/>
      <c r="C80" s="29"/>
      <c r="D80" s="29"/>
      <c r="E80" s="29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1:17" ht="15" x14ac:dyDescent="0.25">
      <c r="A81" s="29" t="s">
        <v>49</v>
      </c>
      <c r="B81" s="29"/>
      <c r="C81" s="29"/>
      <c r="D81" s="29"/>
      <c r="E81" s="29"/>
      <c r="F81" s="28">
        <v>82825.241999999998</v>
      </c>
      <c r="G81" s="28">
        <v>82824.952999999994</v>
      </c>
      <c r="H81" s="28">
        <v>82823.380999999994</v>
      </c>
      <c r="I81" s="28">
        <v>82822.705000000002</v>
      </c>
      <c r="J81" s="28">
        <v>79821.339000000007</v>
      </c>
      <c r="K81" s="28">
        <v>79821.119000000006</v>
      </c>
      <c r="L81" s="28">
        <v>79820.509999999995</v>
      </c>
      <c r="M81" s="28">
        <v>79820.008000000002</v>
      </c>
      <c r="N81" s="28">
        <v>79820.008000000002</v>
      </c>
      <c r="O81" s="28">
        <v>79820.008000000002</v>
      </c>
      <c r="P81" s="28">
        <v>68820</v>
      </c>
      <c r="Q81" s="28">
        <v>68820</v>
      </c>
    </row>
    <row r="82" spans="1:17" x14ac:dyDescent="0.2">
      <c r="F82" s="32"/>
      <c r="G82" s="33"/>
      <c r="H82" s="32"/>
      <c r="I82" s="32"/>
      <c r="J82" s="32"/>
      <c r="K82" s="32"/>
      <c r="L82" s="32"/>
    </row>
    <row r="83" spans="1:17" ht="15" x14ac:dyDescent="0.25">
      <c r="A83" s="29"/>
      <c r="B83" s="65"/>
      <c r="C83" s="65"/>
      <c r="D83" s="65"/>
      <c r="E83" s="23" t="s">
        <v>29</v>
      </c>
      <c r="F83" s="65"/>
      <c r="G83" s="65"/>
      <c r="H83" s="65"/>
      <c r="I83" s="65"/>
      <c r="J83" s="65"/>
      <c r="K83" s="65"/>
      <c r="L83" s="65"/>
    </row>
    <row r="84" spans="1:17" x14ac:dyDescent="0.2">
      <c r="B84" s="66"/>
      <c r="C84" s="66"/>
      <c r="D84" s="66"/>
      <c r="E84" s="32" t="s">
        <v>30</v>
      </c>
      <c r="F84" s="66"/>
      <c r="G84" s="66"/>
      <c r="H84" s="66"/>
      <c r="I84" s="66"/>
      <c r="J84" s="66"/>
      <c r="K84" s="66"/>
      <c r="L84" s="66"/>
    </row>
    <row r="85" spans="1:17" ht="15" x14ac:dyDescent="0.25">
      <c r="A85" s="29"/>
      <c r="B85" s="65"/>
      <c r="C85" s="65"/>
      <c r="D85" s="65"/>
      <c r="E85" s="67"/>
      <c r="F85" s="65"/>
      <c r="G85" s="65"/>
      <c r="H85" s="65"/>
      <c r="I85" s="65"/>
      <c r="J85" s="65"/>
      <c r="K85" s="65"/>
      <c r="L85" s="65"/>
    </row>
    <row r="86" spans="1:17" x14ac:dyDescent="0.2">
      <c r="A86" s="34"/>
      <c r="B86" s="35" t="s">
        <v>21</v>
      </c>
      <c r="C86" s="35"/>
      <c r="D86" s="35"/>
      <c r="E86" s="35"/>
      <c r="F86" s="35"/>
      <c r="G86" s="37"/>
    </row>
    <row r="87" spans="1:17" x14ac:dyDescent="0.2">
      <c r="B87" s="35"/>
      <c r="C87" s="35"/>
      <c r="D87" s="35"/>
      <c r="E87" s="35"/>
      <c r="F87" s="35"/>
    </row>
    <row r="88" spans="1:17" x14ac:dyDescent="0.2">
      <c r="B88" s="56"/>
      <c r="C88" s="36"/>
      <c r="D88" s="36"/>
      <c r="F88" s="36"/>
    </row>
    <row r="90" spans="1:17" x14ac:dyDescent="0.2">
      <c r="A90" s="35"/>
      <c r="B90" s="35"/>
      <c r="C90" s="35"/>
    </row>
    <row r="91" spans="1:17" x14ac:dyDescent="0.2">
      <c r="A91" s="36"/>
      <c r="B91" s="35"/>
      <c r="C91" s="35"/>
    </row>
    <row r="93" spans="1:17" x14ac:dyDescent="0.2">
      <c r="E93" s="57" t="s">
        <v>71</v>
      </c>
    </row>
  </sheetData>
  <mergeCells count="4">
    <mergeCell ref="A5:E6"/>
    <mergeCell ref="A1:Q1"/>
    <mergeCell ref="A2:Q2"/>
    <mergeCell ref="A3:Q3"/>
  </mergeCells>
  <printOptions horizontalCentered="1"/>
  <pageMargins left="0" right="0" top="0.35236220499999998" bottom="0.34055118099999998" header="0" footer="0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88"/>
  <sheetViews>
    <sheetView zoomScaleNormal="100" zoomScaleSheetLayoutView="85" workbookViewId="0">
      <pane ySplit="1" topLeftCell="A2" activePane="bottomLeft" state="frozen"/>
      <selection activeCell="Y56" activeCellId="9" sqref="X10 X67 X67 X64 X65 X65 X63 X60 X60 Y56"/>
      <selection pane="bottomLeft" activeCell="I50" sqref="I50"/>
    </sheetView>
  </sheetViews>
  <sheetFormatPr defaultColWidth="9.14062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6.85546875" style="23" customWidth="1"/>
    <col min="6" max="9" width="11" style="23" bestFit="1" customWidth="1"/>
    <col min="10" max="10" width="10.7109375" style="23" bestFit="1" customWidth="1"/>
    <col min="11" max="15" width="11" style="23" bestFit="1" customWidth="1"/>
    <col min="16" max="16" width="11" style="23" customWidth="1"/>
    <col min="17" max="17" width="11" style="23" bestFit="1" customWidth="1"/>
    <col min="18" max="18" width="13.42578125" style="23" customWidth="1"/>
    <col min="19" max="19" width="38.85546875" style="23" customWidth="1"/>
    <col min="20" max="16384" width="9.140625" style="23"/>
  </cols>
  <sheetData>
    <row r="1" spans="1:19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9" ht="15" x14ac:dyDescent="0.25">
      <c r="A2" s="96" t="s">
        <v>201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9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9" x14ac:dyDescent="0.2">
      <c r="A5" s="104" t="s">
        <v>17</v>
      </c>
      <c r="B5" s="93"/>
      <c r="C5" s="93"/>
      <c r="D5" s="93"/>
      <c r="E5" s="9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9" s="55" customFormat="1" ht="15" thickBot="1" x14ac:dyDescent="0.25">
      <c r="A6" s="99"/>
      <c r="B6" s="98"/>
      <c r="C6" s="98"/>
      <c r="D6" s="98"/>
      <c r="E6" s="98"/>
      <c r="F6" s="70" t="s">
        <v>0</v>
      </c>
      <c r="G6" s="70" t="s">
        <v>1</v>
      </c>
      <c r="H6" s="70" t="s">
        <v>2</v>
      </c>
      <c r="I6" s="70" t="s">
        <v>3</v>
      </c>
      <c r="J6" s="70" t="s">
        <v>4</v>
      </c>
      <c r="K6" s="70" t="s">
        <v>18</v>
      </c>
      <c r="L6" s="70" t="s">
        <v>5</v>
      </c>
      <c r="M6" s="70" t="s">
        <v>6</v>
      </c>
      <c r="N6" s="70" t="s">
        <v>10</v>
      </c>
      <c r="O6" s="70" t="s">
        <v>7</v>
      </c>
      <c r="P6" s="70" t="s">
        <v>8</v>
      </c>
      <c r="Q6" s="71" t="s">
        <v>9</v>
      </c>
    </row>
    <row r="7" spans="1:19" ht="15" thickTop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9" ht="15" x14ac:dyDescent="0.25">
      <c r="A8" s="27" t="s">
        <v>97</v>
      </c>
      <c r="B8" s="27"/>
      <c r="C8" s="27"/>
      <c r="D8" s="27"/>
      <c r="E8" s="27"/>
      <c r="F8" s="6">
        <v>2766118.105</v>
      </c>
      <c r="G8" s="6">
        <v>2755452.4890000001</v>
      </c>
      <c r="H8" s="6">
        <v>2749089.69</v>
      </c>
      <c r="I8" s="6">
        <v>2768084.5709999995</v>
      </c>
      <c r="J8" s="6">
        <v>2816051.1770000001</v>
      </c>
      <c r="K8" s="6">
        <v>2838227.8839999996</v>
      </c>
      <c r="L8" s="6">
        <v>2812995.9050000003</v>
      </c>
      <c r="M8" s="6">
        <v>2834196.7209999999</v>
      </c>
      <c r="N8" s="6">
        <v>2858247.96</v>
      </c>
      <c r="O8" s="6">
        <v>2912797.6829999997</v>
      </c>
      <c r="P8" s="6">
        <v>2927733.0090000001</v>
      </c>
      <c r="Q8" s="6">
        <v>2947089.4879999999</v>
      </c>
      <c r="R8" s="6"/>
      <c r="S8" s="6"/>
    </row>
    <row r="9" spans="1:19" ht="15" x14ac:dyDescent="0.25">
      <c r="A9" s="22"/>
      <c r="B9" s="22"/>
      <c r="C9" s="22"/>
      <c r="D9" s="22"/>
      <c r="E9" s="2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9" ht="15" x14ac:dyDescent="0.25">
      <c r="B10" s="27" t="s">
        <v>51</v>
      </c>
      <c r="C10" s="27"/>
      <c r="D10" s="27"/>
      <c r="E10" s="27"/>
      <c r="F10" s="8">
        <v>2665806.267</v>
      </c>
      <c r="G10" s="8">
        <v>2655141.2919999999</v>
      </c>
      <c r="H10" s="8">
        <v>2657578.7949999999</v>
      </c>
      <c r="I10" s="8">
        <v>2676574.5709999995</v>
      </c>
      <c r="J10" s="8">
        <v>2727540.9610000001</v>
      </c>
      <c r="K10" s="8">
        <v>2749719.8839999996</v>
      </c>
      <c r="L10" s="8">
        <v>2726488.06</v>
      </c>
      <c r="M10" s="8">
        <v>2747689.0759999999</v>
      </c>
      <c r="N10" s="8">
        <v>2771740.9279999998</v>
      </c>
      <c r="O10" s="8">
        <v>2826291.6439999999</v>
      </c>
      <c r="P10" s="8">
        <v>2841227.4980000001</v>
      </c>
      <c r="Q10" s="8">
        <v>2864264.088</v>
      </c>
      <c r="R10" s="8"/>
    </row>
    <row r="11" spans="1:19" ht="15" x14ac:dyDescent="0.25">
      <c r="B11" s="27"/>
      <c r="C11" s="27" t="s">
        <v>24</v>
      </c>
      <c r="D11" s="27"/>
      <c r="E11" s="27" t="s">
        <v>55</v>
      </c>
      <c r="F11" s="8">
        <v>1351598.4939999999</v>
      </c>
      <c r="G11" s="8">
        <v>1341170.544</v>
      </c>
      <c r="H11" s="8">
        <v>1330284.9440000001</v>
      </c>
      <c r="I11" s="8">
        <v>1360901.0009999999</v>
      </c>
      <c r="J11" s="8">
        <v>1411882.051</v>
      </c>
      <c r="K11" s="8">
        <v>1434008.8199999998</v>
      </c>
      <c r="L11" s="8">
        <v>1271607.82</v>
      </c>
      <c r="M11" s="8">
        <v>1292674.1199999999</v>
      </c>
      <c r="N11" s="8">
        <v>1322815.42</v>
      </c>
      <c r="O11" s="8">
        <v>1302441.206</v>
      </c>
      <c r="P11" s="8">
        <v>1317085.8060000001</v>
      </c>
      <c r="Q11" s="8">
        <v>1341596.2890000001</v>
      </c>
    </row>
    <row r="12" spans="1:19" ht="15" x14ac:dyDescent="0.25">
      <c r="B12" s="29"/>
      <c r="C12" s="29"/>
      <c r="D12" s="29" t="s">
        <v>52</v>
      </c>
      <c r="E12" s="29"/>
      <c r="F12" s="8">
        <v>467205</v>
      </c>
      <c r="G12" s="8">
        <v>437432.5</v>
      </c>
      <c r="H12" s="8">
        <v>399593.9</v>
      </c>
      <c r="I12" s="8">
        <v>385199.7</v>
      </c>
      <c r="J12" s="8">
        <v>385439.5</v>
      </c>
      <c r="K12" s="8">
        <v>381366.9</v>
      </c>
      <c r="L12" s="8">
        <v>345448.7</v>
      </c>
      <c r="M12" s="8">
        <v>341255.2</v>
      </c>
      <c r="N12" s="8">
        <v>329738.59999999998</v>
      </c>
      <c r="O12" s="8">
        <v>306479.7</v>
      </c>
      <c r="P12" s="8">
        <v>295548.79999999999</v>
      </c>
      <c r="Q12" s="8">
        <v>295068.79999999999</v>
      </c>
    </row>
    <row r="13" spans="1:19" ht="15" x14ac:dyDescent="0.25">
      <c r="A13" s="29"/>
      <c r="B13" s="29"/>
      <c r="C13" s="29"/>
      <c r="D13" s="29"/>
      <c r="E13" s="2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9" x14ac:dyDescent="0.2">
      <c r="E14" s="23" t="s">
        <v>12</v>
      </c>
      <c r="F14" s="30">
        <v>69000</v>
      </c>
      <c r="G14" s="30">
        <v>68400</v>
      </c>
      <c r="H14" s="30">
        <v>69800</v>
      </c>
      <c r="I14" s="30">
        <v>73000</v>
      </c>
      <c r="J14" s="30">
        <v>75100</v>
      </c>
      <c r="K14" s="30">
        <v>75995</v>
      </c>
      <c r="L14" s="30">
        <v>75795</v>
      </c>
      <c r="M14" s="30">
        <v>76035</v>
      </c>
      <c r="N14" s="30">
        <v>77230</v>
      </c>
      <c r="O14" s="30">
        <v>73230</v>
      </c>
      <c r="P14" s="30">
        <v>72430</v>
      </c>
      <c r="Q14" s="30">
        <v>71000</v>
      </c>
    </row>
    <row r="15" spans="1:19" x14ac:dyDescent="0.2">
      <c r="E15" s="23" t="s">
        <v>44</v>
      </c>
      <c r="F15" s="30">
        <v>88000</v>
      </c>
      <c r="G15" s="30">
        <v>89000</v>
      </c>
      <c r="H15" s="30">
        <v>91400</v>
      </c>
      <c r="I15" s="30">
        <v>96900</v>
      </c>
      <c r="J15" s="30">
        <v>95400</v>
      </c>
      <c r="K15" s="30">
        <v>93400</v>
      </c>
      <c r="L15" s="30">
        <v>95900</v>
      </c>
      <c r="M15" s="30">
        <v>94900</v>
      </c>
      <c r="N15" s="30">
        <v>90700</v>
      </c>
      <c r="O15" s="30">
        <v>80200</v>
      </c>
      <c r="P15" s="30">
        <v>80350</v>
      </c>
      <c r="Q15" s="30">
        <v>81300</v>
      </c>
    </row>
    <row r="16" spans="1:19" x14ac:dyDescent="0.2">
      <c r="E16" s="23" t="s">
        <v>45</v>
      </c>
      <c r="F16" s="30">
        <v>310205</v>
      </c>
      <c r="G16" s="30">
        <v>280032.5</v>
      </c>
      <c r="H16" s="30">
        <v>238393.9</v>
      </c>
      <c r="I16" s="30">
        <v>215299.7</v>
      </c>
      <c r="J16" s="30">
        <v>214939.5</v>
      </c>
      <c r="K16" s="30">
        <v>211971.9</v>
      </c>
      <c r="L16" s="30">
        <v>173753.7</v>
      </c>
      <c r="M16" s="30">
        <v>170320.2</v>
      </c>
      <c r="N16" s="30">
        <v>161808.6</v>
      </c>
      <c r="O16" s="30">
        <v>153049.70000000001</v>
      </c>
      <c r="P16" s="30">
        <v>142768.79999999999</v>
      </c>
      <c r="Q16" s="30">
        <v>142768.79999999999</v>
      </c>
    </row>
    <row r="17" spans="1:19" x14ac:dyDescent="0.2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9" ht="15" x14ac:dyDescent="0.25">
      <c r="B18" s="29"/>
      <c r="C18" s="29"/>
      <c r="D18" s="29" t="s">
        <v>50</v>
      </c>
      <c r="E18" s="29"/>
      <c r="F18" s="8">
        <v>884393.49400000006</v>
      </c>
      <c r="G18" s="8">
        <v>903738.04399999999</v>
      </c>
      <c r="H18" s="8">
        <v>930691.04399999999</v>
      </c>
      <c r="I18" s="8">
        <v>975701.30099999998</v>
      </c>
      <c r="J18" s="8">
        <v>1026442.551</v>
      </c>
      <c r="K18" s="8">
        <v>1052641.92</v>
      </c>
      <c r="L18" s="8">
        <v>926159.12</v>
      </c>
      <c r="M18" s="8">
        <v>951418.91999999993</v>
      </c>
      <c r="N18" s="8">
        <v>993076.82000000007</v>
      </c>
      <c r="O18" s="8">
        <v>995961.50600000005</v>
      </c>
      <c r="P18" s="8">
        <v>1021537.0060000001</v>
      </c>
      <c r="Q18" s="8">
        <v>1046527.4890000001</v>
      </c>
    </row>
    <row r="19" spans="1:19" x14ac:dyDescent="0.2">
      <c r="E19" s="23" t="s">
        <v>22</v>
      </c>
      <c r="F19" s="30">
        <v>103795.98699999999</v>
      </c>
      <c r="G19" s="30">
        <v>103795.98699999999</v>
      </c>
      <c r="H19" s="30">
        <v>103795.98699999999</v>
      </c>
      <c r="I19" s="30">
        <v>103795.98699999999</v>
      </c>
      <c r="J19" s="30">
        <v>103795.98699999999</v>
      </c>
      <c r="K19" s="30">
        <v>103795.98699999999</v>
      </c>
      <c r="L19" s="30">
        <v>97364.544999999998</v>
      </c>
      <c r="M19" s="30">
        <v>97364.544999999998</v>
      </c>
      <c r="N19" s="30">
        <v>97364.544999999998</v>
      </c>
      <c r="O19" s="30">
        <v>97364.544999999998</v>
      </c>
      <c r="P19" s="30">
        <v>97364.544999999998</v>
      </c>
      <c r="Q19" s="30">
        <v>97364.544999999998</v>
      </c>
    </row>
    <row r="20" spans="1:19" x14ac:dyDescent="0.2">
      <c r="E20" s="23" t="s">
        <v>23</v>
      </c>
      <c r="F20" s="30">
        <v>3347.317</v>
      </c>
      <c r="G20" s="30">
        <v>3347.317</v>
      </c>
      <c r="H20" s="30">
        <v>3347.317</v>
      </c>
      <c r="I20" s="30">
        <v>3347.317</v>
      </c>
      <c r="J20" s="30">
        <v>3347.317</v>
      </c>
      <c r="K20" s="30">
        <v>3347.317</v>
      </c>
      <c r="L20" s="30">
        <v>12120.717000000001</v>
      </c>
      <c r="M20" s="30">
        <v>12120.717000000001</v>
      </c>
      <c r="N20" s="30">
        <v>12120.717000000001</v>
      </c>
      <c r="O20" s="30">
        <v>12120.717000000001</v>
      </c>
      <c r="P20" s="30">
        <v>12120.717000000001</v>
      </c>
      <c r="Q20" s="30">
        <v>9000</v>
      </c>
    </row>
    <row r="21" spans="1:19" x14ac:dyDescent="0.2">
      <c r="E21" s="23" t="s">
        <v>14</v>
      </c>
      <c r="F21" s="30">
        <v>56767.572</v>
      </c>
      <c r="G21" s="30">
        <v>56767.572</v>
      </c>
      <c r="H21" s="30">
        <v>56767.572</v>
      </c>
      <c r="I21" s="30">
        <v>56767.572</v>
      </c>
      <c r="J21" s="30">
        <v>72094.372000000003</v>
      </c>
      <c r="K21" s="30">
        <v>70679.290999999997</v>
      </c>
      <c r="L21" s="30">
        <v>54179.913</v>
      </c>
      <c r="M21" s="30">
        <v>54179.913</v>
      </c>
      <c r="N21" s="30">
        <v>54179.913</v>
      </c>
      <c r="O21" s="30">
        <v>50219.163</v>
      </c>
      <c r="P21" s="30">
        <v>50219.163</v>
      </c>
      <c r="Q21" s="30">
        <v>50219.163</v>
      </c>
    </row>
    <row r="22" spans="1:19" x14ac:dyDescent="0.2">
      <c r="E22" s="23" t="s">
        <v>15</v>
      </c>
      <c r="F22" s="30">
        <v>189733.386</v>
      </c>
      <c r="G22" s="30">
        <v>200077.78599999999</v>
      </c>
      <c r="H22" s="30">
        <v>202456.08600000001</v>
      </c>
      <c r="I22" s="30">
        <v>196122.943</v>
      </c>
      <c r="J22" s="30">
        <v>196122.943</v>
      </c>
      <c r="K22" s="30">
        <v>196122.943</v>
      </c>
      <c r="L22" s="30">
        <v>150333.96</v>
      </c>
      <c r="M22" s="30">
        <v>159333.96</v>
      </c>
      <c r="N22" s="30">
        <v>168333.96</v>
      </c>
      <c r="O22" s="30">
        <v>168333.96</v>
      </c>
      <c r="P22" s="30">
        <v>176153.96</v>
      </c>
      <c r="Q22" s="30">
        <v>194381.06</v>
      </c>
    </row>
    <row r="23" spans="1:19" x14ac:dyDescent="0.2">
      <c r="E23" s="23" t="s">
        <v>20</v>
      </c>
      <c r="F23" s="30">
        <v>244617.49799999999</v>
      </c>
      <c r="G23" s="30">
        <v>244617.49799999999</v>
      </c>
      <c r="H23" s="30">
        <v>268423.598</v>
      </c>
      <c r="I23" s="30">
        <v>298788.098</v>
      </c>
      <c r="J23" s="30">
        <v>317380.39799999999</v>
      </c>
      <c r="K23" s="30">
        <v>337599.89799999999</v>
      </c>
      <c r="L23" s="30">
        <v>286380.23499999999</v>
      </c>
      <c r="M23" s="30">
        <v>296200.23499999999</v>
      </c>
      <c r="N23" s="30">
        <v>305200.23499999999</v>
      </c>
      <c r="O23" s="30">
        <v>302813.27100000001</v>
      </c>
      <c r="P23" s="30">
        <v>320568.77100000001</v>
      </c>
      <c r="Q23" s="30">
        <v>320652.87099999998</v>
      </c>
    </row>
    <row r="24" spans="1:19" x14ac:dyDescent="0.2">
      <c r="E24" s="23" t="s">
        <v>46</v>
      </c>
      <c r="F24" s="30">
        <v>140140.74799999999</v>
      </c>
      <c r="G24" s="30">
        <v>146140.948</v>
      </c>
      <c r="H24" s="30">
        <v>146896.54800000001</v>
      </c>
      <c r="I24" s="30">
        <v>166339.948</v>
      </c>
      <c r="J24" s="30">
        <v>170887.848</v>
      </c>
      <c r="K24" s="30">
        <v>173870.04800000001</v>
      </c>
      <c r="L24" s="30">
        <v>156454.41</v>
      </c>
      <c r="M24" s="30">
        <v>162894.21</v>
      </c>
      <c r="N24" s="30">
        <v>164583.01</v>
      </c>
      <c r="O24" s="30">
        <v>164815.41</v>
      </c>
      <c r="P24" s="30">
        <v>164815.41</v>
      </c>
      <c r="Q24" s="30">
        <v>164815.41</v>
      </c>
    </row>
    <row r="25" spans="1:19" x14ac:dyDescent="0.2">
      <c r="E25" s="23" t="s">
        <v>47</v>
      </c>
      <c r="F25" s="30">
        <v>145893.93599999999</v>
      </c>
      <c r="G25" s="30">
        <v>148893.93599999999</v>
      </c>
      <c r="H25" s="30">
        <v>148906.93599999999</v>
      </c>
      <c r="I25" s="30">
        <v>150442.43599999999</v>
      </c>
      <c r="J25" s="30">
        <v>162716.636</v>
      </c>
      <c r="K25" s="30">
        <v>167129.43599999999</v>
      </c>
      <c r="L25" s="30">
        <v>169228.34</v>
      </c>
      <c r="M25" s="30">
        <v>169228.34</v>
      </c>
      <c r="N25" s="30">
        <v>191197.44</v>
      </c>
      <c r="O25" s="30">
        <v>200197.44</v>
      </c>
      <c r="P25" s="30">
        <v>200197.44</v>
      </c>
      <c r="Q25" s="30">
        <v>209997.44</v>
      </c>
    </row>
    <row r="26" spans="1:19" x14ac:dyDescent="0.2">
      <c r="E26" s="23" t="s">
        <v>53</v>
      </c>
      <c r="F26" s="30">
        <v>97.05</v>
      </c>
      <c r="G26" s="30">
        <v>97</v>
      </c>
      <c r="H26" s="30">
        <v>97</v>
      </c>
      <c r="I26" s="30">
        <v>97</v>
      </c>
      <c r="J26" s="30">
        <v>97.05</v>
      </c>
      <c r="K26" s="30">
        <v>97</v>
      </c>
      <c r="L26" s="30">
        <v>97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7" spans="1:19" x14ac:dyDescent="0.2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9" ht="15" x14ac:dyDescent="0.25">
      <c r="B28" s="29"/>
      <c r="C28" s="29" t="s">
        <v>56</v>
      </c>
      <c r="D28" s="29"/>
      <c r="E28" s="29"/>
      <c r="F28" s="8">
        <v>1314207.773</v>
      </c>
      <c r="G28" s="8">
        <v>1313970.7479999999</v>
      </c>
      <c r="H28" s="8">
        <v>1327293.8509999998</v>
      </c>
      <c r="I28" s="8">
        <v>1315673.5699999998</v>
      </c>
      <c r="J28" s="8">
        <v>1315658.9099999999</v>
      </c>
      <c r="K28" s="8">
        <v>1315711.0639999998</v>
      </c>
      <c r="L28" s="8">
        <v>1454880.24</v>
      </c>
      <c r="M28" s="8">
        <v>1455014.956</v>
      </c>
      <c r="N28" s="8">
        <v>1448925.5079999999</v>
      </c>
      <c r="O28" s="8">
        <v>1523850.4379999998</v>
      </c>
      <c r="P28" s="8">
        <v>1524141.692</v>
      </c>
      <c r="Q28" s="8">
        <v>1522667.7989999999</v>
      </c>
      <c r="R28" s="8"/>
      <c r="S28" s="8"/>
    </row>
    <row r="29" spans="1:19" ht="15" x14ac:dyDescent="0.25">
      <c r="B29" s="29"/>
      <c r="C29" s="29"/>
      <c r="D29" s="29" t="s">
        <v>34</v>
      </c>
      <c r="E29" s="29"/>
      <c r="F29" s="8">
        <f>F30+F35</f>
        <v>292150.03600000002</v>
      </c>
      <c r="G29" s="8">
        <f t="shared" ref="G29:Q29" si="0">G30+G35</f>
        <v>292150.03600000002</v>
      </c>
      <c r="H29" s="8">
        <f t="shared" si="0"/>
        <v>396117.03600000002</v>
      </c>
      <c r="I29" s="8">
        <f t="shared" si="0"/>
        <v>396117.03600000002</v>
      </c>
      <c r="J29" s="8">
        <f t="shared" si="0"/>
        <v>396117.03600000002</v>
      </c>
      <c r="K29" s="8">
        <f t="shared" si="0"/>
        <v>396117.03600000002</v>
      </c>
      <c r="L29" s="8">
        <f t="shared" si="0"/>
        <v>329738.77100000001</v>
      </c>
      <c r="M29" s="8">
        <f t="shared" si="0"/>
        <v>329738.77100000001</v>
      </c>
      <c r="N29" s="8">
        <f t="shared" si="0"/>
        <v>329738.77100000001</v>
      </c>
      <c r="O29" s="8">
        <f t="shared" si="0"/>
        <v>439835.79099999997</v>
      </c>
      <c r="P29" s="8">
        <f t="shared" si="0"/>
        <v>439835.79099999997</v>
      </c>
      <c r="Q29" s="8">
        <f t="shared" si="0"/>
        <v>435844.22899999993</v>
      </c>
      <c r="R29" s="32"/>
    </row>
    <row r="30" spans="1:19" ht="15" x14ac:dyDescent="0.25">
      <c r="A30" s="29"/>
      <c r="B30" s="29"/>
      <c r="C30" s="29"/>
      <c r="D30" s="29"/>
      <c r="E30" s="27">
        <v>2.1</v>
      </c>
      <c r="F30" s="8">
        <f>SUM(F31:F34)</f>
        <v>292150.03600000002</v>
      </c>
      <c r="G30" s="8">
        <f t="shared" ref="G30:Q30" si="1">SUM(G31:G34)</f>
        <v>292150.03600000002</v>
      </c>
      <c r="H30" s="8">
        <f t="shared" si="1"/>
        <v>396117.03600000002</v>
      </c>
      <c r="I30" s="8">
        <f t="shared" si="1"/>
        <v>396117.03600000002</v>
      </c>
      <c r="J30" s="8">
        <f t="shared" si="1"/>
        <v>396117.03600000002</v>
      </c>
      <c r="K30" s="8">
        <f t="shared" si="1"/>
        <v>396117.03600000002</v>
      </c>
      <c r="L30" s="8">
        <f t="shared" si="1"/>
        <v>329738.77100000001</v>
      </c>
      <c r="M30" s="8">
        <f t="shared" si="1"/>
        <v>329738.77100000001</v>
      </c>
      <c r="N30" s="8">
        <f t="shared" si="1"/>
        <v>329738.77100000001</v>
      </c>
      <c r="O30" s="8">
        <f t="shared" si="1"/>
        <v>329738.77100000001</v>
      </c>
      <c r="P30" s="8">
        <f t="shared" si="1"/>
        <v>329738.77100000001</v>
      </c>
      <c r="Q30" s="8">
        <f t="shared" si="1"/>
        <v>325747.20899999997</v>
      </c>
    </row>
    <row r="31" spans="1:19" x14ac:dyDescent="0.2">
      <c r="E31" s="37" t="s">
        <v>68</v>
      </c>
      <c r="F31" s="30">
        <v>58870.004999999997</v>
      </c>
      <c r="G31" s="30">
        <v>58870.004999999997</v>
      </c>
      <c r="H31" s="30">
        <v>58870.004999999997</v>
      </c>
      <c r="I31" s="30">
        <v>58870.004999999997</v>
      </c>
      <c r="J31" s="30">
        <v>58870.004999999997</v>
      </c>
      <c r="K31" s="30">
        <v>58870.004999999997</v>
      </c>
      <c r="L31" s="30">
        <v>31856.044999999998</v>
      </c>
      <c r="M31" s="30">
        <v>31856.044999999998</v>
      </c>
      <c r="N31" s="30">
        <v>31856.044999999998</v>
      </c>
      <c r="O31" s="30">
        <v>31856.044999999998</v>
      </c>
      <c r="P31" s="30">
        <v>31856.044999999998</v>
      </c>
      <c r="Q31" s="30">
        <v>31856.044999999998</v>
      </c>
    </row>
    <row r="32" spans="1:19" x14ac:dyDescent="0.2">
      <c r="E32" s="37" t="s">
        <v>27</v>
      </c>
      <c r="F32" s="30">
        <v>148188.53400000001</v>
      </c>
      <c r="G32" s="30">
        <v>148188.53400000001</v>
      </c>
      <c r="H32" s="30">
        <v>181197.53400000001</v>
      </c>
      <c r="I32" s="30">
        <v>181197.53400000001</v>
      </c>
      <c r="J32" s="30">
        <v>181197.53400000001</v>
      </c>
      <c r="K32" s="30">
        <v>181197.53400000001</v>
      </c>
      <c r="L32" s="30">
        <v>161928.753</v>
      </c>
      <c r="M32" s="30">
        <v>161928.753</v>
      </c>
      <c r="N32" s="30">
        <v>161928.753</v>
      </c>
      <c r="O32" s="30">
        <v>161928.753</v>
      </c>
      <c r="P32" s="30">
        <v>161928.753</v>
      </c>
      <c r="Q32" s="30">
        <v>157937.19099999999</v>
      </c>
    </row>
    <row r="33" spans="2:17" x14ac:dyDescent="0.2">
      <c r="E33" s="37" t="s">
        <v>58</v>
      </c>
      <c r="F33" s="30">
        <v>61311.947</v>
      </c>
      <c r="G33" s="30">
        <v>61311.947</v>
      </c>
      <c r="H33" s="30">
        <v>61311.947</v>
      </c>
      <c r="I33" s="30">
        <v>61311.947</v>
      </c>
      <c r="J33" s="30">
        <v>61311.947</v>
      </c>
      <c r="K33" s="30">
        <v>61311.947</v>
      </c>
      <c r="L33" s="30">
        <v>53048.394</v>
      </c>
      <c r="M33" s="30">
        <v>53048.394</v>
      </c>
      <c r="N33" s="30">
        <v>53048.394</v>
      </c>
      <c r="O33" s="30">
        <v>53048.394</v>
      </c>
      <c r="P33" s="30">
        <v>53048.394</v>
      </c>
      <c r="Q33" s="30">
        <v>53048.394</v>
      </c>
    </row>
    <row r="34" spans="2:17" x14ac:dyDescent="0.2">
      <c r="E34" s="37" t="s">
        <v>67</v>
      </c>
      <c r="F34" s="30">
        <v>23779.55</v>
      </c>
      <c r="G34" s="30">
        <v>23779.55</v>
      </c>
      <c r="H34" s="30">
        <v>94737.55</v>
      </c>
      <c r="I34" s="30">
        <v>94737.55</v>
      </c>
      <c r="J34" s="30">
        <v>94737.55</v>
      </c>
      <c r="K34" s="30">
        <v>94737.55</v>
      </c>
      <c r="L34" s="30">
        <v>82905.578999999998</v>
      </c>
      <c r="M34" s="30">
        <v>82905.578999999998</v>
      </c>
      <c r="N34" s="30">
        <v>82905.578999999998</v>
      </c>
      <c r="O34" s="30">
        <v>82905.578999999998</v>
      </c>
      <c r="P34" s="30">
        <v>82905.578999999998</v>
      </c>
      <c r="Q34" s="30">
        <v>82905.578999999998</v>
      </c>
    </row>
    <row r="35" spans="2:17" ht="15" x14ac:dyDescent="0.25">
      <c r="E35" s="27">
        <v>2.2000000000000002</v>
      </c>
      <c r="F35" s="8">
        <f>SUM(F36:F37)</f>
        <v>0</v>
      </c>
      <c r="G35" s="8">
        <f t="shared" ref="G35:Q35" si="2">SUM(G36:G37)</f>
        <v>0</v>
      </c>
      <c r="H35" s="8">
        <f t="shared" si="2"/>
        <v>0</v>
      </c>
      <c r="I35" s="8">
        <f t="shared" si="2"/>
        <v>0</v>
      </c>
      <c r="J35" s="8">
        <f t="shared" si="2"/>
        <v>0</v>
      </c>
      <c r="K35" s="8">
        <f t="shared" si="2"/>
        <v>0</v>
      </c>
      <c r="L35" s="8">
        <f t="shared" si="2"/>
        <v>0</v>
      </c>
      <c r="M35" s="8">
        <f t="shared" si="2"/>
        <v>0</v>
      </c>
      <c r="N35" s="8">
        <f t="shared" si="2"/>
        <v>0</v>
      </c>
      <c r="O35" s="8">
        <f t="shared" si="2"/>
        <v>110097.01999999999</v>
      </c>
      <c r="P35" s="8">
        <f t="shared" si="2"/>
        <v>110097.01999999999</v>
      </c>
      <c r="Q35" s="8">
        <f t="shared" si="2"/>
        <v>110097.01999999999</v>
      </c>
    </row>
    <row r="36" spans="2:17" x14ac:dyDescent="0.2">
      <c r="E36" s="23" t="s">
        <v>67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54953.06</v>
      </c>
      <c r="P36" s="30">
        <v>54953.06</v>
      </c>
      <c r="Q36" s="30">
        <v>54953.06</v>
      </c>
    </row>
    <row r="37" spans="2:17" x14ac:dyDescent="0.2">
      <c r="E37" s="23" t="s">
        <v>66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55143.96</v>
      </c>
      <c r="P37" s="30">
        <v>55143.96</v>
      </c>
      <c r="Q37" s="30">
        <v>55143.96</v>
      </c>
    </row>
    <row r="38" spans="2:17" x14ac:dyDescent="0.2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7" ht="15" x14ac:dyDescent="0.25">
      <c r="B39" s="29"/>
      <c r="C39" s="29"/>
      <c r="D39" s="29" t="s">
        <v>196</v>
      </c>
      <c r="E39" s="29"/>
      <c r="F39" s="28">
        <v>16157.615</v>
      </c>
      <c r="G39" s="28">
        <v>16157.615</v>
      </c>
      <c r="H39" s="28">
        <v>16157.615</v>
      </c>
      <c r="I39" s="28">
        <v>16157.615</v>
      </c>
      <c r="J39" s="28">
        <v>16157.615</v>
      </c>
      <c r="K39" s="28">
        <v>16157.615</v>
      </c>
      <c r="L39" s="28">
        <v>16157.615</v>
      </c>
      <c r="M39" s="28">
        <v>16157.615</v>
      </c>
      <c r="N39" s="28">
        <v>9815.1530000000002</v>
      </c>
      <c r="O39" s="28">
        <v>9815</v>
      </c>
      <c r="P39" s="28">
        <v>9815</v>
      </c>
      <c r="Q39" s="28">
        <v>9815</v>
      </c>
    </row>
    <row r="40" spans="2:17" ht="15" x14ac:dyDescent="0.25">
      <c r="B40" s="29"/>
      <c r="C40" s="29"/>
      <c r="D40" s="2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2:17" ht="15" x14ac:dyDescent="0.25">
      <c r="C41" s="31" t="s">
        <v>31</v>
      </c>
      <c r="D41" s="29" t="s">
        <v>202</v>
      </c>
      <c r="E41" s="29"/>
      <c r="F41" s="8">
        <v>54679.6</v>
      </c>
      <c r="G41" s="8">
        <v>54679.6</v>
      </c>
      <c r="H41" s="8">
        <v>54679.6</v>
      </c>
      <c r="I41" s="8">
        <v>43131.6</v>
      </c>
      <c r="J41" s="8">
        <v>43131.6</v>
      </c>
      <c r="K41" s="8">
        <v>43131.6</v>
      </c>
      <c r="L41" s="8">
        <v>43131.6</v>
      </c>
      <c r="M41" s="8">
        <v>43131.6</v>
      </c>
      <c r="N41" s="8">
        <v>43131.6</v>
      </c>
      <c r="O41" s="8">
        <v>8131.6</v>
      </c>
      <c r="P41" s="8">
        <v>8131.6</v>
      </c>
      <c r="Q41" s="8">
        <v>8131.6</v>
      </c>
    </row>
    <row r="42" spans="2:17" ht="15" x14ac:dyDescent="0.25">
      <c r="C42" s="31"/>
      <c r="D42" s="29"/>
      <c r="E42" s="23" t="s">
        <v>40</v>
      </c>
      <c r="F42" s="30">
        <v>19679.599999999999</v>
      </c>
      <c r="G42" s="30">
        <v>19679.599999999999</v>
      </c>
      <c r="H42" s="30">
        <v>19679.599999999999</v>
      </c>
      <c r="I42" s="30">
        <v>8131.6</v>
      </c>
      <c r="J42" s="30">
        <v>8131.6</v>
      </c>
      <c r="K42" s="30">
        <v>8131.6</v>
      </c>
      <c r="L42" s="30">
        <v>8131.6</v>
      </c>
      <c r="M42" s="30">
        <v>8131.6</v>
      </c>
      <c r="N42" s="30">
        <v>8131.6</v>
      </c>
      <c r="O42" s="30">
        <v>8131.6</v>
      </c>
      <c r="P42" s="30">
        <v>8131.6</v>
      </c>
      <c r="Q42" s="30">
        <v>8131.6</v>
      </c>
    </row>
    <row r="43" spans="2:17" ht="15" x14ac:dyDescent="0.25">
      <c r="D43" s="29"/>
      <c r="E43" s="23" t="s">
        <v>48</v>
      </c>
      <c r="F43" s="30">
        <v>35000</v>
      </c>
      <c r="G43" s="30">
        <v>35000</v>
      </c>
      <c r="H43" s="30">
        <v>35000</v>
      </c>
      <c r="I43" s="30">
        <v>35000</v>
      </c>
      <c r="J43" s="30">
        <v>35000</v>
      </c>
      <c r="K43" s="30">
        <v>35000</v>
      </c>
      <c r="L43" s="30">
        <v>35000</v>
      </c>
      <c r="M43" s="30">
        <v>35000</v>
      </c>
      <c r="N43" s="30">
        <v>35000</v>
      </c>
      <c r="O43" s="30">
        <v>0</v>
      </c>
      <c r="P43" s="30">
        <v>0</v>
      </c>
      <c r="Q43" s="30">
        <v>0</v>
      </c>
    </row>
    <row r="44" spans="2:17" ht="15" x14ac:dyDescent="0.25">
      <c r="C44" s="31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7" ht="15" x14ac:dyDescent="0.25">
      <c r="C45" s="31" t="s">
        <v>32</v>
      </c>
      <c r="D45" s="29" t="s">
        <v>186</v>
      </c>
      <c r="F45" s="8">
        <v>872140.38500000001</v>
      </c>
      <c r="G45" s="8">
        <v>872140.38500000001</v>
      </c>
      <c r="H45" s="8">
        <v>781547.89299999992</v>
      </c>
      <c r="I45" s="8">
        <v>781547.89299999992</v>
      </c>
      <c r="J45" s="8">
        <v>781547.89299999992</v>
      </c>
      <c r="K45" s="8">
        <v>781547.89299999992</v>
      </c>
      <c r="L45" s="8">
        <v>987863.15399999998</v>
      </c>
      <c r="M45" s="8">
        <v>987863.15399999998</v>
      </c>
      <c r="N45" s="8">
        <v>987863.15399999998</v>
      </c>
      <c r="O45" s="8">
        <v>987975.65399999998</v>
      </c>
      <c r="P45" s="8">
        <v>988172.85400000005</v>
      </c>
      <c r="Q45" s="8">
        <v>990896.25399999996</v>
      </c>
    </row>
    <row r="46" spans="2:17" ht="15" x14ac:dyDescent="0.25">
      <c r="C46" s="31"/>
      <c r="D46" s="29"/>
      <c r="E46" s="29" t="s">
        <v>63</v>
      </c>
      <c r="F46" s="8">
        <v>672677.41800000006</v>
      </c>
      <c r="G46" s="8">
        <v>672677.41800000006</v>
      </c>
      <c r="H46" s="8">
        <v>582084.92599999998</v>
      </c>
      <c r="I46" s="8">
        <v>582084.92599999998</v>
      </c>
      <c r="J46" s="8">
        <v>582084.92599999998</v>
      </c>
      <c r="K46" s="8">
        <v>582084.92599999998</v>
      </c>
      <c r="L46" s="8">
        <v>476369.28200000001</v>
      </c>
      <c r="M46" s="8">
        <v>476369.28200000001</v>
      </c>
      <c r="N46" s="8">
        <v>476369.28200000001</v>
      </c>
      <c r="O46" s="8">
        <v>476369.28200000001</v>
      </c>
      <c r="P46" s="8">
        <v>476369.28200000001</v>
      </c>
      <c r="Q46" s="8">
        <v>476369.28200000001</v>
      </c>
    </row>
    <row r="47" spans="2:17" ht="15" x14ac:dyDescent="0.25">
      <c r="C47" s="31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7" ht="15" x14ac:dyDescent="0.25">
      <c r="C48" s="31"/>
      <c r="E48" s="23" t="s">
        <v>42</v>
      </c>
      <c r="F48" s="30">
        <v>327813.22700000001</v>
      </c>
      <c r="G48" s="30">
        <v>327813.22700000001</v>
      </c>
      <c r="H48" s="30">
        <v>237203.035</v>
      </c>
      <c r="I48" s="30">
        <v>237203.035</v>
      </c>
      <c r="J48" s="30">
        <v>237203.035</v>
      </c>
      <c r="K48" s="30">
        <v>237203.035</v>
      </c>
      <c r="L48" s="30">
        <v>196287.951</v>
      </c>
      <c r="M48" s="30">
        <v>196287.951</v>
      </c>
      <c r="N48" s="30">
        <v>196287.951</v>
      </c>
      <c r="O48" s="30">
        <v>196287.951</v>
      </c>
      <c r="P48" s="30">
        <v>196287.951</v>
      </c>
      <c r="Q48" s="30">
        <v>196287.951</v>
      </c>
    </row>
    <row r="49" spans="1:17" ht="15" x14ac:dyDescent="0.25">
      <c r="C49" s="31"/>
      <c r="E49" s="23" t="s">
        <v>43</v>
      </c>
      <c r="F49" s="30">
        <v>261217.09299999999</v>
      </c>
      <c r="G49" s="30">
        <v>261217.09299999999</v>
      </c>
      <c r="H49" s="30">
        <v>261234.79300000001</v>
      </c>
      <c r="I49" s="30">
        <v>261234.79300000001</v>
      </c>
      <c r="J49" s="30">
        <v>261234.79300000001</v>
      </c>
      <c r="K49" s="30">
        <v>261234.79300000001</v>
      </c>
      <c r="L49" s="30">
        <v>213211.57500000001</v>
      </c>
      <c r="M49" s="30">
        <v>213211.57500000001</v>
      </c>
      <c r="N49" s="30">
        <v>213211.57500000001</v>
      </c>
      <c r="O49" s="30">
        <v>213211.57500000001</v>
      </c>
      <c r="P49" s="30">
        <v>213211.57500000001</v>
      </c>
      <c r="Q49" s="30">
        <v>213211.57500000001</v>
      </c>
    </row>
    <row r="50" spans="1:17" ht="15" x14ac:dyDescent="0.25">
      <c r="A50" s="29"/>
      <c r="B50" s="29"/>
      <c r="C50" s="29"/>
      <c r="E50" s="23" t="s">
        <v>54</v>
      </c>
      <c r="F50" s="30">
        <v>83647.097999999998</v>
      </c>
      <c r="G50" s="30">
        <v>83647.097999999998</v>
      </c>
      <c r="H50" s="30">
        <v>83647.097999999998</v>
      </c>
      <c r="I50" s="30">
        <v>83647.097999999998</v>
      </c>
      <c r="J50" s="30">
        <v>83647.097999999998</v>
      </c>
      <c r="K50" s="30">
        <v>83647.097999999998</v>
      </c>
      <c r="L50" s="30">
        <v>66869.755999999994</v>
      </c>
      <c r="M50" s="30">
        <v>66869.755999999994</v>
      </c>
      <c r="N50" s="30">
        <v>66869.755999999994</v>
      </c>
      <c r="O50" s="30">
        <v>66869.755999999994</v>
      </c>
      <c r="P50" s="30">
        <v>66869.755999999994</v>
      </c>
      <c r="Q50" s="30">
        <v>66869.755999999994</v>
      </c>
    </row>
    <row r="51" spans="1:17" ht="15" x14ac:dyDescent="0.25">
      <c r="A51" s="29"/>
      <c r="B51" s="29"/>
      <c r="C51" s="29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15" x14ac:dyDescent="0.25">
      <c r="A52" s="29"/>
      <c r="B52" s="29"/>
      <c r="C52" s="31"/>
      <c r="D52" s="29"/>
      <c r="E52" s="29" t="s">
        <v>64</v>
      </c>
      <c r="F52" s="8">
        <v>199462.967</v>
      </c>
      <c r="G52" s="8">
        <v>199462.967</v>
      </c>
      <c r="H52" s="8">
        <v>199462.967</v>
      </c>
      <c r="I52" s="8">
        <v>199462.967</v>
      </c>
      <c r="J52" s="8">
        <v>199462.967</v>
      </c>
      <c r="K52" s="8">
        <v>199462.967</v>
      </c>
      <c r="L52" s="8">
        <v>188039.889</v>
      </c>
      <c r="M52" s="8">
        <v>188039.889</v>
      </c>
      <c r="N52" s="8">
        <v>188039.889</v>
      </c>
      <c r="O52" s="8">
        <v>188142.389</v>
      </c>
      <c r="P52" s="8">
        <v>188339.58900000001</v>
      </c>
      <c r="Q52" s="8">
        <v>191062.989</v>
      </c>
    </row>
    <row r="53" spans="1:17" ht="15" x14ac:dyDescent="0.25">
      <c r="A53" s="29"/>
      <c r="B53" s="29"/>
      <c r="C53" s="31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5" x14ac:dyDescent="0.25">
      <c r="A54" s="29"/>
      <c r="B54" s="29"/>
      <c r="C54" s="29"/>
      <c r="E54" s="23" t="s">
        <v>62</v>
      </c>
      <c r="F54" s="30">
        <v>33452.925999999999</v>
      </c>
      <c r="G54" s="30">
        <v>33452.925999999999</v>
      </c>
      <c r="H54" s="30">
        <v>33452.925999999999</v>
      </c>
      <c r="I54" s="30">
        <v>33452.925999999999</v>
      </c>
      <c r="J54" s="30">
        <v>33452.925999999999</v>
      </c>
      <c r="K54" s="30">
        <v>33452.925999999999</v>
      </c>
      <c r="L54" s="30">
        <v>22029.848000000002</v>
      </c>
      <c r="M54" s="30">
        <v>22029.848000000002</v>
      </c>
      <c r="N54" s="30">
        <v>22029.848000000002</v>
      </c>
      <c r="O54" s="30">
        <v>22132.348000000002</v>
      </c>
      <c r="P54" s="30">
        <v>22329.547999999999</v>
      </c>
      <c r="Q54" s="30">
        <v>25052.948</v>
      </c>
    </row>
    <row r="55" spans="1:17" ht="15" x14ac:dyDescent="0.25">
      <c r="A55" s="29"/>
      <c r="B55" s="29"/>
      <c r="C55" s="29"/>
      <c r="E55" s="23" t="s">
        <v>19</v>
      </c>
      <c r="F55" s="30">
        <v>166010.041</v>
      </c>
      <c r="G55" s="30">
        <v>166010.041</v>
      </c>
      <c r="H55" s="30">
        <v>166010.041</v>
      </c>
      <c r="I55" s="30">
        <v>166010.041</v>
      </c>
      <c r="J55" s="30">
        <v>166010.041</v>
      </c>
      <c r="K55" s="30">
        <v>166010.041</v>
      </c>
      <c r="L55" s="30">
        <v>166010.041</v>
      </c>
      <c r="M55" s="30">
        <v>166010.041</v>
      </c>
      <c r="N55" s="30">
        <v>166010.041</v>
      </c>
      <c r="O55" s="30">
        <v>166010.041</v>
      </c>
      <c r="P55" s="30">
        <v>166010.041</v>
      </c>
      <c r="Q55" s="30">
        <v>166010.041</v>
      </c>
    </row>
    <row r="56" spans="1:17" ht="15" x14ac:dyDescent="0.25">
      <c r="A56" s="29"/>
      <c r="B56" s="29"/>
      <c r="C56" s="2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15" x14ac:dyDescent="0.25">
      <c r="A57" s="29"/>
      <c r="B57" s="29"/>
      <c r="C57" s="29"/>
      <c r="E57" s="29" t="s">
        <v>65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323453.98300000001</v>
      </c>
      <c r="M57" s="8">
        <v>323453.98300000001</v>
      </c>
      <c r="N57" s="8">
        <v>323453.98300000001</v>
      </c>
      <c r="O57" s="8">
        <v>323463.98300000001</v>
      </c>
      <c r="P57" s="8">
        <v>323463.98300000001</v>
      </c>
      <c r="Q57" s="8">
        <v>323463.98300000001</v>
      </c>
    </row>
    <row r="58" spans="1:17" ht="15" x14ac:dyDescent="0.25">
      <c r="A58" s="29"/>
      <c r="B58" s="29"/>
      <c r="C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15" x14ac:dyDescent="0.25">
      <c r="A59" s="29"/>
      <c r="B59" s="29"/>
      <c r="C59" s="29"/>
      <c r="E59" s="23" t="s">
        <v>69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67616.83</v>
      </c>
      <c r="M59" s="30">
        <v>67616.83</v>
      </c>
      <c r="N59" s="30">
        <v>67616.83</v>
      </c>
      <c r="O59" s="30">
        <v>67626.83</v>
      </c>
      <c r="P59" s="30">
        <v>67626.83</v>
      </c>
      <c r="Q59" s="30">
        <v>67626.83</v>
      </c>
    </row>
    <row r="60" spans="1:17" ht="15" x14ac:dyDescent="0.25">
      <c r="A60" s="29"/>
      <c r="B60" s="29"/>
      <c r="C60" s="29"/>
      <c r="E60" s="23" t="s">
        <v>16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255837.15299999999</v>
      </c>
      <c r="M60" s="30">
        <v>255837.15299999999</v>
      </c>
      <c r="N60" s="30">
        <v>255837.15299999999</v>
      </c>
      <c r="O60" s="30">
        <v>255837.15299999999</v>
      </c>
      <c r="P60" s="30">
        <v>255837.15299999999</v>
      </c>
      <c r="Q60" s="30">
        <v>255837.15299999999</v>
      </c>
    </row>
    <row r="61" spans="1:17" ht="15" x14ac:dyDescent="0.25">
      <c r="A61" s="29"/>
      <c r="B61" s="29"/>
      <c r="C61" s="29"/>
      <c r="F61" s="30"/>
      <c r="G61" s="30"/>
      <c r="H61" s="30"/>
      <c r="I61" s="30"/>
      <c r="J61" s="30"/>
      <c r="K61" s="30"/>
      <c r="L61" s="30"/>
      <c r="M61" s="30"/>
      <c r="N61" s="30"/>
      <c r="O61" s="30" t="s">
        <v>70</v>
      </c>
      <c r="P61" s="30"/>
      <c r="Q61" s="30"/>
    </row>
    <row r="62" spans="1:17" ht="15" x14ac:dyDescent="0.25">
      <c r="A62" s="29"/>
      <c r="B62" s="29"/>
      <c r="C62" s="29" t="s">
        <v>198</v>
      </c>
      <c r="D62" s="29"/>
      <c r="E62" s="29"/>
      <c r="F62" s="28">
        <v>50000</v>
      </c>
      <c r="G62" s="28">
        <v>50000</v>
      </c>
      <c r="H62" s="28">
        <v>50000</v>
      </c>
      <c r="I62" s="28">
        <v>50000</v>
      </c>
      <c r="J62" s="28">
        <v>50000</v>
      </c>
      <c r="K62" s="28">
        <v>50000</v>
      </c>
      <c r="L62" s="28">
        <v>50000</v>
      </c>
      <c r="M62" s="28">
        <v>50000</v>
      </c>
      <c r="N62" s="28">
        <v>50000</v>
      </c>
      <c r="O62" s="28">
        <v>50000</v>
      </c>
      <c r="P62" s="28">
        <v>50000</v>
      </c>
      <c r="Q62" s="28">
        <v>50000</v>
      </c>
    </row>
    <row r="63" spans="1:17" ht="15" x14ac:dyDescent="0.25">
      <c r="A63" s="29"/>
      <c r="B63" s="29"/>
      <c r="C63" s="29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1:17" ht="15" x14ac:dyDescent="0.25">
      <c r="A64" s="29"/>
      <c r="B64" s="29"/>
      <c r="C64" s="29" t="s">
        <v>199</v>
      </c>
      <c r="D64" s="29"/>
      <c r="E64" s="29"/>
      <c r="F64" s="28">
        <v>6935.9859999999999</v>
      </c>
      <c r="G64" s="28">
        <v>6855.8959999999997</v>
      </c>
      <c r="H64" s="28">
        <v>6807.7470000000003</v>
      </c>
      <c r="I64" s="28">
        <v>6789.1620000000003</v>
      </c>
      <c r="J64" s="28">
        <v>6747.3379999999997</v>
      </c>
      <c r="K64" s="28">
        <v>6647.5029999999997</v>
      </c>
      <c r="L64" s="28">
        <v>6603.4560000000001</v>
      </c>
      <c r="M64" s="28">
        <v>6545.2089999999998</v>
      </c>
      <c r="N64" s="28">
        <v>6469.77</v>
      </c>
      <c r="O64" s="28">
        <v>6392.0839999999998</v>
      </c>
      <c r="P64" s="28">
        <v>6292.4709999999995</v>
      </c>
      <c r="Q64" s="28">
        <v>6135.3710000000001</v>
      </c>
    </row>
    <row r="65" spans="1:17" ht="15" x14ac:dyDescent="0.25">
      <c r="A65" s="29"/>
      <c r="B65" s="29"/>
      <c r="C65" s="29"/>
      <c r="D65" s="29"/>
      <c r="E65" s="29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17" ht="15" x14ac:dyDescent="0.25">
      <c r="A66" s="29"/>
      <c r="B66" s="29"/>
      <c r="C66" s="31" t="s">
        <v>190</v>
      </c>
      <c r="D66" s="29" t="s">
        <v>200</v>
      </c>
      <c r="F66" s="8">
        <v>22144.150999999998</v>
      </c>
      <c r="G66" s="8">
        <v>21987.216</v>
      </c>
      <c r="H66" s="8">
        <v>21983.96</v>
      </c>
      <c r="I66" s="8">
        <v>21930.263999999999</v>
      </c>
      <c r="J66" s="8">
        <v>21957.428</v>
      </c>
      <c r="K66" s="8">
        <v>22109.417000000001</v>
      </c>
      <c r="L66" s="8">
        <v>21385.644</v>
      </c>
      <c r="M66" s="8">
        <v>21578.607</v>
      </c>
      <c r="N66" s="8">
        <v>21907.059999999998</v>
      </c>
      <c r="O66" s="8">
        <v>21700.309000000001</v>
      </c>
      <c r="P66" s="8">
        <v>21893.975999999999</v>
      </c>
      <c r="Q66" s="8">
        <v>21845.345000000001</v>
      </c>
    </row>
    <row r="67" spans="1:17" ht="15" x14ac:dyDescent="0.25">
      <c r="A67" s="29"/>
      <c r="B67" s="29"/>
      <c r="C67" s="29"/>
      <c r="D67" s="29"/>
      <c r="E67" s="29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17" ht="15" x14ac:dyDescent="0.25">
      <c r="A68" s="29"/>
      <c r="B68" s="29"/>
      <c r="C68" s="29"/>
      <c r="D68" s="29"/>
      <c r="E68" s="29" t="s">
        <v>60</v>
      </c>
      <c r="F68" s="28">
        <v>17639.999</v>
      </c>
      <c r="G68" s="28">
        <v>17479.999</v>
      </c>
      <c r="H68" s="28">
        <v>17379.999</v>
      </c>
      <c r="I68" s="28">
        <v>17159.999</v>
      </c>
      <c r="J68" s="28">
        <v>17319.999</v>
      </c>
      <c r="K68" s="28">
        <v>17399.999</v>
      </c>
      <c r="L68" s="28">
        <v>16859.999</v>
      </c>
      <c r="M68" s="28">
        <v>16979.999</v>
      </c>
      <c r="N68" s="28">
        <v>17459.999</v>
      </c>
      <c r="O68" s="28">
        <v>17139.999</v>
      </c>
      <c r="P68" s="28">
        <v>17519.999</v>
      </c>
      <c r="Q68" s="28">
        <v>17579.999</v>
      </c>
    </row>
    <row r="69" spans="1:17" ht="15" x14ac:dyDescent="0.25">
      <c r="A69" s="29"/>
      <c r="B69" s="29"/>
      <c r="C69" s="29"/>
      <c r="D69" s="29"/>
      <c r="E69" s="23" t="s">
        <v>41</v>
      </c>
      <c r="F69" s="30">
        <v>11714.591</v>
      </c>
      <c r="G69" s="30">
        <v>11608.335999999999</v>
      </c>
      <c r="H69" s="30">
        <v>11541.927</v>
      </c>
      <c r="I69" s="30">
        <v>11395.826999999999</v>
      </c>
      <c r="J69" s="30">
        <v>11502.082</v>
      </c>
      <c r="K69" s="30">
        <v>11555.209000000001</v>
      </c>
      <c r="L69" s="30">
        <v>11196.599</v>
      </c>
      <c r="M69" s="30">
        <v>11276.29</v>
      </c>
      <c r="N69" s="30">
        <v>11595.055</v>
      </c>
      <c r="O69" s="30">
        <v>11382.545</v>
      </c>
      <c r="P69" s="30">
        <v>11634.9</v>
      </c>
      <c r="Q69" s="30">
        <v>11674.745999999999</v>
      </c>
    </row>
    <row r="70" spans="1:17" ht="15" x14ac:dyDescent="0.25">
      <c r="A70" s="29"/>
      <c r="B70" s="29"/>
      <c r="C70" s="29"/>
      <c r="D70" s="29"/>
      <c r="E70" s="23" t="s">
        <v>42</v>
      </c>
      <c r="F70" s="30">
        <v>5925.4080000000004</v>
      </c>
      <c r="G70" s="30">
        <v>5871.6629999999996</v>
      </c>
      <c r="H70" s="30">
        <v>5838.0720000000001</v>
      </c>
      <c r="I70" s="30">
        <v>5764.1719999999996</v>
      </c>
      <c r="J70" s="30">
        <v>5817.9170000000004</v>
      </c>
      <c r="K70" s="30">
        <v>5844.79</v>
      </c>
      <c r="L70" s="30">
        <v>5663.4</v>
      </c>
      <c r="M70" s="30">
        <v>5703.7089999999998</v>
      </c>
      <c r="N70" s="30">
        <v>5864.9440000000004</v>
      </c>
      <c r="O70" s="30">
        <v>5757.4539999999997</v>
      </c>
      <c r="P70" s="30">
        <v>5885.0990000000002</v>
      </c>
      <c r="Q70" s="30">
        <v>5905.2529999999997</v>
      </c>
    </row>
    <row r="71" spans="1:17" ht="15" x14ac:dyDescent="0.25">
      <c r="A71" s="29"/>
      <c r="B71" s="29"/>
      <c r="C71" s="29"/>
      <c r="D71" s="29"/>
      <c r="E71" s="29"/>
      <c r="F71" s="28"/>
      <c r="G71" s="28"/>
      <c r="H71" s="28"/>
      <c r="I71" s="30"/>
      <c r="J71" s="30"/>
      <c r="K71" s="30"/>
      <c r="L71" s="30"/>
      <c r="M71" s="30"/>
      <c r="N71" s="30"/>
      <c r="O71" s="30"/>
      <c r="P71" s="30"/>
      <c r="Q71" s="30"/>
    </row>
    <row r="72" spans="1:17" ht="15" x14ac:dyDescent="0.25">
      <c r="A72" s="29"/>
      <c r="B72" s="29"/>
      <c r="C72" s="29"/>
      <c r="D72" s="29"/>
      <c r="E72" s="29" t="s">
        <v>61</v>
      </c>
      <c r="F72" s="28">
        <v>4504.152</v>
      </c>
      <c r="G72" s="28">
        <v>4507.2169999999996</v>
      </c>
      <c r="H72" s="28">
        <v>4603.9610000000002</v>
      </c>
      <c r="I72" s="28">
        <v>4770.2650000000003</v>
      </c>
      <c r="J72" s="28">
        <v>4637.4290000000001</v>
      </c>
      <c r="K72" s="28">
        <v>4709.4179999999997</v>
      </c>
      <c r="L72" s="28">
        <v>4525.6449999999995</v>
      </c>
      <c r="M72" s="28">
        <v>4598.6080000000002</v>
      </c>
      <c r="N72" s="28">
        <v>4447.0609999999997</v>
      </c>
      <c r="O72" s="28">
        <v>4560.3100000000004</v>
      </c>
      <c r="P72" s="28">
        <v>4373.9769999999999</v>
      </c>
      <c r="Q72" s="28">
        <v>4265.3459999999995</v>
      </c>
    </row>
    <row r="73" spans="1:17" ht="15" x14ac:dyDescent="0.25">
      <c r="A73" s="29"/>
      <c r="B73" s="29"/>
      <c r="C73" s="29"/>
      <c r="D73" s="29"/>
      <c r="E73" s="23" t="s">
        <v>41</v>
      </c>
      <c r="F73" s="30">
        <v>4182.5320000000002</v>
      </c>
      <c r="G73" s="30">
        <v>4185.3779999999997</v>
      </c>
      <c r="H73" s="30">
        <v>4275.2139999999999</v>
      </c>
      <c r="I73" s="30">
        <v>4429.643</v>
      </c>
      <c r="J73" s="30">
        <v>4306.2920000000004</v>
      </c>
      <c r="K73" s="30">
        <v>4373.1409999999996</v>
      </c>
      <c r="L73" s="30">
        <v>4202.49</v>
      </c>
      <c r="M73" s="30">
        <v>4270.2430000000004</v>
      </c>
      <c r="N73" s="30">
        <v>4129.518</v>
      </c>
      <c r="O73" s="30">
        <v>4234.68</v>
      </c>
      <c r="P73" s="30">
        <v>4061.652</v>
      </c>
      <c r="Q73" s="30">
        <v>3960.7779999999998</v>
      </c>
    </row>
    <row r="74" spans="1:17" ht="15" x14ac:dyDescent="0.25">
      <c r="A74" s="29"/>
      <c r="B74" s="29"/>
      <c r="C74" s="29"/>
      <c r="D74" s="29"/>
      <c r="E74" s="23" t="s">
        <v>42</v>
      </c>
      <c r="F74" s="30">
        <v>321.62</v>
      </c>
      <c r="G74" s="30">
        <v>321.839</v>
      </c>
      <c r="H74" s="30">
        <v>328.74700000000001</v>
      </c>
      <c r="I74" s="30">
        <v>340.62200000000001</v>
      </c>
      <c r="J74" s="30">
        <v>331.137</v>
      </c>
      <c r="K74" s="30">
        <v>336.27699999999999</v>
      </c>
      <c r="L74" s="30">
        <v>323.15499999999997</v>
      </c>
      <c r="M74" s="30">
        <v>328.36500000000001</v>
      </c>
      <c r="N74" s="30">
        <v>317.54300000000001</v>
      </c>
      <c r="O74" s="30">
        <v>325.63</v>
      </c>
      <c r="P74" s="30">
        <v>312.32499999999999</v>
      </c>
      <c r="Q74" s="30">
        <v>304.56799999999998</v>
      </c>
    </row>
    <row r="75" spans="1:17" ht="15" x14ac:dyDescent="0.25">
      <c r="A75" s="29"/>
      <c r="B75" s="29"/>
      <c r="C75" s="29"/>
      <c r="D75" s="29"/>
      <c r="E75" s="29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ht="15" x14ac:dyDescent="0.25">
      <c r="A76" s="29" t="s">
        <v>49</v>
      </c>
      <c r="B76" s="29"/>
      <c r="C76" s="29"/>
      <c r="D76" s="29"/>
      <c r="E76" s="29"/>
      <c r="F76" s="28">
        <v>100311.838</v>
      </c>
      <c r="G76" s="28">
        <v>100311.197</v>
      </c>
      <c r="H76" s="28">
        <v>91510.895000000004</v>
      </c>
      <c r="I76" s="28">
        <v>91510</v>
      </c>
      <c r="J76" s="28">
        <v>88510.216</v>
      </c>
      <c r="K76" s="28">
        <v>88508</v>
      </c>
      <c r="L76" s="28">
        <v>86507.845000000001</v>
      </c>
      <c r="M76" s="28">
        <v>86507.645000000004</v>
      </c>
      <c r="N76" s="28">
        <v>86507.032000000007</v>
      </c>
      <c r="O76" s="28">
        <v>86506.039000000004</v>
      </c>
      <c r="P76" s="28">
        <v>86505.510999999999</v>
      </c>
      <c r="Q76" s="28">
        <v>82825.399999999994</v>
      </c>
    </row>
    <row r="77" spans="1:17" x14ac:dyDescent="0.2">
      <c r="F77" s="32"/>
      <c r="G77" s="33"/>
      <c r="H77" s="32"/>
      <c r="I77" s="32"/>
      <c r="J77" s="32"/>
      <c r="K77" s="32"/>
      <c r="L77" s="32"/>
    </row>
    <row r="78" spans="1:17" ht="15" x14ac:dyDescent="0.25">
      <c r="A78" s="29"/>
      <c r="B78" s="65"/>
      <c r="C78" s="65"/>
      <c r="D78" s="65"/>
      <c r="E78" s="23" t="s">
        <v>29</v>
      </c>
      <c r="F78" s="65"/>
      <c r="G78" s="65"/>
      <c r="H78" s="65"/>
      <c r="I78" s="65"/>
      <c r="J78" s="65"/>
      <c r="K78" s="65"/>
      <c r="L78" s="65"/>
    </row>
    <row r="79" spans="1:17" x14ac:dyDescent="0.2">
      <c r="B79" s="66"/>
      <c r="C79" s="66"/>
      <c r="D79" s="66"/>
      <c r="E79" s="32" t="s">
        <v>30</v>
      </c>
      <c r="F79" s="66"/>
      <c r="G79" s="66"/>
      <c r="H79" s="66"/>
      <c r="I79" s="66"/>
      <c r="J79" s="66"/>
      <c r="K79" s="66"/>
      <c r="L79" s="66"/>
    </row>
    <row r="80" spans="1:17" ht="15" x14ac:dyDescent="0.25">
      <c r="A80" s="29"/>
      <c r="B80" s="65"/>
      <c r="C80" s="65"/>
      <c r="D80" s="65"/>
      <c r="E80" s="67"/>
      <c r="F80" s="65"/>
      <c r="G80" s="65"/>
      <c r="H80" s="65"/>
      <c r="I80" s="65"/>
      <c r="J80" s="65"/>
      <c r="K80" s="65"/>
      <c r="L80" s="65"/>
    </row>
    <row r="81" spans="1:7" x14ac:dyDescent="0.2">
      <c r="A81" s="34"/>
      <c r="B81" s="35" t="s">
        <v>21</v>
      </c>
      <c r="C81" s="35"/>
      <c r="D81" s="35"/>
      <c r="E81" s="35"/>
      <c r="F81" s="35"/>
      <c r="G81" s="37"/>
    </row>
    <row r="82" spans="1:7" x14ac:dyDescent="0.2">
      <c r="B82" s="35"/>
      <c r="C82" s="35"/>
      <c r="D82" s="35"/>
      <c r="E82" s="35"/>
      <c r="F82" s="35"/>
    </row>
    <row r="83" spans="1:7" x14ac:dyDescent="0.2">
      <c r="B83" s="56"/>
      <c r="C83" s="36"/>
      <c r="D83" s="36"/>
      <c r="F83" s="36"/>
    </row>
    <row r="85" spans="1:7" x14ac:dyDescent="0.2">
      <c r="A85" s="35"/>
      <c r="B85" s="35"/>
      <c r="C85" s="35"/>
    </row>
    <row r="86" spans="1:7" x14ac:dyDescent="0.2">
      <c r="A86" s="36"/>
      <c r="B86" s="35"/>
      <c r="C86" s="35"/>
    </row>
    <row r="88" spans="1:7" x14ac:dyDescent="0.2">
      <c r="E88" s="57" t="s">
        <v>71</v>
      </c>
    </row>
  </sheetData>
  <mergeCells count="4">
    <mergeCell ref="A5:E6"/>
    <mergeCell ref="A1:Q1"/>
    <mergeCell ref="A2:Q2"/>
    <mergeCell ref="A3:Q3"/>
  </mergeCells>
  <printOptions horizontalCentered="1"/>
  <pageMargins left="0" right="0" top="0.60236220500000004" bottom="0.59055118110236204" header="0.511811023622047" footer="0.511811023622047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83"/>
  <sheetViews>
    <sheetView zoomScaleNormal="100" zoomScaleSheetLayoutView="85" workbookViewId="0">
      <pane ySplit="1" topLeftCell="A2" activePane="bottomLeft" state="frozen"/>
      <selection activeCell="N31" sqref="N31"/>
      <selection pane="bottomLeft" activeCell="F81" sqref="F81"/>
    </sheetView>
  </sheetViews>
  <sheetFormatPr defaultColWidth="9.14062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7" style="23" customWidth="1"/>
    <col min="6" max="14" width="11" style="23" bestFit="1" customWidth="1"/>
    <col min="15" max="15" width="10.7109375" style="23" bestFit="1" customWidth="1"/>
    <col min="16" max="16" width="11" style="23" customWidth="1"/>
    <col min="17" max="17" width="10.7109375" style="23" bestFit="1" customWidth="1"/>
    <col min="18" max="18" width="13.42578125" style="23" customWidth="1"/>
    <col min="19" max="19" width="38.85546875" style="23" customWidth="1"/>
    <col min="20" max="16384" width="9.140625" style="23"/>
  </cols>
  <sheetData>
    <row r="1" spans="1:19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9" ht="15" x14ac:dyDescent="0.25">
      <c r="A2" s="96" t="s">
        <v>203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9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9" x14ac:dyDescent="0.2">
      <c r="A5" s="104" t="s">
        <v>17</v>
      </c>
      <c r="B5" s="93"/>
      <c r="C5" s="93"/>
      <c r="D5" s="93"/>
      <c r="E5" s="93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7"/>
    </row>
    <row r="6" spans="1:19" ht="15" thickBot="1" x14ac:dyDescent="0.25">
      <c r="A6" s="99"/>
      <c r="B6" s="98"/>
      <c r="C6" s="98"/>
      <c r="D6" s="98"/>
      <c r="E6" s="98"/>
      <c r="F6" s="70" t="s">
        <v>0</v>
      </c>
      <c r="G6" s="70" t="s">
        <v>1</v>
      </c>
      <c r="H6" s="70" t="s">
        <v>2</v>
      </c>
      <c r="I6" s="70" t="s">
        <v>3</v>
      </c>
      <c r="J6" s="70" t="s">
        <v>4</v>
      </c>
      <c r="K6" s="70" t="s">
        <v>18</v>
      </c>
      <c r="L6" s="70" t="s">
        <v>5</v>
      </c>
      <c r="M6" s="70" t="s">
        <v>6</v>
      </c>
      <c r="N6" s="70" t="s">
        <v>10</v>
      </c>
      <c r="O6" s="70" t="s">
        <v>7</v>
      </c>
      <c r="P6" s="70" t="s">
        <v>8</v>
      </c>
      <c r="Q6" s="71" t="s">
        <v>9</v>
      </c>
    </row>
    <row r="7" spans="1:19" ht="15" thickTop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9" ht="15" x14ac:dyDescent="0.25">
      <c r="A8" s="27" t="s">
        <v>97</v>
      </c>
      <c r="B8" s="27"/>
      <c r="C8" s="27"/>
      <c r="D8" s="27"/>
      <c r="E8" s="27"/>
      <c r="F8" s="6">
        <v>2500536.673</v>
      </c>
      <c r="G8" s="6">
        <v>2473678.2800000003</v>
      </c>
      <c r="H8" s="6">
        <v>2618935.0429999996</v>
      </c>
      <c r="I8" s="6">
        <v>2660410.0509999995</v>
      </c>
      <c r="J8" s="6">
        <v>2686921.3460000004</v>
      </c>
      <c r="K8" s="6">
        <v>2699030.1970000002</v>
      </c>
      <c r="L8" s="6">
        <v>2730444.7459999998</v>
      </c>
      <c r="M8" s="6">
        <v>2833280.7720000003</v>
      </c>
      <c r="N8" s="6">
        <v>2801703.7629999998</v>
      </c>
      <c r="O8" s="6">
        <v>2800617.5049999999</v>
      </c>
      <c r="P8" s="6">
        <v>2820708.3829999994</v>
      </c>
      <c r="Q8" s="6">
        <v>2809413.6319999998</v>
      </c>
      <c r="R8" s="6"/>
      <c r="S8" s="6"/>
    </row>
    <row r="9" spans="1:19" ht="15" x14ac:dyDescent="0.25">
      <c r="A9" s="22"/>
      <c r="B9" s="22"/>
      <c r="C9" s="22"/>
      <c r="D9" s="22"/>
      <c r="E9" s="2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9" ht="15" x14ac:dyDescent="0.25">
      <c r="B10" s="27" t="s">
        <v>51</v>
      </c>
      <c r="C10" s="27"/>
      <c r="D10" s="27"/>
      <c r="E10" s="27"/>
      <c r="F10" s="8">
        <v>2421154.2689999999</v>
      </c>
      <c r="G10" s="8">
        <v>2394296.14</v>
      </c>
      <c r="H10" s="8">
        <v>2527553.9329999997</v>
      </c>
      <c r="I10" s="8">
        <v>2539030.0509999995</v>
      </c>
      <c r="J10" s="8">
        <v>2574602.8180000004</v>
      </c>
      <c r="K10" s="8">
        <v>2586711.9680000003</v>
      </c>
      <c r="L10" s="8">
        <v>2618127.4139999999</v>
      </c>
      <c r="M10" s="8">
        <v>2720963.9800000004</v>
      </c>
      <c r="N10" s="8">
        <v>2689386.9739999999</v>
      </c>
      <c r="O10" s="8">
        <v>2688301.014</v>
      </c>
      <c r="P10" s="8">
        <v>2708395.4779999997</v>
      </c>
      <c r="Q10" s="8">
        <v>2709101.406</v>
      </c>
      <c r="R10" s="8"/>
    </row>
    <row r="11" spans="1:19" ht="15" x14ac:dyDescent="0.25">
      <c r="B11" s="27"/>
      <c r="C11" s="27" t="s">
        <v>24</v>
      </c>
      <c r="D11" s="27"/>
      <c r="E11" s="27" t="s">
        <v>55</v>
      </c>
      <c r="F11" s="8">
        <v>1235721.4750000001</v>
      </c>
      <c r="G11" s="8">
        <v>1270617.1780000001</v>
      </c>
      <c r="H11" s="8">
        <v>1370438.0299999998</v>
      </c>
      <c r="I11" s="8">
        <v>1359673.1439999999</v>
      </c>
      <c r="J11" s="8">
        <v>1394840.3880000003</v>
      </c>
      <c r="K11" s="8">
        <v>1406935.3220000002</v>
      </c>
      <c r="L11" s="8">
        <v>1438474.7140000002</v>
      </c>
      <c r="M11" s="8">
        <v>1480764.4610000001</v>
      </c>
      <c r="N11" s="8">
        <v>1495000.4300000002</v>
      </c>
      <c r="O11" s="8">
        <v>1494332.9300000002</v>
      </c>
      <c r="P11" s="8">
        <v>1514260.23</v>
      </c>
      <c r="Q11" s="8">
        <v>1395047.091</v>
      </c>
    </row>
    <row r="12" spans="1:19" ht="15" x14ac:dyDescent="0.25">
      <c r="B12" s="29"/>
      <c r="C12" s="29"/>
      <c r="D12" s="29" t="s">
        <v>52</v>
      </c>
      <c r="E12" s="29"/>
      <c r="F12" s="8">
        <v>518461</v>
      </c>
      <c r="G12" s="8">
        <v>533721.55000000005</v>
      </c>
      <c r="H12" s="8">
        <v>579055.44999999995</v>
      </c>
      <c r="I12" s="8">
        <v>579118.44999999995</v>
      </c>
      <c r="J12" s="8">
        <v>574836.25</v>
      </c>
      <c r="K12" s="8">
        <v>567391.35</v>
      </c>
      <c r="L12" s="8">
        <v>580640.05000000005</v>
      </c>
      <c r="M12" s="8">
        <v>612541.44999999995</v>
      </c>
      <c r="N12" s="8">
        <v>578277.30000000005</v>
      </c>
      <c r="O12" s="8">
        <v>553192.69999999995</v>
      </c>
      <c r="P12" s="8">
        <v>543977.9</v>
      </c>
      <c r="Q12" s="8">
        <v>527411.9</v>
      </c>
    </row>
    <row r="13" spans="1:19" ht="15" x14ac:dyDescent="0.25">
      <c r="A13" s="29"/>
      <c r="B13" s="29"/>
      <c r="C13" s="29"/>
      <c r="D13" s="29"/>
      <c r="E13" s="2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9" x14ac:dyDescent="0.2">
      <c r="E14" s="23" t="s">
        <v>12</v>
      </c>
      <c r="F14" s="30">
        <v>72000</v>
      </c>
      <c r="G14" s="30">
        <v>74000</v>
      </c>
      <c r="H14" s="30">
        <v>76720</v>
      </c>
      <c r="I14" s="30">
        <v>76320</v>
      </c>
      <c r="J14" s="30">
        <v>75050</v>
      </c>
      <c r="K14" s="30">
        <v>69330</v>
      </c>
      <c r="L14" s="30">
        <v>73580</v>
      </c>
      <c r="M14" s="30">
        <v>73850</v>
      </c>
      <c r="N14" s="30">
        <v>73850</v>
      </c>
      <c r="O14" s="30">
        <v>73000</v>
      </c>
      <c r="P14" s="30">
        <v>72000</v>
      </c>
      <c r="Q14" s="30">
        <v>70000</v>
      </c>
    </row>
    <row r="15" spans="1:19" x14ac:dyDescent="0.2">
      <c r="E15" s="23" t="s">
        <v>44</v>
      </c>
      <c r="F15" s="30">
        <v>82955</v>
      </c>
      <c r="G15" s="30">
        <v>85955</v>
      </c>
      <c r="H15" s="30">
        <v>86955</v>
      </c>
      <c r="I15" s="30">
        <v>88955</v>
      </c>
      <c r="J15" s="30">
        <v>90955</v>
      </c>
      <c r="K15" s="30">
        <v>96560</v>
      </c>
      <c r="L15" s="30">
        <v>96205</v>
      </c>
      <c r="M15" s="30">
        <v>96205</v>
      </c>
      <c r="N15" s="30">
        <v>96205</v>
      </c>
      <c r="O15" s="30">
        <v>95205</v>
      </c>
      <c r="P15" s="30">
        <v>94205</v>
      </c>
      <c r="Q15" s="30">
        <v>89100</v>
      </c>
    </row>
    <row r="16" spans="1:19" x14ac:dyDescent="0.2">
      <c r="E16" s="23" t="s">
        <v>45</v>
      </c>
      <c r="F16" s="30">
        <v>363506</v>
      </c>
      <c r="G16" s="30">
        <v>373766.55</v>
      </c>
      <c r="H16" s="30">
        <v>415380.45</v>
      </c>
      <c r="I16" s="30">
        <v>413843.45</v>
      </c>
      <c r="J16" s="30">
        <v>408831.25</v>
      </c>
      <c r="K16" s="30">
        <v>401501.35</v>
      </c>
      <c r="L16" s="30">
        <v>410855.05</v>
      </c>
      <c r="M16" s="30">
        <v>442486.45</v>
      </c>
      <c r="N16" s="30">
        <v>408222.3</v>
      </c>
      <c r="O16" s="30">
        <v>384987.7</v>
      </c>
      <c r="P16" s="30">
        <v>377772.9</v>
      </c>
      <c r="Q16" s="30">
        <v>368311.9</v>
      </c>
    </row>
    <row r="17" spans="1:18" x14ac:dyDescent="0.2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8" ht="15" x14ac:dyDescent="0.25">
      <c r="B18" s="29"/>
      <c r="C18" s="29"/>
      <c r="D18" s="29" t="s">
        <v>50</v>
      </c>
      <c r="E18" s="29"/>
      <c r="F18" s="8">
        <v>717260.47499999998</v>
      </c>
      <c r="G18" s="8">
        <v>736895.62800000003</v>
      </c>
      <c r="H18" s="8">
        <v>791382.58</v>
      </c>
      <c r="I18" s="8">
        <v>780554.69400000002</v>
      </c>
      <c r="J18" s="8">
        <v>820004.13800000015</v>
      </c>
      <c r="K18" s="8">
        <v>839543.97200000007</v>
      </c>
      <c r="L18" s="8">
        <v>857834.66400000011</v>
      </c>
      <c r="M18" s="8">
        <v>868223.01100000006</v>
      </c>
      <c r="N18" s="8">
        <v>916723.13</v>
      </c>
      <c r="O18" s="8">
        <v>941140.2300000001</v>
      </c>
      <c r="P18" s="8">
        <v>970282.33000000007</v>
      </c>
      <c r="Q18" s="8">
        <v>867635.19099999999</v>
      </c>
    </row>
    <row r="19" spans="1:18" x14ac:dyDescent="0.2">
      <c r="E19" s="23" t="s">
        <v>22</v>
      </c>
      <c r="F19" s="30">
        <v>69047.7</v>
      </c>
      <c r="G19" s="30">
        <v>82254.5</v>
      </c>
      <c r="H19" s="30">
        <v>109857.4</v>
      </c>
      <c r="I19" s="30">
        <v>110174.3</v>
      </c>
      <c r="J19" s="30">
        <v>110174.3</v>
      </c>
      <c r="K19" s="30">
        <v>110174.3</v>
      </c>
      <c r="L19" s="30">
        <v>110174.3</v>
      </c>
      <c r="M19" s="30">
        <v>110174.3</v>
      </c>
      <c r="N19" s="30">
        <v>110174.3</v>
      </c>
      <c r="O19" s="30">
        <v>110174.3</v>
      </c>
      <c r="P19" s="30">
        <v>110174.3</v>
      </c>
      <c r="Q19" s="30">
        <v>108625.743</v>
      </c>
    </row>
    <row r="20" spans="1:18" x14ac:dyDescent="0.2">
      <c r="E20" s="23" t="s">
        <v>23</v>
      </c>
      <c r="F20" s="30">
        <v>12534.582</v>
      </c>
      <c r="G20" s="30">
        <v>12534.582</v>
      </c>
      <c r="H20" s="30">
        <v>12534.582</v>
      </c>
      <c r="I20" s="30">
        <v>4059.0479999999998</v>
      </c>
      <c r="J20" s="30">
        <v>4059.0479999999998</v>
      </c>
      <c r="K20" s="30">
        <v>4059.0479999999998</v>
      </c>
      <c r="L20" s="30">
        <v>4059.0479999999998</v>
      </c>
      <c r="M20" s="30">
        <v>4059.0479999999998</v>
      </c>
      <c r="N20" s="30">
        <v>4059.0479999999998</v>
      </c>
      <c r="O20" s="30">
        <v>4059.0479999999998</v>
      </c>
      <c r="P20" s="30">
        <v>4059.0479999999998</v>
      </c>
      <c r="Q20" s="30">
        <v>3347.317</v>
      </c>
    </row>
    <row r="21" spans="1:18" x14ac:dyDescent="0.2">
      <c r="E21" s="23" t="s">
        <v>14</v>
      </c>
      <c r="F21" s="30">
        <v>57474.254999999997</v>
      </c>
      <c r="G21" s="30">
        <v>57474.254999999997</v>
      </c>
      <c r="H21" s="30">
        <v>57474.254999999997</v>
      </c>
      <c r="I21" s="30">
        <v>43496.351000000002</v>
      </c>
      <c r="J21" s="30">
        <v>63127.351000000002</v>
      </c>
      <c r="K21" s="30">
        <v>63569.150999999998</v>
      </c>
      <c r="L21" s="30">
        <v>53401.866999999998</v>
      </c>
      <c r="M21" s="30">
        <v>53401.866999999998</v>
      </c>
      <c r="N21" s="30">
        <v>39343.942000000003</v>
      </c>
      <c r="O21" s="30">
        <v>48165.341999999997</v>
      </c>
      <c r="P21" s="30">
        <v>57002.642</v>
      </c>
      <c r="Q21" s="30">
        <v>49536.072</v>
      </c>
    </row>
    <row r="22" spans="1:18" x14ac:dyDescent="0.2">
      <c r="E22" s="23" t="s">
        <v>15</v>
      </c>
      <c r="F22" s="30">
        <v>144198.36300000001</v>
      </c>
      <c r="G22" s="30">
        <v>144836.86300000001</v>
      </c>
      <c r="H22" s="30">
        <v>171922.86300000001</v>
      </c>
      <c r="I22" s="30">
        <v>174000.46299999999</v>
      </c>
      <c r="J22" s="30">
        <v>167049.80900000001</v>
      </c>
      <c r="K22" s="30">
        <v>177598.90900000001</v>
      </c>
      <c r="L22" s="30">
        <v>187686.109</v>
      </c>
      <c r="M22" s="30">
        <v>190070.80900000001</v>
      </c>
      <c r="N22" s="30">
        <v>199416.609</v>
      </c>
      <c r="O22" s="30">
        <v>207847.40900000001</v>
      </c>
      <c r="P22" s="30">
        <v>208195.30900000001</v>
      </c>
      <c r="Q22" s="30">
        <v>193063.22899999999</v>
      </c>
    </row>
    <row r="23" spans="1:18" x14ac:dyDescent="0.2">
      <c r="E23" s="23" t="s">
        <v>20</v>
      </c>
      <c r="F23" s="30">
        <v>245943.364</v>
      </c>
      <c r="G23" s="30">
        <v>251233.217</v>
      </c>
      <c r="H23" s="30">
        <v>250531.269</v>
      </c>
      <c r="I23" s="30">
        <v>259762.321</v>
      </c>
      <c r="J23" s="30">
        <v>260471.61900000001</v>
      </c>
      <c r="K23" s="30">
        <v>268930.65299999999</v>
      </c>
      <c r="L23" s="30">
        <v>268161.82900000003</v>
      </c>
      <c r="M23" s="30">
        <v>275956.076</v>
      </c>
      <c r="N23" s="30">
        <v>284986.12</v>
      </c>
      <c r="O23" s="30">
        <v>284986.12</v>
      </c>
      <c r="P23" s="30">
        <v>292986.12</v>
      </c>
      <c r="Q23" s="30">
        <v>235956.546</v>
      </c>
    </row>
    <row r="24" spans="1:18" x14ac:dyDescent="0.2">
      <c r="E24" s="23" t="s">
        <v>46</v>
      </c>
      <c r="F24" s="30">
        <v>106614.811</v>
      </c>
      <c r="G24" s="30">
        <v>107114.811</v>
      </c>
      <c r="H24" s="30">
        <v>107114.811</v>
      </c>
      <c r="I24" s="30">
        <v>107114.811</v>
      </c>
      <c r="J24" s="30">
        <v>133174.611</v>
      </c>
      <c r="K24" s="30">
        <v>133252.611</v>
      </c>
      <c r="L24" s="30">
        <v>150601.111</v>
      </c>
      <c r="M24" s="30">
        <v>150810.511</v>
      </c>
      <c r="N24" s="30">
        <v>154940.611</v>
      </c>
      <c r="O24" s="30">
        <v>154940.611</v>
      </c>
      <c r="P24" s="30">
        <v>154940.611</v>
      </c>
      <c r="Q24" s="30">
        <v>137708.74799999999</v>
      </c>
    </row>
    <row r="25" spans="1:18" x14ac:dyDescent="0.2">
      <c r="E25" s="23" t="s">
        <v>47</v>
      </c>
      <c r="F25" s="30">
        <v>81350.399999999994</v>
      </c>
      <c r="G25" s="30">
        <v>81350.399999999994</v>
      </c>
      <c r="H25" s="30">
        <v>81850.399999999994</v>
      </c>
      <c r="I25" s="30">
        <v>81850.399999999994</v>
      </c>
      <c r="J25" s="30">
        <v>81850.399999999994</v>
      </c>
      <c r="K25" s="30">
        <v>81862.3</v>
      </c>
      <c r="L25" s="30">
        <v>83653.399999999994</v>
      </c>
      <c r="M25" s="30">
        <v>83653.399999999994</v>
      </c>
      <c r="N25" s="30">
        <v>123705.5</v>
      </c>
      <c r="O25" s="30">
        <v>130870.39999999999</v>
      </c>
      <c r="P25" s="30">
        <v>142827.29999999999</v>
      </c>
      <c r="Q25" s="30">
        <v>139300.53599999999</v>
      </c>
    </row>
    <row r="26" spans="1:18" x14ac:dyDescent="0.2">
      <c r="E26" s="23" t="s">
        <v>53</v>
      </c>
      <c r="F26" s="30">
        <v>97</v>
      </c>
      <c r="G26" s="30">
        <v>97</v>
      </c>
      <c r="H26" s="30">
        <v>97</v>
      </c>
      <c r="I26" s="30">
        <v>97</v>
      </c>
      <c r="J26" s="30">
        <v>97</v>
      </c>
      <c r="K26" s="30">
        <v>97</v>
      </c>
      <c r="L26" s="30">
        <v>97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8" spans="1:18" ht="15" x14ac:dyDescent="0.25">
      <c r="B28" s="29"/>
      <c r="C28" s="29" t="s">
        <v>147</v>
      </c>
      <c r="D28" s="29"/>
      <c r="E28" s="29"/>
      <c r="F28" s="8">
        <v>313981.14899999998</v>
      </c>
      <c r="G28" s="8">
        <v>313981.14899999998</v>
      </c>
      <c r="H28" s="8">
        <v>313981.14899999998</v>
      </c>
      <c r="I28" s="8">
        <v>313981.14899999998</v>
      </c>
      <c r="J28" s="8">
        <v>313981.14899999998</v>
      </c>
      <c r="K28" s="8">
        <v>313980.96599999996</v>
      </c>
      <c r="L28" s="8">
        <v>313981.14899999998</v>
      </c>
      <c r="M28" s="8">
        <v>375013.75099999999</v>
      </c>
      <c r="N28" s="8">
        <v>329553.5</v>
      </c>
      <c r="O28" s="8">
        <v>329553.5</v>
      </c>
      <c r="P28" s="8">
        <v>329553.5</v>
      </c>
      <c r="Q28" s="8">
        <v>308307.65100000001</v>
      </c>
    </row>
    <row r="29" spans="1:18" ht="15" x14ac:dyDescent="0.25">
      <c r="B29" s="29"/>
      <c r="C29" s="29"/>
      <c r="D29" s="29" t="s">
        <v>34</v>
      </c>
      <c r="E29" s="29"/>
      <c r="F29" s="8">
        <v>291123.53399999999</v>
      </c>
      <c r="G29" s="8">
        <v>291123.53399999999</v>
      </c>
      <c r="H29" s="8">
        <v>291123.53399999999</v>
      </c>
      <c r="I29" s="8">
        <v>291123.53399999999</v>
      </c>
      <c r="J29" s="8">
        <v>291123.53399999999</v>
      </c>
      <c r="K29" s="8">
        <v>291123.35099999997</v>
      </c>
      <c r="L29" s="8">
        <v>291123.53399999999</v>
      </c>
      <c r="M29" s="8">
        <v>352156.136</v>
      </c>
      <c r="N29" s="8">
        <v>313395.88500000001</v>
      </c>
      <c r="O29" s="8">
        <v>313395.88500000001</v>
      </c>
      <c r="P29" s="8">
        <v>313395.88500000001</v>
      </c>
      <c r="Q29" s="8">
        <v>292150.03600000002</v>
      </c>
      <c r="R29" s="32"/>
    </row>
    <row r="30" spans="1:18" ht="15" x14ac:dyDescent="0.25">
      <c r="A30" s="29"/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8" x14ac:dyDescent="0.2">
      <c r="E31" s="23" t="s">
        <v>28</v>
      </c>
      <c r="F31" s="30">
        <v>96452.183000000005</v>
      </c>
      <c r="G31" s="30">
        <v>96452.183000000005</v>
      </c>
      <c r="H31" s="30">
        <v>96452.183000000005</v>
      </c>
      <c r="I31" s="30">
        <v>96452.183000000005</v>
      </c>
      <c r="J31" s="30">
        <v>96452.183000000005</v>
      </c>
      <c r="K31" s="30">
        <v>96452</v>
      </c>
      <c r="L31" s="30">
        <v>96452.183000000005</v>
      </c>
      <c r="M31" s="30">
        <v>59984.785000000003</v>
      </c>
      <c r="N31" s="30">
        <v>59984.785000000003</v>
      </c>
      <c r="O31" s="30">
        <v>59984.785000000003</v>
      </c>
      <c r="P31" s="30">
        <v>59984.785000000003</v>
      </c>
      <c r="Q31" s="30">
        <v>58870.004999999997</v>
      </c>
    </row>
    <row r="32" spans="1:18" x14ac:dyDescent="0.2">
      <c r="E32" s="23" t="s">
        <v>27</v>
      </c>
      <c r="F32" s="30">
        <v>165298.47099999999</v>
      </c>
      <c r="G32" s="30">
        <v>165298.47099999999</v>
      </c>
      <c r="H32" s="30">
        <v>165298.47099999999</v>
      </c>
      <c r="I32" s="30">
        <v>165298.47099999999</v>
      </c>
      <c r="J32" s="30">
        <v>165298.47099999999</v>
      </c>
      <c r="K32" s="30">
        <v>165298.47099999999</v>
      </c>
      <c r="L32" s="30">
        <v>165298.47099999999</v>
      </c>
      <c r="M32" s="30">
        <v>197028.47099999999</v>
      </c>
      <c r="N32" s="30">
        <v>158268.22</v>
      </c>
      <c r="O32" s="30">
        <v>158268.22</v>
      </c>
      <c r="P32" s="30">
        <v>158268.22</v>
      </c>
      <c r="Q32" s="30">
        <v>148188.53400000001</v>
      </c>
    </row>
    <row r="33" spans="1:17" x14ac:dyDescent="0.2">
      <c r="E33" s="23" t="s">
        <v>58</v>
      </c>
      <c r="F33" s="30">
        <v>29372.880000000001</v>
      </c>
      <c r="G33" s="30">
        <v>29372.880000000001</v>
      </c>
      <c r="H33" s="30">
        <v>29372.880000000001</v>
      </c>
      <c r="I33" s="30">
        <v>29372.880000000001</v>
      </c>
      <c r="J33" s="30">
        <v>29372.880000000001</v>
      </c>
      <c r="K33" s="30">
        <v>29372.880000000001</v>
      </c>
      <c r="L33" s="30">
        <v>29372.880000000001</v>
      </c>
      <c r="M33" s="30">
        <v>63380.88</v>
      </c>
      <c r="N33" s="30">
        <v>63380.88</v>
      </c>
      <c r="O33" s="30">
        <v>63380.88</v>
      </c>
      <c r="P33" s="30">
        <v>63380.88</v>
      </c>
      <c r="Q33" s="30">
        <v>61311.947</v>
      </c>
    </row>
    <row r="34" spans="1:17" x14ac:dyDescent="0.2">
      <c r="E34" s="23" t="s">
        <v>54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31762</v>
      </c>
      <c r="N34" s="30">
        <v>31762</v>
      </c>
      <c r="O34" s="30">
        <v>31762</v>
      </c>
      <c r="P34" s="30">
        <v>31762</v>
      </c>
      <c r="Q34" s="30">
        <v>23779.55</v>
      </c>
    </row>
    <row r="35" spans="1:17" x14ac:dyDescent="0.2"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ht="15" x14ac:dyDescent="0.25">
      <c r="C36" s="29"/>
      <c r="D36" s="29" t="s">
        <v>35</v>
      </c>
      <c r="E36" s="29"/>
      <c r="F36" s="8">
        <v>6700</v>
      </c>
      <c r="G36" s="8">
        <v>6700</v>
      </c>
      <c r="H36" s="8">
        <v>6700</v>
      </c>
      <c r="I36" s="8">
        <v>6700</v>
      </c>
      <c r="J36" s="8">
        <v>6700</v>
      </c>
      <c r="K36" s="8">
        <v>6700</v>
      </c>
      <c r="L36" s="8">
        <v>6700</v>
      </c>
      <c r="M36" s="8">
        <v>6700</v>
      </c>
      <c r="N36" s="8">
        <v>0</v>
      </c>
      <c r="O36" s="8">
        <v>0</v>
      </c>
      <c r="P36" s="8">
        <v>0</v>
      </c>
      <c r="Q36" s="8">
        <v>0</v>
      </c>
    </row>
    <row r="37" spans="1:17" ht="7.5" customHeight="1" x14ac:dyDescent="0.25">
      <c r="A37" s="29"/>
      <c r="B37" s="29"/>
      <c r="C37" s="29"/>
      <c r="D37" s="29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x14ac:dyDescent="0.2">
      <c r="E38" s="23" t="s">
        <v>26</v>
      </c>
      <c r="F38" s="30">
        <v>6700</v>
      </c>
      <c r="G38" s="30">
        <v>6700</v>
      </c>
      <c r="H38" s="30">
        <v>6700</v>
      </c>
      <c r="I38" s="30">
        <v>6700</v>
      </c>
      <c r="J38" s="30">
        <v>6700</v>
      </c>
      <c r="K38" s="30">
        <v>6700</v>
      </c>
      <c r="L38" s="30">
        <v>6700</v>
      </c>
      <c r="M38" s="30">
        <v>6700</v>
      </c>
      <c r="N38" s="30">
        <v>0</v>
      </c>
      <c r="O38" s="30">
        <v>0</v>
      </c>
      <c r="P38" s="30">
        <v>0</v>
      </c>
      <c r="Q38" s="30">
        <v>0</v>
      </c>
    </row>
    <row r="39" spans="1:17" x14ac:dyDescent="0.2"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 ht="15" x14ac:dyDescent="0.25">
      <c r="B40" s="29"/>
      <c r="C40" s="29"/>
      <c r="D40" s="29" t="s">
        <v>196</v>
      </c>
      <c r="E40" s="29"/>
      <c r="F40" s="28">
        <v>16157.615</v>
      </c>
      <c r="G40" s="28">
        <v>16157.615</v>
      </c>
      <c r="H40" s="28">
        <v>16157.615</v>
      </c>
      <c r="I40" s="28">
        <v>16157.615</v>
      </c>
      <c r="J40" s="28">
        <v>16157.615</v>
      </c>
      <c r="K40" s="28">
        <v>16157.615</v>
      </c>
      <c r="L40" s="28">
        <v>16157.615</v>
      </c>
      <c r="M40" s="28">
        <v>16157.615</v>
      </c>
      <c r="N40" s="28">
        <v>16157.615</v>
      </c>
      <c r="O40" s="28">
        <v>16157.615</v>
      </c>
      <c r="P40" s="28">
        <v>16157.615</v>
      </c>
      <c r="Q40" s="28">
        <v>16157.615</v>
      </c>
    </row>
    <row r="41" spans="1:17" ht="15" x14ac:dyDescent="0.25">
      <c r="B41" s="29"/>
      <c r="C41" s="29"/>
      <c r="D41" s="29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1:17" ht="15" x14ac:dyDescent="0.25">
      <c r="C42" s="31" t="s">
        <v>31</v>
      </c>
      <c r="D42" s="29" t="s">
        <v>202</v>
      </c>
      <c r="E42" s="29"/>
      <c r="F42" s="8">
        <v>60325.5</v>
      </c>
      <c r="G42" s="8">
        <v>60325.5</v>
      </c>
      <c r="H42" s="8">
        <v>60325.5</v>
      </c>
      <c r="I42" s="8">
        <v>60325.5</v>
      </c>
      <c r="J42" s="8">
        <v>60325.5</v>
      </c>
      <c r="K42" s="8">
        <v>60325.5</v>
      </c>
      <c r="L42" s="8">
        <v>60325.5</v>
      </c>
      <c r="M42" s="8">
        <v>60325.5</v>
      </c>
      <c r="N42" s="8">
        <v>60325.5</v>
      </c>
      <c r="O42" s="8">
        <v>60325.5</v>
      </c>
      <c r="P42" s="8">
        <v>60325.5</v>
      </c>
      <c r="Q42" s="8">
        <v>54679.6</v>
      </c>
    </row>
    <row r="43" spans="1:17" ht="15" x14ac:dyDescent="0.25">
      <c r="C43" s="31"/>
      <c r="D43" s="29"/>
      <c r="E43" s="23" t="s">
        <v>40</v>
      </c>
      <c r="F43" s="30">
        <v>25325.5</v>
      </c>
      <c r="G43" s="30">
        <v>25325.5</v>
      </c>
      <c r="H43" s="30">
        <v>25325.5</v>
      </c>
      <c r="I43" s="30">
        <v>25325.5</v>
      </c>
      <c r="J43" s="30">
        <v>25325.5</v>
      </c>
      <c r="K43" s="30">
        <v>25325.5</v>
      </c>
      <c r="L43" s="30">
        <v>25325.5</v>
      </c>
      <c r="M43" s="30">
        <v>25325.5</v>
      </c>
      <c r="N43" s="30">
        <v>25325.5</v>
      </c>
      <c r="O43" s="30">
        <v>25325.5</v>
      </c>
      <c r="P43" s="30">
        <v>25325.5</v>
      </c>
      <c r="Q43" s="30">
        <v>19679.599999999999</v>
      </c>
    </row>
    <row r="44" spans="1:17" ht="15" x14ac:dyDescent="0.25">
      <c r="D44" s="29"/>
      <c r="E44" s="23" t="s">
        <v>48</v>
      </c>
      <c r="F44" s="30">
        <v>35000</v>
      </c>
      <c r="G44" s="30">
        <v>35000</v>
      </c>
      <c r="H44" s="30">
        <v>35000</v>
      </c>
      <c r="I44" s="30">
        <v>35000</v>
      </c>
      <c r="J44" s="30">
        <v>35000</v>
      </c>
      <c r="K44" s="30">
        <v>35000</v>
      </c>
      <c r="L44" s="30">
        <v>35000</v>
      </c>
      <c r="M44" s="30">
        <v>35000</v>
      </c>
      <c r="N44" s="30">
        <v>35000</v>
      </c>
      <c r="O44" s="30">
        <v>35000</v>
      </c>
      <c r="P44" s="30">
        <v>35000</v>
      </c>
      <c r="Q44" s="30">
        <v>35000</v>
      </c>
    </row>
    <row r="45" spans="1:17" ht="15" x14ac:dyDescent="0.25">
      <c r="C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5" x14ac:dyDescent="0.25">
      <c r="C46" s="31" t="s">
        <v>32</v>
      </c>
      <c r="D46" s="29" t="s">
        <v>186</v>
      </c>
      <c r="F46" s="8">
        <v>753165.25600000005</v>
      </c>
      <c r="G46" s="8">
        <v>691527.08400000003</v>
      </c>
      <c r="H46" s="8">
        <v>725026.58400000003</v>
      </c>
      <c r="I46" s="8">
        <v>725026.78399999999</v>
      </c>
      <c r="J46" s="8">
        <v>725026.78399999999</v>
      </c>
      <c r="K46" s="8">
        <v>725026.78399999999</v>
      </c>
      <c r="L46" s="8">
        <v>725026.78399999999</v>
      </c>
      <c r="M46" s="8">
        <v>725026.78399999999</v>
      </c>
      <c r="N46" s="8">
        <v>725026.78399999999</v>
      </c>
      <c r="O46" s="8">
        <v>725026.78399999999</v>
      </c>
      <c r="P46" s="8">
        <v>725026.78399999999</v>
      </c>
      <c r="Q46" s="8">
        <v>872140.38500000001</v>
      </c>
    </row>
    <row r="47" spans="1:17" ht="15" x14ac:dyDescent="0.25">
      <c r="C47" s="31"/>
      <c r="D47" s="29"/>
      <c r="E47" s="23" t="s">
        <v>63</v>
      </c>
      <c r="F47" s="8">
        <f>SUM(F49:F52)</f>
        <v>753165.25600000005</v>
      </c>
      <c r="G47" s="8">
        <f t="shared" ref="G47:Q47" si="0">SUM(G49:G52)</f>
        <v>691527.08400000003</v>
      </c>
      <c r="H47" s="8">
        <f t="shared" si="0"/>
        <v>725026.58400000003</v>
      </c>
      <c r="I47" s="8">
        <f t="shared" si="0"/>
        <v>725026.78399999999</v>
      </c>
      <c r="J47" s="8">
        <f t="shared" si="0"/>
        <v>725026.78399999999</v>
      </c>
      <c r="K47" s="8">
        <f t="shared" si="0"/>
        <v>725026.78399999999</v>
      </c>
      <c r="L47" s="8">
        <f t="shared" si="0"/>
        <v>725026.78399999999</v>
      </c>
      <c r="M47" s="8">
        <f t="shared" si="0"/>
        <v>725026.78399999999</v>
      </c>
      <c r="N47" s="8">
        <f t="shared" si="0"/>
        <v>725026.78399999999</v>
      </c>
      <c r="O47" s="8">
        <f t="shared" si="0"/>
        <v>725026.78399999999</v>
      </c>
      <c r="P47" s="8">
        <f t="shared" si="0"/>
        <v>725026.78399999999</v>
      </c>
      <c r="Q47" s="8">
        <f t="shared" si="0"/>
        <v>672677.41800000006</v>
      </c>
    </row>
    <row r="48" spans="1:17" ht="3.75" customHeight="1" x14ac:dyDescent="0.25">
      <c r="C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1:17" ht="15" x14ac:dyDescent="0.25">
      <c r="C49" s="31"/>
      <c r="E49" s="23" t="s">
        <v>41</v>
      </c>
      <c r="F49" s="30">
        <v>61638.171999999999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</row>
    <row r="50" spans="1:17" ht="15" x14ac:dyDescent="0.25">
      <c r="C50" s="31"/>
      <c r="E50" s="23" t="s">
        <v>42</v>
      </c>
      <c r="F50" s="30">
        <v>347523.17700000003</v>
      </c>
      <c r="G50" s="30">
        <v>347523.17700000003</v>
      </c>
      <c r="H50" s="30">
        <v>347523.17700000003</v>
      </c>
      <c r="I50" s="30">
        <v>347523.17700000003</v>
      </c>
      <c r="J50" s="30">
        <v>347523.17700000003</v>
      </c>
      <c r="K50" s="30">
        <v>347523.17700000003</v>
      </c>
      <c r="L50" s="30">
        <v>347523.17700000003</v>
      </c>
      <c r="M50" s="30">
        <v>347523.17700000003</v>
      </c>
      <c r="N50" s="30">
        <v>347523.17700000003</v>
      </c>
      <c r="O50" s="30">
        <v>347523.17700000003</v>
      </c>
      <c r="P50" s="30">
        <v>347523.17700000003</v>
      </c>
      <c r="Q50" s="30">
        <v>327813.22700000001</v>
      </c>
    </row>
    <row r="51" spans="1:17" ht="15" x14ac:dyDescent="0.25">
      <c r="C51" s="31"/>
      <c r="E51" s="23" t="s">
        <v>43</v>
      </c>
      <c r="F51" s="30">
        <v>242076.86</v>
      </c>
      <c r="G51" s="30">
        <v>242076.86</v>
      </c>
      <c r="H51" s="30">
        <v>275576.36</v>
      </c>
      <c r="I51" s="30">
        <v>275576.56</v>
      </c>
      <c r="J51" s="30">
        <v>275576.56</v>
      </c>
      <c r="K51" s="30">
        <v>275576.56</v>
      </c>
      <c r="L51" s="30">
        <v>275576.56</v>
      </c>
      <c r="M51" s="30">
        <v>275576.56</v>
      </c>
      <c r="N51" s="30">
        <v>275576.56</v>
      </c>
      <c r="O51" s="30">
        <v>275576.56</v>
      </c>
      <c r="P51" s="30">
        <v>275576.56</v>
      </c>
      <c r="Q51" s="30">
        <v>261217.09299999999</v>
      </c>
    </row>
    <row r="52" spans="1:17" ht="15" x14ac:dyDescent="0.25">
      <c r="A52" s="29"/>
      <c r="B52" s="29"/>
      <c r="C52" s="29"/>
      <c r="E52" s="23" t="s">
        <v>54</v>
      </c>
      <c r="F52" s="30">
        <v>101927.04700000001</v>
      </c>
      <c r="G52" s="30">
        <v>101927.04700000001</v>
      </c>
      <c r="H52" s="30">
        <v>101927.04700000001</v>
      </c>
      <c r="I52" s="30">
        <v>101927.04700000001</v>
      </c>
      <c r="J52" s="30">
        <v>101927.04700000001</v>
      </c>
      <c r="K52" s="30">
        <v>101927.04700000001</v>
      </c>
      <c r="L52" s="30">
        <v>101927.04700000001</v>
      </c>
      <c r="M52" s="30">
        <v>101927.04700000001</v>
      </c>
      <c r="N52" s="30">
        <v>101927.04700000001</v>
      </c>
      <c r="O52" s="30">
        <v>101927.04700000001</v>
      </c>
      <c r="P52" s="30">
        <v>101927.04700000001</v>
      </c>
      <c r="Q52" s="30">
        <v>83647.097999999998</v>
      </c>
    </row>
    <row r="53" spans="1:17" ht="15" x14ac:dyDescent="0.25">
      <c r="A53" s="29"/>
      <c r="B53" s="29"/>
      <c r="C53" s="29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5" x14ac:dyDescent="0.25">
      <c r="A54" s="29"/>
      <c r="B54" s="29"/>
      <c r="C54" s="31"/>
      <c r="D54" s="29"/>
      <c r="E54" s="23" t="s">
        <v>64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199462.967</v>
      </c>
    </row>
    <row r="55" spans="1:17" ht="8.25" customHeight="1" x14ac:dyDescent="0.25">
      <c r="A55" s="29"/>
      <c r="B55" s="29"/>
      <c r="C55" s="31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15" x14ac:dyDescent="0.25">
      <c r="A56" s="29"/>
      <c r="B56" s="29"/>
      <c r="C56" s="29"/>
      <c r="E56" s="23" t="s">
        <v>62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33452.925999999999</v>
      </c>
    </row>
    <row r="57" spans="1:17" ht="15" x14ac:dyDescent="0.25">
      <c r="A57" s="29"/>
      <c r="B57" s="29"/>
      <c r="C57" s="29"/>
      <c r="E57" s="23" t="s">
        <v>19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166010.041</v>
      </c>
    </row>
    <row r="58" spans="1:17" ht="15" x14ac:dyDescent="0.25">
      <c r="A58" s="29"/>
      <c r="B58" s="29"/>
      <c r="C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15" x14ac:dyDescent="0.25">
      <c r="A59" s="29"/>
      <c r="B59" s="29"/>
      <c r="C59" s="29" t="s">
        <v>198</v>
      </c>
      <c r="D59" s="29"/>
      <c r="E59" s="29"/>
      <c r="F59" s="28">
        <v>50000</v>
      </c>
      <c r="G59" s="28">
        <v>50000</v>
      </c>
      <c r="H59" s="28">
        <v>50000</v>
      </c>
      <c r="I59" s="28">
        <v>50000</v>
      </c>
      <c r="J59" s="28">
        <v>50000</v>
      </c>
      <c r="K59" s="28">
        <v>50000</v>
      </c>
      <c r="L59" s="28">
        <v>50000</v>
      </c>
      <c r="M59" s="28">
        <v>50000</v>
      </c>
      <c r="N59" s="28">
        <v>50000</v>
      </c>
      <c r="O59" s="28">
        <v>50000</v>
      </c>
      <c r="P59" s="28">
        <v>50000</v>
      </c>
      <c r="Q59" s="28">
        <v>50000</v>
      </c>
    </row>
    <row r="60" spans="1:17" ht="15" x14ac:dyDescent="0.25">
      <c r="A60" s="29"/>
      <c r="B60" s="29"/>
      <c r="C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15" x14ac:dyDescent="0.25">
      <c r="A61" s="29"/>
      <c r="B61" s="29"/>
      <c r="C61" s="29" t="s">
        <v>199</v>
      </c>
      <c r="D61" s="29"/>
      <c r="E61" s="29"/>
      <c r="F61" s="28">
        <v>7960.8890000000001</v>
      </c>
      <c r="G61" s="28">
        <v>7845.2290000000003</v>
      </c>
      <c r="H61" s="28">
        <v>7782.67</v>
      </c>
      <c r="I61" s="28">
        <v>7731.4049999999997</v>
      </c>
      <c r="J61" s="28">
        <v>7697.7910000000002</v>
      </c>
      <c r="K61" s="28">
        <v>7610.6540000000005</v>
      </c>
      <c r="L61" s="28">
        <v>7533.2529999999997</v>
      </c>
      <c r="M61" s="28">
        <v>7460.0510000000004</v>
      </c>
      <c r="N61" s="28">
        <v>7432.4260000000004</v>
      </c>
      <c r="O61" s="28">
        <v>7319.4260000000004</v>
      </c>
      <c r="P61" s="28">
        <v>7199.192</v>
      </c>
      <c r="Q61" s="28">
        <v>7037.6379999999999</v>
      </c>
    </row>
    <row r="62" spans="1:17" ht="15" x14ac:dyDescent="0.25">
      <c r="A62" s="29"/>
      <c r="B62" s="29"/>
      <c r="C62" s="29"/>
      <c r="D62" s="29"/>
      <c r="E62" s="29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ht="15" x14ac:dyDescent="0.25">
      <c r="A63" s="29"/>
      <c r="B63" s="29"/>
      <c r="C63" s="31" t="s">
        <v>190</v>
      </c>
      <c r="D63" s="29" t="s">
        <v>200</v>
      </c>
      <c r="F63" s="8">
        <f>F65+F69</f>
        <v>0</v>
      </c>
      <c r="G63" s="8">
        <f t="shared" ref="G63:Q63" si="1">G65+G69</f>
        <v>0</v>
      </c>
      <c r="H63" s="8">
        <f t="shared" si="1"/>
        <v>0</v>
      </c>
      <c r="I63" s="8">
        <f t="shared" si="1"/>
        <v>22292.069</v>
      </c>
      <c r="J63" s="8">
        <f t="shared" si="1"/>
        <v>22731.205999999998</v>
      </c>
      <c r="K63" s="8">
        <f t="shared" si="1"/>
        <v>22832.741999999998</v>
      </c>
      <c r="L63" s="8">
        <f t="shared" si="1"/>
        <v>22786.013999999999</v>
      </c>
      <c r="M63" s="8">
        <f t="shared" si="1"/>
        <v>22373.433000000001</v>
      </c>
      <c r="N63" s="8">
        <f t="shared" si="1"/>
        <v>22048.333999999999</v>
      </c>
      <c r="O63" s="8">
        <f t="shared" si="1"/>
        <v>21742.874</v>
      </c>
      <c r="P63" s="8">
        <f t="shared" si="1"/>
        <v>22030.272000000001</v>
      </c>
      <c r="Q63" s="8">
        <f t="shared" si="1"/>
        <v>21889.041000000001</v>
      </c>
    </row>
    <row r="64" spans="1:17" ht="15" x14ac:dyDescent="0.25">
      <c r="A64" s="29"/>
      <c r="B64" s="29"/>
      <c r="C64" s="29"/>
      <c r="D64" s="29"/>
      <c r="E64" s="29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ht="15" x14ac:dyDescent="0.25">
      <c r="A65" s="29"/>
      <c r="B65" s="29"/>
      <c r="C65" s="29"/>
      <c r="D65" s="29"/>
      <c r="E65" s="29" t="s">
        <v>60</v>
      </c>
      <c r="F65" s="28">
        <f>SUM(F66:F67)</f>
        <v>0</v>
      </c>
      <c r="G65" s="28">
        <f t="shared" ref="G65:Q65" si="2">SUM(G66:G67)</f>
        <v>0</v>
      </c>
      <c r="H65" s="28">
        <f t="shared" si="2"/>
        <v>0</v>
      </c>
      <c r="I65" s="28">
        <f t="shared" si="2"/>
        <v>17859.999</v>
      </c>
      <c r="J65" s="28">
        <f t="shared" si="2"/>
        <v>18479.999</v>
      </c>
      <c r="K65" s="28">
        <f t="shared" si="2"/>
        <v>18559.999</v>
      </c>
      <c r="L65" s="28">
        <f t="shared" si="2"/>
        <v>18299.999</v>
      </c>
      <c r="M65" s="28">
        <f t="shared" si="2"/>
        <v>18079.999</v>
      </c>
      <c r="N65" s="28">
        <f t="shared" si="2"/>
        <v>17559.999</v>
      </c>
      <c r="O65" s="28">
        <f t="shared" si="2"/>
        <v>17240.002</v>
      </c>
      <c r="P65" s="28">
        <f t="shared" si="2"/>
        <v>17679.999</v>
      </c>
      <c r="Q65" s="28">
        <f t="shared" si="2"/>
        <v>17539.999</v>
      </c>
    </row>
    <row r="66" spans="1:17" ht="15" x14ac:dyDescent="0.25">
      <c r="A66" s="29"/>
      <c r="B66" s="29"/>
      <c r="C66" s="29"/>
      <c r="D66" s="29"/>
      <c r="E66" s="23" t="s">
        <v>41</v>
      </c>
      <c r="F66" s="30">
        <v>0</v>
      </c>
      <c r="G66" s="30">
        <v>0</v>
      </c>
      <c r="H66" s="30">
        <v>0</v>
      </c>
      <c r="I66" s="30">
        <v>11860.691999999999</v>
      </c>
      <c r="J66" s="30">
        <v>12272.429</v>
      </c>
      <c r="K66" s="30">
        <v>12325.556</v>
      </c>
      <c r="L66" s="30">
        <v>12152.892</v>
      </c>
      <c r="M66" s="30">
        <v>12006.791999999999</v>
      </c>
      <c r="N66" s="30">
        <v>11661.464</v>
      </c>
      <c r="O66" s="30">
        <v>11448.954</v>
      </c>
      <c r="P66" s="30">
        <v>11741.155000000001</v>
      </c>
      <c r="Q66" s="30">
        <v>11648.182000000001</v>
      </c>
    </row>
    <row r="67" spans="1:17" ht="15" x14ac:dyDescent="0.25">
      <c r="A67" s="29"/>
      <c r="B67" s="29"/>
      <c r="C67" s="29"/>
      <c r="D67" s="29"/>
      <c r="E67" s="23" t="s">
        <v>42</v>
      </c>
      <c r="F67" s="30">
        <v>0</v>
      </c>
      <c r="G67" s="30">
        <v>0</v>
      </c>
      <c r="H67" s="30">
        <v>0</v>
      </c>
      <c r="I67" s="30">
        <v>5999.3069999999998</v>
      </c>
      <c r="J67" s="30">
        <v>6207.57</v>
      </c>
      <c r="K67" s="30">
        <v>6234.4430000000002</v>
      </c>
      <c r="L67" s="30">
        <v>6147.107</v>
      </c>
      <c r="M67" s="30">
        <v>6073.2070000000003</v>
      </c>
      <c r="N67" s="30">
        <v>5898.5349999999999</v>
      </c>
      <c r="O67" s="30">
        <v>5791.0479999999998</v>
      </c>
      <c r="P67" s="30">
        <v>5938.8440000000001</v>
      </c>
      <c r="Q67" s="30">
        <v>5891.817</v>
      </c>
    </row>
    <row r="68" spans="1:17" ht="15" x14ac:dyDescent="0.25">
      <c r="A68" s="29"/>
      <c r="B68" s="29"/>
      <c r="C68" s="29"/>
      <c r="D68" s="29"/>
      <c r="E68" s="29"/>
      <c r="F68" s="28"/>
      <c r="G68" s="28"/>
      <c r="H68" s="28"/>
      <c r="I68" s="30"/>
      <c r="J68" s="30"/>
      <c r="K68" s="30"/>
      <c r="L68" s="30"/>
      <c r="M68" s="30"/>
      <c r="N68" s="30"/>
      <c r="O68" s="30"/>
      <c r="P68" s="30"/>
      <c r="Q68" s="30"/>
    </row>
    <row r="69" spans="1:17" ht="15" x14ac:dyDescent="0.25">
      <c r="A69" s="29"/>
      <c r="B69" s="29"/>
      <c r="C69" s="29"/>
      <c r="D69" s="29"/>
      <c r="E69" s="29" t="s">
        <v>61</v>
      </c>
      <c r="F69" s="28">
        <f>SUM(F70:F71)</f>
        <v>0</v>
      </c>
      <c r="G69" s="28">
        <f t="shared" ref="G69" si="3">SUM(G70:G71)</f>
        <v>0</v>
      </c>
      <c r="H69" s="28">
        <f t="shared" ref="H69" si="4">SUM(H70:H71)</f>
        <v>0</v>
      </c>
      <c r="I69" s="28">
        <v>4432.07</v>
      </c>
      <c r="J69" s="28">
        <v>4251.2070000000003</v>
      </c>
      <c r="K69" s="28">
        <v>4272.7430000000004</v>
      </c>
      <c r="L69" s="28">
        <v>4486.0149999999994</v>
      </c>
      <c r="M69" s="28">
        <v>4293.4340000000002</v>
      </c>
      <c r="N69" s="28">
        <v>4488.335</v>
      </c>
      <c r="O69" s="28">
        <v>4502.8719999999994</v>
      </c>
      <c r="P69" s="28">
        <v>4350.2730000000001</v>
      </c>
      <c r="Q69" s="28">
        <v>4349.0420000000004</v>
      </c>
    </row>
    <row r="70" spans="1:17" ht="15" x14ac:dyDescent="0.25">
      <c r="A70" s="29"/>
      <c r="B70" s="29"/>
      <c r="C70" s="29"/>
      <c r="D70" s="29"/>
      <c r="E70" s="23" t="s">
        <v>41</v>
      </c>
      <c r="F70" s="30">
        <v>0</v>
      </c>
      <c r="G70" s="30">
        <v>0</v>
      </c>
      <c r="H70" s="30">
        <v>0</v>
      </c>
      <c r="I70" s="30">
        <v>4115.5969999999998</v>
      </c>
      <c r="J70" s="30">
        <v>3947.6489999999999</v>
      </c>
      <c r="K70" s="30">
        <v>3967.6469999999999</v>
      </c>
      <c r="L70" s="30">
        <v>4165.6899999999996</v>
      </c>
      <c r="M70" s="30">
        <v>3986.86</v>
      </c>
      <c r="N70" s="30">
        <v>4167.8440000000001</v>
      </c>
      <c r="O70" s="30">
        <v>4181.3429999999998</v>
      </c>
      <c r="P70" s="30">
        <v>4039.6410000000001</v>
      </c>
      <c r="Q70" s="30">
        <v>4038.498</v>
      </c>
    </row>
    <row r="71" spans="1:17" ht="15" x14ac:dyDescent="0.25">
      <c r="A71" s="29"/>
      <c r="B71" s="29"/>
      <c r="C71" s="29"/>
      <c r="D71" s="29"/>
      <c r="E71" s="23" t="s">
        <v>42</v>
      </c>
      <c r="F71" s="30">
        <v>0</v>
      </c>
      <c r="G71" s="30">
        <v>0</v>
      </c>
      <c r="H71" s="30">
        <v>0</v>
      </c>
      <c r="I71" s="30">
        <v>316.47300000000001</v>
      </c>
      <c r="J71" s="30">
        <v>303.55799999999999</v>
      </c>
      <c r="K71" s="30">
        <v>305.096</v>
      </c>
      <c r="L71" s="30">
        <v>320.32499999999999</v>
      </c>
      <c r="M71" s="30">
        <v>306.57400000000001</v>
      </c>
      <c r="N71" s="30">
        <v>320.49099999999999</v>
      </c>
      <c r="O71" s="30">
        <v>321.529</v>
      </c>
      <c r="P71" s="30">
        <v>310.63200000000001</v>
      </c>
      <c r="Q71" s="30">
        <v>310.54399999999998</v>
      </c>
    </row>
    <row r="72" spans="1:17" ht="15" x14ac:dyDescent="0.25">
      <c r="A72" s="29"/>
      <c r="B72" s="29"/>
      <c r="C72" s="29"/>
      <c r="D72" s="29"/>
      <c r="E72" s="29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1:17" ht="15" x14ac:dyDescent="0.25">
      <c r="A73" s="29" t="s">
        <v>49</v>
      </c>
      <c r="B73" s="29"/>
      <c r="C73" s="29"/>
      <c r="D73" s="29"/>
      <c r="E73" s="29"/>
      <c r="F73" s="28">
        <v>79382.403999999995</v>
      </c>
      <c r="G73" s="28">
        <v>79382.14</v>
      </c>
      <c r="H73" s="28">
        <v>91381.11</v>
      </c>
      <c r="I73" s="28">
        <v>121380</v>
      </c>
      <c r="J73" s="28">
        <v>112318.52800000001</v>
      </c>
      <c r="K73" s="28">
        <v>112318.22900000001</v>
      </c>
      <c r="L73" s="28">
        <v>112317.33199999999</v>
      </c>
      <c r="M73" s="28">
        <v>112316.792</v>
      </c>
      <c r="N73" s="28">
        <v>112316.789</v>
      </c>
      <c r="O73" s="28">
        <v>112316.49099999999</v>
      </c>
      <c r="P73" s="28">
        <v>112312.905</v>
      </c>
      <c r="Q73" s="28">
        <v>100312.226</v>
      </c>
    </row>
    <row r="74" spans="1:17" x14ac:dyDescent="0.2">
      <c r="F74" s="32"/>
      <c r="G74" s="33"/>
      <c r="H74" s="32"/>
      <c r="I74" s="32"/>
      <c r="J74" s="32"/>
      <c r="K74" s="32"/>
      <c r="L74" s="32"/>
    </row>
    <row r="75" spans="1:17" x14ac:dyDescent="0.2">
      <c r="F75" s="32"/>
      <c r="G75" s="33"/>
      <c r="H75" s="32"/>
      <c r="I75" s="32"/>
      <c r="J75" s="32"/>
      <c r="K75" s="32"/>
      <c r="L75" s="32"/>
    </row>
    <row r="76" spans="1:17" ht="15" x14ac:dyDescent="0.25">
      <c r="A76" s="29"/>
      <c r="B76" s="65"/>
      <c r="C76" s="65"/>
      <c r="D76" s="65"/>
      <c r="E76" s="23" t="s">
        <v>29</v>
      </c>
      <c r="F76" s="65"/>
      <c r="G76" s="65"/>
      <c r="H76" s="65"/>
      <c r="I76" s="65"/>
      <c r="J76" s="65"/>
      <c r="K76" s="65"/>
      <c r="L76" s="65"/>
    </row>
    <row r="77" spans="1:17" x14ac:dyDescent="0.2">
      <c r="B77" s="66"/>
      <c r="C77" s="66"/>
      <c r="D77" s="66"/>
      <c r="E77" s="32" t="s">
        <v>30</v>
      </c>
      <c r="F77" s="66"/>
      <c r="G77" s="66"/>
      <c r="H77" s="66"/>
      <c r="I77" s="66"/>
      <c r="J77" s="66"/>
      <c r="K77" s="66"/>
      <c r="L77" s="66"/>
    </row>
    <row r="78" spans="1:17" ht="15" x14ac:dyDescent="0.25">
      <c r="A78" s="29"/>
      <c r="B78" s="65"/>
      <c r="C78" s="65"/>
      <c r="D78" s="65"/>
      <c r="E78" s="67"/>
      <c r="F78" s="65"/>
      <c r="G78" s="65"/>
      <c r="H78" s="65"/>
      <c r="I78" s="65"/>
      <c r="J78" s="65"/>
      <c r="K78" s="65"/>
      <c r="L78" s="65"/>
    </row>
    <row r="79" spans="1:17" x14ac:dyDescent="0.2">
      <c r="A79" s="34"/>
      <c r="B79" s="35"/>
      <c r="C79" s="35"/>
    </row>
    <row r="80" spans="1:17" x14ac:dyDescent="0.2">
      <c r="A80" s="34"/>
      <c r="B80" s="35" t="s">
        <v>21</v>
      </c>
      <c r="C80" s="35"/>
      <c r="D80" s="35"/>
      <c r="E80" s="35"/>
      <c r="F80" s="35"/>
      <c r="G80" s="37"/>
    </row>
    <row r="82" spans="1:3" x14ac:dyDescent="0.2">
      <c r="A82" s="35"/>
      <c r="B82" s="35"/>
      <c r="C82" s="35"/>
    </row>
    <row r="83" spans="1:3" x14ac:dyDescent="0.2">
      <c r="A83" s="36"/>
      <c r="B83" s="35"/>
      <c r="C83" s="35"/>
    </row>
  </sheetData>
  <mergeCells count="4">
    <mergeCell ref="A5:E6"/>
    <mergeCell ref="A1:Q1"/>
    <mergeCell ref="A2:Q2"/>
    <mergeCell ref="A3:Q3"/>
  </mergeCells>
  <printOptions horizontalCentered="1"/>
  <pageMargins left="0" right="0" top="0.60236220500000004" bottom="0.59055118110236204" header="0.511811023622047" footer="0.511811023622047"/>
  <pageSetup paperSize="9" scale="6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68"/>
  <sheetViews>
    <sheetView zoomScaleNormal="100" zoomScaleSheetLayoutView="85" workbookViewId="0">
      <pane xSplit="5" ySplit="8" topLeftCell="F9" activePane="bottomRight" state="frozen"/>
      <selection pane="topRight"/>
      <selection pane="bottomLeft"/>
      <selection pane="bottomRight" activeCell="S28" sqref="S28"/>
    </sheetView>
  </sheetViews>
  <sheetFormatPr defaultColWidth="9.14062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9.140625" style="23" customWidth="1"/>
    <col min="6" max="6" width="11" style="23" bestFit="1" customWidth="1"/>
    <col min="7" max="7" width="10.7109375" style="23" bestFit="1" customWidth="1"/>
    <col min="8" max="15" width="11" style="23" bestFit="1" customWidth="1"/>
    <col min="16" max="16" width="11" style="23" customWidth="1"/>
    <col min="17" max="17" width="10.7109375" style="23" bestFit="1" customWidth="1"/>
    <col min="18" max="18" width="13.42578125" style="23" customWidth="1"/>
    <col min="19" max="16384" width="9.140625" style="23"/>
  </cols>
  <sheetData>
    <row r="1" spans="1:18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15" x14ac:dyDescent="0.25">
      <c r="A2" s="96" t="s">
        <v>204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8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8" x14ac:dyDescent="0.2">
      <c r="A5" s="104" t="s">
        <v>17</v>
      </c>
      <c r="B5" s="93"/>
      <c r="C5" s="93"/>
      <c r="D5" s="93"/>
      <c r="E5" s="93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7"/>
    </row>
    <row r="6" spans="1:18" ht="15" thickBot="1" x14ac:dyDescent="0.25">
      <c r="A6" s="99"/>
      <c r="B6" s="98"/>
      <c r="C6" s="98"/>
      <c r="D6" s="98"/>
      <c r="E6" s="98"/>
      <c r="F6" s="70" t="s">
        <v>0</v>
      </c>
      <c r="G6" s="70" t="s">
        <v>1</v>
      </c>
      <c r="H6" s="70" t="s">
        <v>2</v>
      </c>
      <c r="I6" s="70" t="s">
        <v>3</v>
      </c>
      <c r="J6" s="70" t="s">
        <v>4</v>
      </c>
      <c r="K6" s="70" t="s">
        <v>18</v>
      </c>
      <c r="L6" s="70" t="s">
        <v>5</v>
      </c>
      <c r="M6" s="70" t="s">
        <v>6</v>
      </c>
      <c r="N6" s="70" t="s">
        <v>10</v>
      </c>
      <c r="O6" s="70" t="s">
        <v>7</v>
      </c>
      <c r="P6" s="70" t="s">
        <v>8</v>
      </c>
      <c r="Q6" s="71" t="s">
        <v>9</v>
      </c>
    </row>
    <row r="7" spans="1:18" ht="15" thickTop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15" x14ac:dyDescent="0.25">
      <c r="A8" s="27" t="s">
        <v>57</v>
      </c>
      <c r="B8" s="27"/>
      <c r="C8" s="27"/>
      <c r="D8" s="27"/>
      <c r="E8" s="27"/>
      <c r="F8" s="6">
        <v>2451342.6999999997</v>
      </c>
      <c r="G8" s="6">
        <v>2357180.58</v>
      </c>
      <c r="H8" s="6">
        <v>2446416.128</v>
      </c>
      <c r="I8" s="6">
        <v>2461353.1090000002</v>
      </c>
      <c r="J8" s="6">
        <v>2332634.5290000001</v>
      </c>
      <c r="K8" s="6">
        <v>2435704.6610000003</v>
      </c>
      <c r="L8" s="6">
        <v>2400599.1229999997</v>
      </c>
      <c r="M8" s="6">
        <v>2368846.0350000001</v>
      </c>
      <c r="N8" s="6">
        <v>2483797.5900000008</v>
      </c>
      <c r="O8" s="6">
        <v>2517369.4979999997</v>
      </c>
      <c r="P8" s="6">
        <v>2524491.8150000004</v>
      </c>
      <c r="Q8" s="6">
        <v>2540173.8750000005</v>
      </c>
    </row>
    <row r="9" spans="1:18" ht="15" x14ac:dyDescent="0.25">
      <c r="A9" s="22"/>
      <c r="B9" s="22"/>
      <c r="C9" s="22"/>
      <c r="D9" s="22"/>
      <c r="E9" s="2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8" ht="15" x14ac:dyDescent="0.25">
      <c r="B10" s="27" t="s">
        <v>51</v>
      </c>
      <c r="C10" s="27"/>
      <c r="D10" s="27"/>
      <c r="E10" s="27"/>
      <c r="F10" s="8">
        <v>2378664.3539999998</v>
      </c>
      <c r="G10" s="8">
        <v>2284510.0090000001</v>
      </c>
      <c r="H10" s="8">
        <v>2377501.557</v>
      </c>
      <c r="I10" s="8">
        <v>2392442.8670000001</v>
      </c>
      <c r="J10" s="8">
        <v>2263729.0959999999</v>
      </c>
      <c r="K10" s="8">
        <v>2366806.6610000003</v>
      </c>
      <c r="L10" s="8">
        <v>2331708.0239999997</v>
      </c>
      <c r="M10" s="8">
        <v>2299957.5240000002</v>
      </c>
      <c r="N10" s="8">
        <v>2414910.3530000006</v>
      </c>
      <c r="O10" s="8">
        <v>2439483.9589999998</v>
      </c>
      <c r="P10" s="8">
        <v>2443108.3820000002</v>
      </c>
      <c r="Q10" s="8">
        <v>2460791.1070000003</v>
      </c>
      <c r="R10" s="8"/>
    </row>
    <row r="11" spans="1:18" ht="15" x14ac:dyDescent="0.25">
      <c r="B11" s="27"/>
      <c r="C11" s="27" t="s">
        <v>24</v>
      </c>
      <c r="D11" s="27"/>
      <c r="E11" s="27" t="s">
        <v>55</v>
      </c>
      <c r="F11" s="8">
        <v>1376333.9200000002</v>
      </c>
      <c r="G11" s="8">
        <v>1375938.574</v>
      </c>
      <c r="H11" s="8">
        <v>1438468.2740000002</v>
      </c>
      <c r="I11" s="8">
        <v>1419616.2520000001</v>
      </c>
      <c r="J11" s="8">
        <v>1393396.19</v>
      </c>
      <c r="K11" s="8">
        <v>1362156.5440000002</v>
      </c>
      <c r="L11" s="8">
        <v>1314225.6070000001</v>
      </c>
      <c r="M11" s="8">
        <v>1268040.2220000001</v>
      </c>
      <c r="N11" s="8">
        <v>1256414.6200000001</v>
      </c>
      <c r="O11" s="8">
        <v>1273563.1129999999</v>
      </c>
      <c r="P11" s="8">
        <v>1269914.6529999999</v>
      </c>
      <c r="Q11" s="8">
        <v>1283571.3089999999</v>
      </c>
    </row>
    <row r="12" spans="1:18" ht="15" x14ac:dyDescent="0.25">
      <c r="B12" s="29"/>
      <c r="C12" s="29"/>
      <c r="D12" s="29" t="s">
        <v>52</v>
      </c>
      <c r="E12" s="29"/>
      <c r="F12" s="8">
        <v>743114</v>
      </c>
      <c r="G12" s="8">
        <v>728551.05499999993</v>
      </c>
      <c r="H12" s="8">
        <v>767800.45500000007</v>
      </c>
      <c r="I12" s="8">
        <v>751541.65500000003</v>
      </c>
      <c r="J12" s="8">
        <v>725674.05500000005</v>
      </c>
      <c r="K12" s="8">
        <v>679586.45500000007</v>
      </c>
      <c r="L12" s="8">
        <v>647995.35499999998</v>
      </c>
      <c r="M12" s="8">
        <v>616109.80000000005</v>
      </c>
      <c r="N12" s="8">
        <v>607412</v>
      </c>
      <c r="O12" s="8">
        <v>638513.35</v>
      </c>
      <c r="P12" s="8">
        <v>620092.94999999995</v>
      </c>
      <c r="Q12" s="8">
        <v>622258.25</v>
      </c>
    </row>
    <row r="13" spans="1:18" ht="15" x14ac:dyDescent="0.25">
      <c r="A13" s="29"/>
      <c r="B13" s="29"/>
      <c r="C13" s="29"/>
      <c r="D13" s="29"/>
      <c r="E13" s="2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x14ac:dyDescent="0.2">
      <c r="E14" s="23" t="s">
        <v>12</v>
      </c>
      <c r="F14" s="30">
        <v>69042</v>
      </c>
      <c r="G14" s="30">
        <v>69042.100000000006</v>
      </c>
      <c r="H14" s="30">
        <v>70039.8</v>
      </c>
      <c r="I14" s="30">
        <v>72951.3</v>
      </c>
      <c r="J14" s="30">
        <v>75951.3</v>
      </c>
      <c r="K14" s="30">
        <v>75083.199999999997</v>
      </c>
      <c r="L14" s="30">
        <v>76250</v>
      </c>
      <c r="M14" s="30">
        <v>75250</v>
      </c>
      <c r="N14" s="30">
        <v>72899</v>
      </c>
      <c r="O14" s="30">
        <v>70099</v>
      </c>
      <c r="P14" s="30">
        <v>70099</v>
      </c>
      <c r="Q14" s="30">
        <v>70000</v>
      </c>
    </row>
    <row r="15" spans="1:18" x14ac:dyDescent="0.2">
      <c r="E15" s="23" t="s">
        <v>44</v>
      </c>
      <c r="F15" s="30">
        <v>95671</v>
      </c>
      <c r="G15" s="30">
        <v>102079.2</v>
      </c>
      <c r="H15" s="30">
        <v>104475.6</v>
      </c>
      <c r="I15" s="30">
        <v>94906</v>
      </c>
      <c r="J15" s="30">
        <v>90459.7</v>
      </c>
      <c r="K15" s="30">
        <v>97463.6</v>
      </c>
      <c r="L15" s="30">
        <v>98052.6</v>
      </c>
      <c r="M15" s="30">
        <v>94644.4</v>
      </c>
      <c r="N15" s="30">
        <v>94248</v>
      </c>
      <c r="O15" s="30">
        <v>92583.9</v>
      </c>
      <c r="P15" s="30">
        <v>91583.9</v>
      </c>
      <c r="Q15" s="30">
        <v>85200</v>
      </c>
    </row>
    <row r="16" spans="1:18" x14ac:dyDescent="0.2">
      <c r="E16" s="23" t="s">
        <v>45</v>
      </c>
      <c r="F16" s="30">
        <v>578401</v>
      </c>
      <c r="G16" s="30">
        <v>557429.755</v>
      </c>
      <c r="H16" s="30">
        <v>593285.05500000005</v>
      </c>
      <c r="I16" s="30">
        <v>583684.35499999998</v>
      </c>
      <c r="J16" s="30">
        <v>559263.05500000005</v>
      </c>
      <c r="K16" s="30">
        <v>507039.65500000003</v>
      </c>
      <c r="L16" s="30">
        <v>473692.755</v>
      </c>
      <c r="M16" s="30">
        <v>446215.4</v>
      </c>
      <c r="N16" s="30">
        <v>440265</v>
      </c>
      <c r="O16" s="30">
        <v>475830.45</v>
      </c>
      <c r="P16" s="30">
        <v>458410.05</v>
      </c>
      <c r="Q16" s="30">
        <v>467058.25</v>
      </c>
    </row>
    <row r="17" spans="1:17" x14ac:dyDescent="0.2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 ht="15" x14ac:dyDescent="0.25">
      <c r="B18" s="29"/>
      <c r="C18" s="29"/>
      <c r="D18" s="29" t="s">
        <v>50</v>
      </c>
      <c r="E18" s="29"/>
      <c r="F18" s="8">
        <v>633219.92000000016</v>
      </c>
      <c r="G18" s="8">
        <v>647387.51900000009</v>
      </c>
      <c r="H18" s="8">
        <v>670667.81900000002</v>
      </c>
      <c r="I18" s="8">
        <v>668074.59700000007</v>
      </c>
      <c r="J18" s="8">
        <v>667722.13500000001</v>
      </c>
      <c r="K18" s="8">
        <v>682570.08900000004</v>
      </c>
      <c r="L18" s="8">
        <v>666230.25200000009</v>
      </c>
      <c r="M18" s="8">
        <v>651930.42200000002</v>
      </c>
      <c r="N18" s="8">
        <v>649002.62</v>
      </c>
      <c r="O18" s="8">
        <v>635049.76300000004</v>
      </c>
      <c r="P18" s="8">
        <v>649821.70299999998</v>
      </c>
      <c r="Q18" s="8">
        <v>661313.05900000001</v>
      </c>
    </row>
    <row r="19" spans="1:17" x14ac:dyDescent="0.2">
      <c r="E19" s="23" t="s">
        <v>22</v>
      </c>
      <c r="F19" s="30">
        <v>18632.824000000001</v>
      </c>
      <c r="G19" s="30">
        <v>18632.824000000001</v>
      </c>
      <c r="H19" s="30">
        <v>18632.824000000001</v>
      </c>
      <c r="I19" s="30">
        <v>18632.824000000001</v>
      </c>
      <c r="J19" s="30">
        <v>18632.824000000001</v>
      </c>
      <c r="K19" s="30">
        <v>17589.303</v>
      </c>
      <c r="L19" s="30">
        <v>6930</v>
      </c>
      <c r="M19" s="30">
        <v>6930</v>
      </c>
      <c r="N19" s="30">
        <v>6930</v>
      </c>
      <c r="O19" s="30">
        <v>6930</v>
      </c>
      <c r="P19" s="30">
        <v>6930</v>
      </c>
      <c r="Q19" s="30">
        <v>6930</v>
      </c>
    </row>
    <row r="20" spans="1:17" x14ac:dyDescent="0.2">
      <c r="E20" s="23" t="s">
        <v>23</v>
      </c>
      <c r="F20" s="30">
        <v>47566.15</v>
      </c>
      <c r="G20" s="30">
        <v>47566.15</v>
      </c>
      <c r="H20" s="30">
        <v>47566.15</v>
      </c>
      <c r="I20" s="30">
        <v>47566.15</v>
      </c>
      <c r="J20" s="30">
        <v>37745.362000000001</v>
      </c>
      <c r="K20" s="30">
        <v>37745.362000000001</v>
      </c>
      <c r="L20" s="30">
        <v>26342.277999999998</v>
      </c>
      <c r="M20" s="30">
        <v>12534.582</v>
      </c>
      <c r="N20" s="30">
        <v>12534.582</v>
      </c>
      <c r="O20" s="30">
        <v>12534.582</v>
      </c>
      <c r="P20" s="30">
        <v>12534.582</v>
      </c>
      <c r="Q20" s="30">
        <v>12534.582</v>
      </c>
    </row>
    <row r="21" spans="1:17" x14ac:dyDescent="0.2">
      <c r="E21" s="23" t="s">
        <v>14</v>
      </c>
      <c r="F21" s="30">
        <v>97374.638000000006</v>
      </c>
      <c r="G21" s="30">
        <v>99386.838000000003</v>
      </c>
      <c r="H21" s="30">
        <v>102659.238</v>
      </c>
      <c r="I21" s="30">
        <v>91016.316000000006</v>
      </c>
      <c r="J21" s="30">
        <v>91016.316000000006</v>
      </c>
      <c r="K21" s="30">
        <v>88377.691000000006</v>
      </c>
      <c r="L21" s="30">
        <v>88377.691000000006</v>
      </c>
      <c r="M21" s="30">
        <v>79230.807000000001</v>
      </c>
      <c r="N21" s="30">
        <v>79230.807000000001</v>
      </c>
      <c r="O21" s="30">
        <v>69780.138999999996</v>
      </c>
      <c r="P21" s="30">
        <v>69780.188999999998</v>
      </c>
      <c r="Q21" s="30">
        <v>69780.138999999996</v>
      </c>
    </row>
    <row r="22" spans="1:17" x14ac:dyDescent="0.2">
      <c r="E22" s="23" t="s">
        <v>15</v>
      </c>
      <c r="F22" s="30">
        <v>139592.56299999999</v>
      </c>
      <c r="G22" s="30">
        <v>139683.26300000001</v>
      </c>
      <c r="H22" s="30">
        <v>139775.06299999999</v>
      </c>
      <c r="I22" s="30">
        <v>139775.06299999999</v>
      </c>
      <c r="J22" s="30">
        <v>139775.06299999999</v>
      </c>
      <c r="K22" s="30">
        <v>139775.06299999999</v>
      </c>
      <c r="L22" s="30">
        <v>139775.06299999999</v>
      </c>
      <c r="M22" s="30">
        <v>139775.06299999999</v>
      </c>
      <c r="N22" s="30">
        <v>139775.06299999999</v>
      </c>
      <c r="O22" s="30">
        <v>139776.06299999999</v>
      </c>
      <c r="P22" s="30">
        <v>139776.06299999999</v>
      </c>
      <c r="Q22" s="30">
        <v>139776.06299999999</v>
      </c>
    </row>
    <row r="23" spans="1:17" x14ac:dyDescent="0.2">
      <c r="E23" s="23" t="s">
        <v>20</v>
      </c>
      <c r="F23" s="30">
        <v>183343.18400000001</v>
      </c>
      <c r="G23" s="30">
        <v>195407.93299999999</v>
      </c>
      <c r="H23" s="30">
        <v>215324.033</v>
      </c>
      <c r="I23" s="30">
        <v>222721.93299999999</v>
      </c>
      <c r="J23" s="30">
        <v>221844.959</v>
      </c>
      <c r="K23" s="30">
        <v>240375.05900000001</v>
      </c>
      <c r="L23" s="30">
        <v>246097.55900000001</v>
      </c>
      <c r="M23" s="30">
        <v>254752.359</v>
      </c>
      <c r="N23" s="30">
        <v>251824.557</v>
      </c>
      <c r="O23" s="30">
        <v>247321.36799999999</v>
      </c>
      <c r="P23" s="30">
        <v>241046.158</v>
      </c>
      <c r="Q23" s="30">
        <v>245050.56400000001</v>
      </c>
    </row>
    <row r="24" spans="1:17" x14ac:dyDescent="0.2">
      <c r="E24" s="23" t="s">
        <v>46</v>
      </c>
      <c r="F24" s="30">
        <v>93802.210999999996</v>
      </c>
      <c r="G24" s="30">
        <v>93802.210999999996</v>
      </c>
      <c r="H24" s="30">
        <v>93802.210999999996</v>
      </c>
      <c r="I24" s="30">
        <v>95454.010999999999</v>
      </c>
      <c r="J24" s="30">
        <v>105799.311</v>
      </c>
      <c r="K24" s="30">
        <v>105799.311</v>
      </c>
      <c r="L24" s="30">
        <v>105799.311</v>
      </c>
      <c r="M24" s="30">
        <v>105799.311</v>
      </c>
      <c r="N24" s="30">
        <v>105799.311</v>
      </c>
      <c r="O24" s="30">
        <v>105799.311</v>
      </c>
      <c r="P24" s="30">
        <v>105799.311</v>
      </c>
      <c r="Q24" s="30">
        <v>105799.311</v>
      </c>
    </row>
    <row r="25" spans="1:17" x14ac:dyDescent="0.2">
      <c r="E25" s="23" t="s">
        <v>47</v>
      </c>
      <c r="F25" s="30">
        <v>52811.3</v>
      </c>
      <c r="G25" s="30">
        <v>52811.3</v>
      </c>
      <c r="H25" s="30">
        <v>52811.3</v>
      </c>
      <c r="I25" s="30">
        <v>52811.3</v>
      </c>
      <c r="J25" s="30">
        <v>52811.3</v>
      </c>
      <c r="K25" s="30">
        <v>52811.3</v>
      </c>
      <c r="L25" s="30">
        <v>52811.3</v>
      </c>
      <c r="M25" s="30">
        <v>52811.3</v>
      </c>
      <c r="N25" s="30">
        <v>52811.3</v>
      </c>
      <c r="O25" s="30">
        <v>52811.3</v>
      </c>
      <c r="P25" s="30">
        <v>73858.399999999994</v>
      </c>
      <c r="Q25" s="30">
        <v>81345.399999999994</v>
      </c>
    </row>
    <row r="26" spans="1:17" x14ac:dyDescent="0.2">
      <c r="E26" s="23" t="s">
        <v>53</v>
      </c>
      <c r="F26" s="30">
        <v>97.05</v>
      </c>
      <c r="G26" s="30">
        <v>97</v>
      </c>
      <c r="H26" s="30">
        <v>97</v>
      </c>
      <c r="I26" s="30">
        <v>97</v>
      </c>
      <c r="J26" s="30">
        <v>97</v>
      </c>
      <c r="K26" s="30">
        <v>97</v>
      </c>
      <c r="L26" s="30">
        <v>97.05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8" spans="1:17" ht="15" x14ac:dyDescent="0.25">
      <c r="B28" s="29"/>
      <c r="C28" s="29" t="s">
        <v>56</v>
      </c>
      <c r="D28" s="29"/>
      <c r="E28" s="29"/>
      <c r="F28" s="8">
        <v>214438.549</v>
      </c>
      <c r="G28" s="8">
        <v>214438.549</v>
      </c>
      <c r="H28" s="8">
        <v>214438.549</v>
      </c>
      <c r="I28" s="8">
        <v>214438.549</v>
      </c>
      <c r="J28" s="8">
        <v>84463.898000000001</v>
      </c>
      <c r="K28" s="8">
        <v>214438.549</v>
      </c>
      <c r="L28" s="8">
        <v>199576.584</v>
      </c>
      <c r="M28" s="8">
        <v>199576.584</v>
      </c>
      <c r="N28" s="8">
        <v>313980.96599999996</v>
      </c>
      <c r="O28" s="8">
        <v>313981.14899999998</v>
      </c>
      <c r="P28" s="8">
        <v>313981.14899999998</v>
      </c>
      <c r="Q28" s="8">
        <v>313980.96599999996</v>
      </c>
    </row>
    <row r="29" spans="1:17" ht="15" x14ac:dyDescent="0.25">
      <c r="B29" s="29"/>
      <c r="C29" s="29"/>
      <c r="D29" s="29" t="s">
        <v>34</v>
      </c>
      <c r="E29" s="29"/>
      <c r="F29" s="8">
        <v>191580.93400000001</v>
      </c>
      <c r="G29" s="8">
        <v>191580.93400000001</v>
      </c>
      <c r="H29" s="8">
        <v>191580.93400000001</v>
      </c>
      <c r="I29" s="8">
        <v>191580.93400000001</v>
      </c>
      <c r="J29" s="8">
        <v>61606.283000000003</v>
      </c>
      <c r="K29" s="8">
        <v>191580.93400000001</v>
      </c>
      <c r="L29" s="8">
        <v>176718.96900000001</v>
      </c>
      <c r="M29" s="8">
        <v>176718.96900000001</v>
      </c>
      <c r="N29" s="8">
        <v>291123.35099999997</v>
      </c>
      <c r="O29" s="8">
        <v>291123.53399999999</v>
      </c>
      <c r="P29" s="8">
        <v>291123.53399999999</v>
      </c>
      <c r="Q29" s="8">
        <v>291123.35099999997</v>
      </c>
    </row>
    <row r="30" spans="1:17" ht="15" x14ac:dyDescent="0.25">
      <c r="A30" s="29"/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">
      <c r="E31" s="23" t="s">
        <v>28</v>
      </c>
      <c r="F31" s="30">
        <v>61606.283000000003</v>
      </c>
      <c r="G31" s="30">
        <v>61606.283000000003</v>
      </c>
      <c r="H31" s="30">
        <v>61606.283000000003</v>
      </c>
      <c r="I31" s="30">
        <v>61606.283000000003</v>
      </c>
      <c r="J31" s="30">
        <v>61606.283000000003</v>
      </c>
      <c r="K31" s="30">
        <v>61606.283000000003</v>
      </c>
      <c r="L31" s="30">
        <v>61606.283000000003</v>
      </c>
      <c r="M31" s="30">
        <v>61606.283000000003</v>
      </c>
      <c r="N31" s="30">
        <v>96452</v>
      </c>
      <c r="O31" s="30">
        <v>96452.183000000005</v>
      </c>
      <c r="P31" s="30">
        <v>96452.183000000005</v>
      </c>
      <c r="Q31" s="30">
        <v>96452</v>
      </c>
    </row>
    <row r="32" spans="1:17" x14ac:dyDescent="0.2">
      <c r="E32" s="23" t="s">
        <v>27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129974.651</v>
      </c>
      <c r="L32" s="30">
        <v>115112.686</v>
      </c>
      <c r="M32" s="30">
        <v>115112.686</v>
      </c>
      <c r="N32" s="30">
        <v>165298.47099999999</v>
      </c>
      <c r="O32" s="30">
        <v>165298.47099999999</v>
      </c>
      <c r="P32" s="30">
        <v>165298.47099999999</v>
      </c>
      <c r="Q32" s="30">
        <v>165298.47099999999</v>
      </c>
    </row>
    <row r="33" spans="1:17" x14ac:dyDescent="0.2">
      <c r="E33" s="23" t="s">
        <v>58</v>
      </c>
      <c r="F33" s="30">
        <v>129974.651</v>
      </c>
      <c r="G33" s="30">
        <v>129974.651</v>
      </c>
      <c r="H33" s="30">
        <v>129974.651</v>
      </c>
      <c r="I33" s="30">
        <v>129974.651</v>
      </c>
      <c r="J33" s="30">
        <v>0</v>
      </c>
      <c r="K33" s="30">
        <v>0</v>
      </c>
      <c r="L33" s="30">
        <v>0</v>
      </c>
      <c r="M33" s="30">
        <v>0</v>
      </c>
      <c r="N33" s="30">
        <v>29372.880000000001</v>
      </c>
      <c r="O33" s="30">
        <v>29372.880000000001</v>
      </c>
      <c r="P33" s="30">
        <v>29372.880000000001</v>
      </c>
      <c r="Q33" s="30">
        <v>29372.880000000001</v>
      </c>
    </row>
    <row r="34" spans="1:17" x14ac:dyDescent="0.2"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15" x14ac:dyDescent="0.25">
      <c r="C35" s="29"/>
      <c r="D35" s="29" t="s">
        <v>35</v>
      </c>
      <c r="E35" s="29"/>
      <c r="F35" s="8">
        <v>6700</v>
      </c>
      <c r="G35" s="8">
        <v>6700</v>
      </c>
      <c r="H35" s="8">
        <v>6700</v>
      </c>
      <c r="I35" s="8">
        <v>6700</v>
      </c>
      <c r="J35" s="8">
        <v>6700</v>
      </c>
      <c r="K35" s="8">
        <v>6700</v>
      </c>
      <c r="L35" s="8">
        <v>6700</v>
      </c>
      <c r="M35" s="8">
        <v>6700</v>
      </c>
      <c r="N35" s="8">
        <v>6700</v>
      </c>
      <c r="O35" s="8">
        <v>6700</v>
      </c>
      <c r="P35" s="8">
        <v>6700</v>
      </c>
      <c r="Q35" s="8">
        <v>6700</v>
      </c>
    </row>
    <row r="36" spans="1:17" ht="15" x14ac:dyDescent="0.25">
      <c r="A36" s="29"/>
      <c r="B36" s="29"/>
      <c r="C36" s="29"/>
      <c r="D36" s="29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x14ac:dyDescent="0.2">
      <c r="E37" s="23" t="s">
        <v>26</v>
      </c>
      <c r="F37" s="30">
        <v>6700</v>
      </c>
      <c r="G37" s="30">
        <v>6700</v>
      </c>
      <c r="H37" s="30">
        <v>6700</v>
      </c>
      <c r="I37" s="30">
        <v>6700</v>
      </c>
      <c r="J37" s="30">
        <v>6700</v>
      </c>
      <c r="K37" s="30">
        <v>6700</v>
      </c>
      <c r="L37" s="30">
        <v>6700</v>
      </c>
      <c r="M37" s="30">
        <v>6700</v>
      </c>
      <c r="N37" s="30">
        <v>6700</v>
      </c>
      <c r="O37" s="30">
        <v>6700</v>
      </c>
      <c r="P37" s="30">
        <v>6700</v>
      </c>
      <c r="Q37" s="30">
        <v>6700</v>
      </c>
    </row>
    <row r="38" spans="1:17" x14ac:dyDescent="0.2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15" x14ac:dyDescent="0.25">
      <c r="B39" s="29"/>
      <c r="C39" s="29"/>
      <c r="D39" s="29" t="s">
        <v>196</v>
      </c>
      <c r="E39" s="29"/>
      <c r="F39" s="28">
        <v>16157.615</v>
      </c>
      <c r="G39" s="28">
        <v>16157.615</v>
      </c>
      <c r="H39" s="28">
        <v>16157.615</v>
      </c>
      <c r="I39" s="28">
        <v>16157.615</v>
      </c>
      <c r="J39" s="28">
        <v>16157.615</v>
      </c>
      <c r="K39" s="28">
        <v>16157.615</v>
      </c>
      <c r="L39" s="28">
        <v>16157.615</v>
      </c>
      <c r="M39" s="28">
        <v>16157.615</v>
      </c>
      <c r="N39" s="28">
        <v>16157.615</v>
      </c>
      <c r="O39" s="28">
        <v>16157.615</v>
      </c>
      <c r="P39" s="28">
        <v>16157.615</v>
      </c>
      <c r="Q39" s="28">
        <v>16157.615</v>
      </c>
    </row>
    <row r="40" spans="1:17" ht="15" x14ac:dyDescent="0.25">
      <c r="B40" s="29"/>
      <c r="C40" s="29"/>
      <c r="D40" s="29"/>
      <c r="E40" s="2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1:17" ht="15" x14ac:dyDescent="0.25">
      <c r="C41" s="31" t="s">
        <v>31</v>
      </c>
      <c r="D41" s="29" t="s">
        <v>202</v>
      </c>
      <c r="E41" s="29"/>
      <c r="F41" s="8">
        <v>67988</v>
      </c>
      <c r="G41" s="8">
        <v>67988</v>
      </c>
      <c r="H41" s="8">
        <v>67988</v>
      </c>
      <c r="I41" s="8">
        <v>67988</v>
      </c>
      <c r="J41" s="8">
        <v>67988</v>
      </c>
      <c r="K41" s="8">
        <v>67988</v>
      </c>
      <c r="L41" s="8">
        <v>67988</v>
      </c>
      <c r="M41" s="8">
        <v>67988</v>
      </c>
      <c r="N41" s="8">
        <v>60325.5</v>
      </c>
      <c r="O41" s="8">
        <v>60325.5</v>
      </c>
      <c r="P41" s="8">
        <v>60325.5</v>
      </c>
      <c r="Q41" s="8">
        <v>60325.5</v>
      </c>
    </row>
    <row r="42" spans="1:17" ht="15" x14ac:dyDescent="0.25">
      <c r="C42" s="31"/>
      <c r="D42" s="29"/>
      <c r="E42" s="23" t="s">
        <v>39</v>
      </c>
      <c r="F42" s="30">
        <v>7662.5</v>
      </c>
      <c r="G42" s="30">
        <v>7662.5</v>
      </c>
      <c r="H42" s="30">
        <v>7662.5</v>
      </c>
      <c r="I42" s="30">
        <v>7662.5</v>
      </c>
      <c r="J42" s="30">
        <v>7662.5</v>
      </c>
      <c r="K42" s="30">
        <v>7662.5</v>
      </c>
      <c r="L42" s="30">
        <v>7662.5</v>
      </c>
      <c r="M42" s="30">
        <v>7662.5</v>
      </c>
      <c r="N42" s="30">
        <v>0</v>
      </c>
      <c r="O42" s="30">
        <v>0</v>
      </c>
      <c r="P42" s="30">
        <v>0</v>
      </c>
      <c r="Q42" s="30">
        <v>0</v>
      </c>
    </row>
    <row r="43" spans="1:17" ht="15" x14ac:dyDescent="0.25">
      <c r="C43" s="31"/>
      <c r="D43" s="29"/>
      <c r="E43" s="23" t="s">
        <v>40</v>
      </c>
      <c r="F43" s="30">
        <v>25325.5</v>
      </c>
      <c r="G43" s="30">
        <v>25325.5</v>
      </c>
      <c r="H43" s="30">
        <v>25325.5</v>
      </c>
      <c r="I43" s="30">
        <v>25325.5</v>
      </c>
      <c r="J43" s="30">
        <v>25325.5</v>
      </c>
      <c r="K43" s="30">
        <v>25325.5</v>
      </c>
      <c r="L43" s="30">
        <v>25325.5</v>
      </c>
      <c r="M43" s="30">
        <v>25325.5</v>
      </c>
      <c r="N43" s="30">
        <v>25325.5</v>
      </c>
      <c r="O43" s="30">
        <v>25325.5</v>
      </c>
      <c r="P43" s="30">
        <v>25325.5</v>
      </c>
      <c r="Q43" s="30">
        <v>25325.5</v>
      </c>
    </row>
    <row r="44" spans="1:17" ht="15" x14ac:dyDescent="0.25">
      <c r="D44" s="29"/>
      <c r="E44" s="23" t="s">
        <v>48</v>
      </c>
      <c r="F44" s="30">
        <v>35000</v>
      </c>
      <c r="G44" s="30">
        <v>35000</v>
      </c>
      <c r="H44" s="30">
        <v>35000</v>
      </c>
      <c r="I44" s="30">
        <v>35000</v>
      </c>
      <c r="J44" s="30">
        <v>35000</v>
      </c>
      <c r="K44" s="30">
        <v>35000</v>
      </c>
      <c r="L44" s="30">
        <v>35000</v>
      </c>
      <c r="M44" s="30">
        <v>35000</v>
      </c>
      <c r="N44" s="30">
        <v>35000</v>
      </c>
      <c r="O44" s="30">
        <v>35000</v>
      </c>
      <c r="P44" s="30">
        <v>35000</v>
      </c>
      <c r="Q44" s="30">
        <v>35000</v>
      </c>
    </row>
    <row r="45" spans="1:17" ht="15" x14ac:dyDescent="0.25">
      <c r="C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5" x14ac:dyDescent="0.25">
      <c r="C46" s="31" t="s">
        <v>32</v>
      </c>
      <c r="D46" s="29" t="s">
        <v>186</v>
      </c>
      <c r="F46" s="8">
        <v>661069.07899999991</v>
      </c>
      <c r="G46" s="8">
        <v>567354.15600000008</v>
      </c>
      <c r="H46" s="8">
        <v>597801.179</v>
      </c>
      <c r="I46" s="8">
        <v>631628.85600000003</v>
      </c>
      <c r="J46" s="8">
        <v>659161.85600000003</v>
      </c>
      <c r="K46" s="8">
        <v>663561.25600000005</v>
      </c>
      <c r="L46" s="8">
        <v>691330.45600000001</v>
      </c>
      <c r="M46" s="8">
        <v>705820.85600000003</v>
      </c>
      <c r="N46" s="8">
        <v>725711.85600000003</v>
      </c>
      <c r="O46" s="8">
        <v>733237.65599999996</v>
      </c>
      <c r="P46" s="8">
        <v>740630.15600000008</v>
      </c>
      <c r="Q46" s="8">
        <v>744821.5560000001</v>
      </c>
    </row>
    <row r="47" spans="1:17" ht="15" x14ac:dyDescent="0.25">
      <c r="C47" s="31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ht="15" x14ac:dyDescent="0.25">
      <c r="C48" s="31"/>
      <c r="E48" s="23" t="s">
        <v>41</v>
      </c>
      <c r="F48" s="30">
        <v>176414.595</v>
      </c>
      <c r="G48" s="30">
        <v>61638.171999999999</v>
      </c>
      <c r="H48" s="30">
        <v>61638.171999999999</v>
      </c>
      <c r="I48" s="30">
        <v>61638.171999999999</v>
      </c>
      <c r="J48" s="30">
        <v>61638.171999999999</v>
      </c>
      <c r="K48" s="30">
        <v>61638.171999999999</v>
      </c>
      <c r="L48" s="30">
        <v>61638.171999999999</v>
      </c>
      <c r="M48" s="30">
        <v>61638.171999999999</v>
      </c>
      <c r="N48" s="30">
        <v>61638.171999999999</v>
      </c>
      <c r="O48" s="30">
        <v>61638.171999999999</v>
      </c>
      <c r="P48" s="30">
        <v>61638.171999999999</v>
      </c>
      <c r="Q48" s="30">
        <v>61638.171999999999</v>
      </c>
    </row>
    <row r="49" spans="1:17" ht="15" x14ac:dyDescent="0.25">
      <c r="C49" s="31"/>
      <c r="E49" s="23" t="s">
        <v>42</v>
      </c>
      <c r="F49" s="30">
        <v>229564.177</v>
      </c>
      <c r="G49" s="30">
        <v>241966.47700000001</v>
      </c>
      <c r="H49" s="30">
        <v>264089</v>
      </c>
      <c r="I49" s="30">
        <v>294277.97700000001</v>
      </c>
      <c r="J49" s="30">
        <v>310794.67700000003</v>
      </c>
      <c r="K49" s="30">
        <v>313282.277</v>
      </c>
      <c r="L49" s="30">
        <v>323324.37699999998</v>
      </c>
      <c r="M49" s="30">
        <v>323324.37699999998</v>
      </c>
      <c r="N49" s="30">
        <v>339762.277</v>
      </c>
      <c r="O49" s="30">
        <v>343670.07699999999</v>
      </c>
      <c r="P49" s="30">
        <v>344357.17700000003</v>
      </c>
      <c r="Q49" s="30">
        <v>347473.777</v>
      </c>
    </row>
    <row r="50" spans="1:17" ht="15" x14ac:dyDescent="0.25">
      <c r="C50" s="31"/>
      <c r="E50" s="23" t="s">
        <v>43</v>
      </c>
      <c r="F50" s="30">
        <v>153169.56</v>
      </c>
      <c r="G50" s="30">
        <v>161822.46</v>
      </c>
      <c r="H50" s="30">
        <v>170146.96</v>
      </c>
      <c r="I50" s="30">
        <v>173785.66</v>
      </c>
      <c r="J50" s="30">
        <v>184801.96</v>
      </c>
      <c r="K50" s="30">
        <v>186713.76</v>
      </c>
      <c r="L50" s="30">
        <v>204440.86</v>
      </c>
      <c r="M50" s="30">
        <v>218931.26</v>
      </c>
      <c r="N50" s="30">
        <v>222384.36</v>
      </c>
      <c r="O50" s="30">
        <v>226002.36</v>
      </c>
      <c r="P50" s="30">
        <v>232707.76</v>
      </c>
      <c r="Q50" s="30">
        <v>233782.56</v>
      </c>
    </row>
    <row r="51" spans="1:17" ht="15" x14ac:dyDescent="0.25">
      <c r="A51" s="29"/>
      <c r="B51" s="29"/>
      <c r="C51" s="29"/>
      <c r="E51" s="23" t="s">
        <v>54</v>
      </c>
      <c r="F51" s="30">
        <v>101920.747</v>
      </c>
      <c r="G51" s="30">
        <v>101927.04700000001</v>
      </c>
      <c r="H51" s="30">
        <v>101927.04700000001</v>
      </c>
      <c r="I51" s="30">
        <v>101927.04700000001</v>
      </c>
      <c r="J51" s="30">
        <v>101927.04700000001</v>
      </c>
      <c r="K51" s="30">
        <v>101927.04700000001</v>
      </c>
      <c r="L51" s="30">
        <v>101927.04700000001</v>
      </c>
      <c r="M51" s="30">
        <v>101927.04700000001</v>
      </c>
      <c r="N51" s="30">
        <v>101927.04700000001</v>
      </c>
      <c r="O51" s="30">
        <v>101927.04700000001</v>
      </c>
      <c r="P51" s="30">
        <v>101927.04700000001</v>
      </c>
      <c r="Q51" s="30">
        <v>101927.04700000001</v>
      </c>
    </row>
    <row r="52" spans="1:17" ht="15" x14ac:dyDescent="0.25">
      <c r="A52" s="29"/>
      <c r="B52" s="29"/>
      <c r="C52" s="29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5" x14ac:dyDescent="0.25">
      <c r="A53" s="29"/>
      <c r="B53" s="29"/>
      <c r="C53" s="29" t="s">
        <v>198</v>
      </c>
      <c r="D53" s="29"/>
      <c r="E53" s="29"/>
      <c r="F53" s="28">
        <v>50039.558999999994</v>
      </c>
      <c r="G53" s="28">
        <v>50039.558999999994</v>
      </c>
      <c r="H53" s="28">
        <v>50039.558999999994</v>
      </c>
      <c r="I53" s="28">
        <v>50039.558999999994</v>
      </c>
      <c r="J53" s="28">
        <v>50000</v>
      </c>
      <c r="K53" s="28">
        <v>50000</v>
      </c>
      <c r="L53" s="28">
        <v>50000</v>
      </c>
      <c r="M53" s="28">
        <v>50000</v>
      </c>
      <c r="N53" s="28">
        <v>49999.95</v>
      </c>
      <c r="O53" s="28">
        <v>50000</v>
      </c>
      <c r="P53" s="28">
        <v>50000</v>
      </c>
      <c r="Q53" s="28">
        <v>50000</v>
      </c>
    </row>
    <row r="54" spans="1:17" ht="15" x14ac:dyDescent="0.25">
      <c r="A54" s="29"/>
      <c r="B54" s="29"/>
      <c r="C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5" x14ac:dyDescent="0.25">
      <c r="A55" s="29"/>
      <c r="B55" s="29"/>
      <c r="C55" s="29" t="s">
        <v>205</v>
      </c>
      <c r="D55" s="29"/>
      <c r="E55" s="29"/>
      <c r="F55" s="28">
        <v>8795.2469999999994</v>
      </c>
      <c r="G55" s="28">
        <v>8751.1710000000003</v>
      </c>
      <c r="H55" s="28">
        <v>8765.9959999999992</v>
      </c>
      <c r="I55" s="28">
        <v>8731.6509999999998</v>
      </c>
      <c r="J55" s="28">
        <v>8719.152</v>
      </c>
      <c r="K55" s="28">
        <v>8662.3119999999999</v>
      </c>
      <c r="L55" s="28">
        <v>8587.3770000000004</v>
      </c>
      <c r="M55" s="28">
        <v>8531.8619999999992</v>
      </c>
      <c r="N55" s="28">
        <v>8477.4609999999993</v>
      </c>
      <c r="O55" s="28">
        <v>8376.5409999999993</v>
      </c>
      <c r="P55" s="28">
        <v>8256.9240000000009</v>
      </c>
      <c r="Q55" s="28">
        <v>8091.7759999999998</v>
      </c>
    </row>
    <row r="56" spans="1:17" ht="15" x14ac:dyDescent="0.25">
      <c r="A56" s="29"/>
      <c r="B56" s="29"/>
      <c r="C56" s="29"/>
      <c r="D56" s="29"/>
      <c r="E56" s="29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ht="15" x14ac:dyDescent="0.25">
      <c r="A57" s="29" t="s">
        <v>49</v>
      </c>
      <c r="B57" s="29"/>
      <c r="C57" s="29"/>
      <c r="D57" s="29"/>
      <c r="E57" s="29"/>
      <c r="F57" s="28">
        <v>72678.346000000005</v>
      </c>
      <c r="G57" s="28">
        <v>72670.570999999996</v>
      </c>
      <c r="H57" s="28">
        <v>68914.570999999996</v>
      </c>
      <c r="I57" s="28">
        <v>68910.241999999998</v>
      </c>
      <c r="J57" s="28">
        <v>68905.433000000005</v>
      </c>
      <c r="K57" s="28">
        <v>68898</v>
      </c>
      <c r="L57" s="28">
        <v>68891.099000000002</v>
      </c>
      <c r="M57" s="28">
        <v>68888.510999999999</v>
      </c>
      <c r="N57" s="28">
        <v>68887.236999999994</v>
      </c>
      <c r="O57" s="28">
        <v>77885.539000000004</v>
      </c>
      <c r="P57" s="28">
        <v>81383.433000000005</v>
      </c>
      <c r="Q57" s="28">
        <v>79382.767999999996</v>
      </c>
    </row>
    <row r="58" spans="1:17" x14ac:dyDescent="0.2">
      <c r="F58" s="32"/>
      <c r="G58" s="33"/>
      <c r="H58" s="32"/>
      <c r="I58" s="32"/>
      <c r="J58" s="32"/>
      <c r="K58" s="32"/>
      <c r="L58" s="32"/>
    </row>
    <row r="59" spans="1:17" x14ac:dyDescent="0.2">
      <c r="F59" s="32"/>
      <c r="G59" s="33"/>
      <c r="H59" s="32"/>
      <c r="I59" s="32"/>
      <c r="J59" s="32"/>
      <c r="K59" s="32"/>
      <c r="L59" s="32"/>
    </row>
    <row r="60" spans="1:17" ht="15" x14ac:dyDescent="0.25">
      <c r="A60" s="29"/>
      <c r="B60" s="65"/>
      <c r="C60" s="65"/>
      <c r="D60" s="65"/>
      <c r="E60" s="23" t="s">
        <v>29</v>
      </c>
      <c r="F60" s="65"/>
      <c r="G60" s="65"/>
      <c r="H60" s="65"/>
      <c r="I60" s="65"/>
      <c r="J60" s="65"/>
      <c r="K60" s="65"/>
      <c r="L60" s="65"/>
    </row>
    <row r="61" spans="1:17" x14ac:dyDescent="0.2">
      <c r="B61" s="66"/>
      <c r="C61" s="66"/>
      <c r="D61" s="66"/>
      <c r="E61" s="32" t="s">
        <v>30</v>
      </c>
      <c r="F61" s="66"/>
      <c r="G61" s="66"/>
      <c r="H61" s="66"/>
      <c r="I61" s="66"/>
      <c r="J61" s="66"/>
      <c r="K61" s="66"/>
      <c r="L61" s="66"/>
    </row>
    <row r="62" spans="1:17" ht="15" x14ac:dyDescent="0.25">
      <c r="A62" s="29"/>
      <c r="B62" s="65"/>
      <c r="C62" s="65"/>
      <c r="D62" s="65"/>
      <c r="E62" s="67"/>
      <c r="F62" s="65"/>
      <c r="G62" s="65"/>
      <c r="H62" s="65"/>
      <c r="I62" s="65"/>
      <c r="J62" s="65"/>
      <c r="K62" s="65"/>
      <c r="L62" s="65"/>
    </row>
    <row r="63" spans="1:17" x14ac:dyDescent="0.2">
      <c r="A63" s="34"/>
      <c r="B63" s="35"/>
      <c r="C63" s="35"/>
    </row>
    <row r="64" spans="1:17" x14ac:dyDescent="0.2">
      <c r="A64" s="34"/>
      <c r="B64" s="35"/>
      <c r="C64" s="35"/>
    </row>
    <row r="65" spans="1:7" x14ac:dyDescent="0.2">
      <c r="A65" s="34"/>
      <c r="B65" s="35" t="s">
        <v>21</v>
      </c>
      <c r="C65" s="35"/>
      <c r="D65" s="35"/>
      <c r="E65" s="35"/>
      <c r="F65" s="35"/>
      <c r="G65" s="37"/>
    </row>
    <row r="67" spans="1:7" x14ac:dyDescent="0.2">
      <c r="A67" s="35"/>
      <c r="B67" s="35"/>
      <c r="C67" s="35"/>
    </row>
    <row r="68" spans="1:7" x14ac:dyDescent="0.2">
      <c r="A68" s="36"/>
      <c r="B68" s="35"/>
      <c r="C68" s="35"/>
    </row>
  </sheetData>
  <mergeCells count="4">
    <mergeCell ref="A5:E6"/>
    <mergeCell ref="A1:Q1"/>
    <mergeCell ref="A2:Q2"/>
    <mergeCell ref="A3:Q3"/>
  </mergeCells>
  <printOptions horizontalCentered="1"/>
  <pageMargins left="0" right="0" top="0.60236220500000004" bottom="0.34055118099999998" header="0.511811023622047" footer="0.511811023622047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67"/>
  <sheetViews>
    <sheetView zoomScaleNormal="100" workbookViewId="0">
      <pane xSplit="5" ySplit="7" topLeftCell="F11" activePane="bottomRight" state="frozen"/>
      <selection activeCell="R35" sqref="R35"/>
      <selection pane="topRight" activeCell="R35" sqref="R35"/>
      <selection pane="bottomLeft" activeCell="R35" sqref="R35"/>
      <selection pane="bottomRight" activeCell="A2" sqref="A2:Q2"/>
    </sheetView>
  </sheetViews>
  <sheetFormatPr defaultColWidth="8.8554687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8.140625" style="23" customWidth="1"/>
    <col min="6" max="17" width="13" style="23" customWidth="1"/>
    <col min="18" max="246" width="9.140625" style="23"/>
    <col min="247" max="248" width="0.42578125" style="23" customWidth="1"/>
    <col min="249" max="249" width="1.85546875" style="23" customWidth="1"/>
    <col min="250" max="250" width="0.85546875" style="23" customWidth="1"/>
    <col min="251" max="251" width="28.140625" style="23" customWidth="1"/>
    <col min="252" max="252" width="10.42578125" style="23" customWidth="1"/>
    <col min="253" max="254" width="10.28515625" style="23" customWidth="1"/>
    <col min="255" max="255" width="10.42578125" style="23" customWidth="1"/>
    <col min="256" max="256" width="10.28515625" style="23" customWidth="1"/>
    <col min="257" max="257" width="10.42578125" style="23" customWidth="1"/>
    <col min="258" max="258" width="10.28515625" style="23" customWidth="1"/>
    <col min="259" max="263" width="0" style="23" hidden="1" customWidth="1"/>
    <col min="264" max="264" width="10.28515625" style="23" customWidth="1"/>
    <col min="265" max="265" width="10.42578125" style="23" customWidth="1"/>
    <col min="266" max="266" width="10.7109375" style="23" customWidth="1"/>
    <col min="267" max="267" width="11.85546875" style="23" customWidth="1"/>
    <col min="268" max="272" width="0" style="23" hidden="1" customWidth="1"/>
    <col min="273" max="273" width="10.28515625" style="23" customWidth="1"/>
    <col min="274" max="502" width="9.140625" style="23"/>
    <col min="503" max="504" width="0.42578125" style="23" customWidth="1"/>
    <col min="505" max="505" width="1.85546875" style="23" customWidth="1"/>
    <col min="506" max="506" width="0.85546875" style="23" customWidth="1"/>
    <col min="507" max="507" width="28.140625" style="23" customWidth="1"/>
    <col min="508" max="508" width="10.42578125" style="23" customWidth="1"/>
    <col min="509" max="510" width="10.28515625" style="23" customWidth="1"/>
    <col min="511" max="511" width="10.42578125" style="23" customWidth="1"/>
    <col min="512" max="512" width="10.28515625" style="23" customWidth="1"/>
    <col min="513" max="513" width="10.42578125" style="23" customWidth="1"/>
    <col min="514" max="514" width="10.28515625" style="23" customWidth="1"/>
    <col min="515" max="519" width="0" style="23" hidden="1" customWidth="1"/>
    <col min="520" max="520" width="10.28515625" style="23" customWidth="1"/>
    <col min="521" max="521" width="10.42578125" style="23" customWidth="1"/>
    <col min="522" max="522" width="10.7109375" style="23" customWidth="1"/>
    <col min="523" max="523" width="11.85546875" style="23" customWidth="1"/>
    <col min="524" max="528" width="0" style="23" hidden="1" customWidth="1"/>
    <col min="529" max="529" width="10.28515625" style="23" customWidth="1"/>
    <col min="530" max="758" width="9.140625" style="23"/>
    <col min="759" max="760" width="0.42578125" style="23" customWidth="1"/>
    <col min="761" max="761" width="1.85546875" style="23" customWidth="1"/>
    <col min="762" max="762" width="0.85546875" style="23" customWidth="1"/>
    <col min="763" max="763" width="28.140625" style="23" customWidth="1"/>
    <col min="764" max="764" width="10.42578125" style="23" customWidth="1"/>
    <col min="765" max="766" width="10.28515625" style="23" customWidth="1"/>
    <col min="767" max="767" width="10.42578125" style="23" customWidth="1"/>
    <col min="768" max="768" width="10.28515625" style="23" customWidth="1"/>
    <col min="769" max="769" width="10.42578125" style="23" customWidth="1"/>
    <col min="770" max="770" width="10.28515625" style="23" customWidth="1"/>
    <col min="771" max="775" width="0" style="23" hidden="1" customWidth="1"/>
    <col min="776" max="776" width="10.28515625" style="23" customWidth="1"/>
    <col min="777" max="777" width="10.42578125" style="23" customWidth="1"/>
    <col min="778" max="778" width="10.7109375" style="23" customWidth="1"/>
    <col min="779" max="779" width="11.85546875" style="23" customWidth="1"/>
    <col min="780" max="784" width="0" style="23" hidden="1" customWidth="1"/>
    <col min="785" max="785" width="10.28515625" style="23" customWidth="1"/>
    <col min="786" max="1014" width="9.140625" style="23"/>
    <col min="1015" max="1016" width="0.42578125" style="23" customWidth="1"/>
    <col min="1017" max="1017" width="1.85546875" style="23" customWidth="1"/>
    <col min="1018" max="1018" width="0.85546875" style="23" customWidth="1"/>
    <col min="1019" max="1019" width="28.140625" style="23" customWidth="1"/>
    <col min="1020" max="1020" width="10.42578125" style="23" customWidth="1"/>
    <col min="1021" max="1022" width="10.28515625" style="23" customWidth="1"/>
    <col min="1023" max="1023" width="10.42578125" style="23" customWidth="1"/>
    <col min="1024" max="1024" width="10.28515625" style="23" customWidth="1"/>
    <col min="1025" max="1025" width="10.42578125" style="23" customWidth="1"/>
    <col min="1026" max="1026" width="10.28515625" style="23" customWidth="1"/>
    <col min="1027" max="1031" width="0" style="23" hidden="1" customWidth="1"/>
    <col min="1032" max="1032" width="10.28515625" style="23" customWidth="1"/>
    <col min="1033" max="1033" width="10.42578125" style="23" customWidth="1"/>
    <col min="1034" max="1034" width="10.7109375" style="23" customWidth="1"/>
    <col min="1035" max="1035" width="11.85546875" style="23" customWidth="1"/>
    <col min="1036" max="1040" width="0" style="23" hidden="1" customWidth="1"/>
    <col min="1041" max="1041" width="10.28515625" style="23" customWidth="1"/>
    <col min="1042" max="1270" width="9.140625" style="23"/>
    <col min="1271" max="1272" width="0.42578125" style="23" customWidth="1"/>
    <col min="1273" max="1273" width="1.85546875" style="23" customWidth="1"/>
    <col min="1274" max="1274" width="0.85546875" style="23" customWidth="1"/>
    <col min="1275" max="1275" width="28.140625" style="23" customWidth="1"/>
    <col min="1276" max="1276" width="10.42578125" style="23" customWidth="1"/>
    <col min="1277" max="1278" width="10.28515625" style="23" customWidth="1"/>
    <col min="1279" max="1279" width="10.42578125" style="23" customWidth="1"/>
    <col min="1280" max="1280" width="10.28515625" style="23" customWidth="1"/>
    <col min="1281" max="1281" width="10.42578125" style="23" customWidth="1"/>
    <col min="1282" max="1282" width="10.28515625" style="23" customWidth="1"/>
    <col min="1283" max="1287" width="0" style="23" hidden="1" customWidth="1"/>
    <col min="1288" max="1288" width="10.28515625" style="23" customWidth="1"/>
    <col min="1289" max="1289" width="10.42578125" style="23" customWidth="1"/>
    <col min="1290" max="1290" width="10.7109375" style="23" customWidth="1"/>
    <col min="1291" max="1291" width="11.85546875" style="23" customWidth="1"/>
    <col min="1292" max="1296" width="0" style="23" hidden="1" customWidth="1"/>
    <col min="1297" max="1297" width="10.28515625" style="23" customWidth="1"/>
    <col min="1298" max="1526" width="9.140625" style="23"/>
    <col min="1527" max="1528" width="0.42578125" style="23" customWidth="1"/>
    <col min="1529" max="1529" width="1.85546875" style="23" customWidth="1"/>
    <col min="1530" max="1530" width="0.85546875" style="23" customWidth="1"/>
    <col min="1531" max="1531" width="28.140625" style="23" customWidth="1"/>
    <col min="1532" max="1532" width="10.42578125" style="23" customWidth="1"/>
    <col min="1533" max="1534" width="10.28515625" style="23" customWidth="1"/>
    <col min="1535" max="1535" width="10.42578125" style="23" customWidth="1"/>
    <col min="1536" max="1536" width="10.28515625" style="23" customWidth="1"/>
    <col min="1537" max="1537" width="10.42578125" style="23" customWidth="1"/>
    <col min="1538" max="1538" width="10.28515625" style="23" customWidth="1"/>
    <col min="1539" max="1543" width="0" style="23" hidden="1" customWidth="1"/>
    <col min="1544" max="1544" width="10.28515625" style="23" customWidth="1"/>
    <col min="1545" max="1545" width="10.42578125" style="23" customWidth="1"/>
    <col min="1546" max="1546" width="10.7109375" style="23" customWidth="1"/>
    <col min="1547" max="1547" width="11.85546875" style="23" customWidth="1"/>
    <col min="1548" max="1552" width="0" style="23" hidden="1" customWidth="1"/>
    <col min="1553" max="1553" width="10.28515625" style="23" customWidth="1"/>
    <col min="1554" max="1782" width="9.140625" style="23"/>
    <col min="1783" max="1784" width="0.42578125" style="23" customWidth="1"/>
    <col min="1785" max="1785" width="1.85546875" style="23" customWidth="1"/>
    <col min="1786" max="1786" width="0.85546875" style="23" customWidth="1"/>
    <col min="1787" max="1787" width="28.140625" style="23" customWidth="1"/>
    <col min="1788" max="1788" width="10.42578125" style="23" customWidth="1"/>
    <col min="1789" max="1790" width="10.28515625" style="23" customWidth="1"/>
    <col min="1791" max="1791" width="10.42578125" style="23" customWidth="1"/>
    <col min="1792" max="1792" width="10.28515625" style="23" customWidth="1"/>
    <col min="1793" max="1793" width="10.42578125" style="23" customWidth="1"/>
    <col min="1794" max="1794" width="10.28515625" style="23" customWidth="1"/>
    <col min="1795" max="1799" width="0" style="23" hidden="1" customWidth="1"/>
    <col min="1800" max="1800" width="10.28515625" style="23" customWidth="1"/>
    <col min="1801" max="1801" width="10.42578125" style="23" customWidth="1"/>
    <col min="1802" max="1802" width="10.7109375" style="23" customWidth="1"/>
    <col min="1803" max="1803" width="11.85546875" style="23" customWidth="1"/>
    <col min="1804" max="1808" width="0" style="23" hidden="1" customWidth="1"/>
    <col min="1809" max="1809" width="10.28515625" style="23" customWidth="1"/>
    <col min="1810" max="2038" width="9.140625" style="23"/>
    <col min="2039" max="2040" width="0.42578125" style="23" customWidth="1"/>
    <col min="2041" max="2041" width="1.85546875" style="23" customWidth="1"/>
    <col min="2042" max="2042" width="0.85546875" style="23" customWidth="1"/>
    <col min="2043" max="2043" width="28.140625" style="23" customWidth="1"/>
    <col min="2044" max="2044" width="10.42578125" style="23" customWidth="1"/>
    <col min="2045" max="2046" width="10.28515625" style="23" customWidth="1"/>
    <col min="2047" max="2047" width="10.42578125" style="23" customWidth="1"/>
    <col min="2048" max="2048" width="10.28515625" style="23" customWidth="1"/>
    <col min="2049" max="2049" width="10.42578125" style="23" customWidth="1"/>
    <col min="2050" max="2050" width="10.28515625" style="23" customWidth="1"/>
    <col min="2051" max="2055" width="0" style="23" hidden="1" customWidth="1"/>
    <col min="2056" max="2056" width="10.28515625" style="23" customWidth="1"/>
    <col min="2057" max="2057" width="10.42578125" style="23" customWidth="1"/>
    <col min="2058" max="2058" width="10.7109375" style="23" customWidth="1"/>
    <col min="2059" max="2059" width="11.85546875" style="23" customWidth="1"/>
    <col min="2060" max="2064" width="0" style="23" hidden="1" customWidth="1"/>
    <col min="2065" max="2065" width="10.28515625" style="23" customWidth="1"/>
    <col min="2066" max="2294" width="9.140625" style="23"/>
    <col min="2295" max="2296" width="0.42578125" style="23" customWidth="1"/>
    <col min="2297" max="2297" width="1.85546875" style="23" customWidth="1"/>
    <col min="2298" max="2298" width="0.85546875" style="23" customWidth="1"/>
    <col min="2299" max="2299" width="28.140625" style="23" customWidth="1"/>
    <col min="2300" max="2300" width="10.42578125" style="23" customWidth="1"/>
    <col min="2301" max="2302" width="10.28515625" style="23" customWidth="1"/>
    <col min="2303" max="2303" width="10.42578125" style="23" customWidth="1"/>
    <col min="2304" max="2304" width="10.28515625" style="23" customWidth="1"/>
    <col min="2305" max="2305" width="10.42578125" style="23" customWidth="1"/>
    <col min="2306" max="2306" width="10.28515625" style="23" customWidth="1"/>
    <col min="2307" max="2311" width="0" style="23" hidden="1" customWidth="1"/>
    <col min="2312" max="2312" width="10.28515625" style="23" customWidth="1"/>
    <col min="2313" max="2313" width="10.42578125" style="23" customWidth="1"/>
    <col min="2314" max="2314" width="10.7109375" style="23" customWidth="1"/>
    <col min="2315" max="2315" width="11.85546875" style="23" customWidth="1"/>
    <col min="2316" max="2320" width="0" style="23" hidden="1" customWidth="1"/>
    <col min="2321" max="2321" width="10.28515625" style="23" customWidth="1"/>
    <col min="2322" max="2550" width="9.140625" style="23"/>
    <col min="2551" max="2552" width="0.42578125" style="23" customWidth="1"/>
    <col min="2553" max="2553" width="1.85546875" style="23" customWidth="1"/>
    <col min="2554" max="2554" width="0.85546875" style="23" customWidth="1"/>
    <col min="2555" max="2555" width="28.140625" style="23" customWidth="1"/>
    <col min="2556" max="2556" width="10.42578125" style="23" customWidth="1"/>
    <col min="2557" max="2558" width="10.28515625" style="23" customWidth="1"/>
    <col min="2559" max="2559" width="10.42578125" style="23" customWidth="1"/>
    <col min="2560" max="2560" width="10.28515625" style="23" customWidth="1"/>
    <col min="2561" max="2561" width="10.42578125" style="23" customWidth="1"/>
    <col min="2562" max="2562" width="10.28515625" style="23" customWidth="1"/>
    <col min="2563" max="2567" width="0" style="23" hidden="1" customWidth="1"/>
    <col min="2568" max="2568" width="10.28515625" style="23" customWidth="1"/>
    <col min="2569" max="2569" width="10.42578125" style="23" customWidth="1"/>
    <col min="2570" max="2570" width="10.7109375" style="23" customWidth="1"/>
    <col min="2571" max="2571" width="11.85546875" style="23" customWidth="1"/>
    <col min="2572" max="2576" width="0" style="23" hidden="1" customWidth="1"/>
    <col min="2577" max="2577" width="10.28515625" style="23" customWidth="1"/>
    <col min="2578" max="2806" width="9.140625" style="23"/>
    <col min="2807" max="2808" width="0.42578125" style="23" customWidth="1"/>
    <col min="2809" max="2809" width="1.85546875" style="23" customWidth="1"/>
    <col min="2810" max="2810" width="0.85546875" style="23" customWidth="1"/>
    <col min="2811" max="2811" width="28.140625" style="23" customWidth="1"/>
    <col min="2812" max="2812" width="10.42578125" style="23" customWidth="1"/>
    <col min="2813" max="2814" width="10.28515625" style="23" customWidth="1"/>
    <col min="2815" max="2815" width="10.42578125" style="23" customWidth="1"/>
    <col min="2816" max="2816" width="10.28515625" style="23" customWidth="1"/>
    <col min="2817" max="2817" width="10.42578125" style="23" customWidth="1"/>
    <col min="2818" max="2818" width="10.28515625" style="23" customWidth="1"/>
    <col min="2819" max="2823" width="0" style="23" hidden="1" customWidth="1"/>
    <col min="2824" max="2824" width="10.28515625" style="23" customWidth="1"/>
    <col min="2825" max="2825" width="10.42578125" style="23" customWidth="1"/>
    <col min="2826" max="2826" width="10.7109375" style="23" customWidth="1"/>
    <col min="2827" max="2827" width="11.85546875" style="23" customWidth="1"/>
    <col min="2828" max="2832" width="0" style="23" hidden="1" customWidth="1"/>
    <col min="2833" max="2833" width="10.28515625" style="23" customWidth="1"/>
    <col min="2834" max="3062" width="9.140625" style="23"/>
    <col min="3063" max="3064" width="0.42578125" style="23" customWidth="1"/>
    <col min="3065" max="3065" width="1.85546875" style="23" customWidth="1"/>
    <col min="3066" max="3066" width="0.85546875" style="23" customWidth="1"/>
    <col min="3067" max="3067" width="28.140625" style="23" customWidth="1"/>
    <col min="3068" max="3068" width="10.42578125" style="23" customWidth="1"/>
    <col min="3069" max="3070" width="10.28515625" style="23" customWidth="1"/>
    <col min="3071" max="3071" width="10.42578125" style="23" customWidth="1"/>
    <col min="3072" max="3072" width="10.28515625" style="23" customWidth="1"/>
    <col min="3073" max="3073" width="10.42578125" style="23" customWidth="1"/>
    <col min="3074" max="3074" width="10.28515625" style="23" customWidth="1"/>
    <col min="3075" max="3079" width="0" style="23" hidden="1" customWidth="1"/>
    <col min="3080" max="3080" width="10.28515625" style="23" customWidth="1"/>
    <col min="3081" max="3081" width="10.42578125" style="23" customWidth="1"/>
    <col min="3082" max="3082" width="10.7109375" style="23" customWidth="1"/>
    <col min="3083" max="3083" width="11.85546875" style="23" customWidth="1"/>
    <col min="3084" max="3088" width="0" style="23" hidden="1" customWidth="1"/>
    <col min="3089" max="3089" width="10.28515625" style="23" customWidth="1"/>
    <col min="3090" max="3318" width="9.140625" style="23"/>
    <col min="3319" max="3320" width="0.42578125" style="23" customWidth="1"/>
    <col min="3321" max="3321" width="1.85546875" style="23" customWidth="1"/>
    <col min="3322" max="3322" width="0.85546875" style="23" customWidth="1"/>
    <col min="3323" max="3323" width="28.140625" style="23" customWidth="1"/>
    <col min="3324" max="3324" width="10.42578125" style="23" customWidth="1"/>
    <col min="3325" max="3326" width="10.28515625" style="23" customWidth="1"/>
    <col min="3327" max="3327" width="10.42578125" style="23" customWidth="1"/>
    <col min="3328" max="3328" width="10.28515625" style="23" customWidth="1"/>
    <col min="3329" max="3329" width="10.42578125" style="23" customWidth="1"/>
    <col min="3330" max="3330" width="10.28515625" style="23" customWidth="1"/>
    <col min="3331" max="3335" width="0" style="23" hidden="1" customWidth="1"/>
    <col min="3336" max="3336" width="10.28515625" style="23" customWidth="1"/>
    <col min="3337" max="3337" width="10.42578125" style="23" customWidth="1"/>
    <col min="3338" max="3338" width="10.7109375" style="23" customWidth="1"/>
    <col min="3339" max="3339" width="11.85546875" style="23" customWidth="1"/>
    <col min="3340" max="3344" width="0" style="23" hidden="1" customWidth="1"/>
    <col min="3345" max="3345" width="10.28515625" style="23" customWidth="1"/>
    <col min="3346" max="3574" width="9.140625" style="23"/>
    <col min="3575" max="3576" width="0.42578125" style="23" customWidth="1"/>
    <col min="3577" max="3577" width="1.85546875" style="23" customWidth="1"/>
    <col min="3578" max="3578" width="0.85546875" style="23" customWidth="1"/>
    <col min="3579" max="3579" width="28.140625" style="23" customWidth="1"/>
    <col min="3580" max="3580" width="10.42578125" style="23" customWidth="1"/>
    <col min="3581" max="3582" width="10.28515625" style="23" customWidth="1"/>
    <col min="3583" max="3583" width="10.42578125" style="23" customWidth="1"/>
    <col min="3584" max="3584" width="10.28515625" style="23" customWidth="1"/>
    <col min="3585" max="3585" width="10.42578125" style="23" customWidth="1"/>
    <col min="3586" max="3586" width="10.28515625" style="23" customWidth="1"/>
    <col min="3587" max="3591" width="0" style="23" hidden="1" customWidth="1"/>
    <col min="3592" max="3592" width="10.28515625" style="23" customWidth="1"/>
    <col min="3593" max="3593" width="10.42578125" style="23" customWidth="1"/>
    <col min="3594" max="3594" width="10.7109375" style="23" customWidth="1"/>
    <col min="3595" max="3595" width="11.85546875" style="23" customWidth="1"/>
    <col min="3596" max="3600" width="0" style="23" hidden="1" customWidth="1"/>
    <col min="3601" max="3601" width="10.28515625" style="23" customWidth="1"/>
    <col min="3602" max="3830" width="9.140625" style="23"/>
    <col min="3831" max="3832" width="0.42578125" style="23" customWidth="1"/>
    <col min="3833" max="3833" width="1.85546875" style="23" customWidth="1"/>
    <col min="3834" max="3834" width="0.85546875" style="23" customWidth="1"/>
    <col min="3835" max="3835" width="28.140625" style="23" customWidth="1"/>
    <col min="3836" max="3836" width="10.42578125" style="23" customWidth="1"/>
    <col min="3837" max="3838" width="10.28515625" style="23" customWidth="1"/>
    <col min="3839" max="3839" width="10.42578125" style="23" customWidth="1"/>
    <col min="3840" max="3840" width="10.28515625" style="23" customWidth="1"/>
    <col min="3841" max="3841" width="10.42578125" style="23" customWidth="1"/>
    <col min="3842" max="3842" width="10.28515625" style="23" customWidth="1"/>
    <col min="3843" max="3847" width="0" style="23" hidden="1" customWidth="1"/>
    <col min="3848" max="3848" width="10.28515625" style="23" customWidth="1"/>
    <col min="3849" max="3849" width="10.42578125" style="23" customWidth="1"/>
    <col min="3850" max="3850" width="10.7109375" style="23" customWidth="1"/>
    <col min="3851" max="3851" width="11.85546875" style="23" customWidth="1"/>
    <col min="3852" max="3856" width="0" style="23" hidden="1" customWidth="1"/>
    <col min="3857" max="3857" width="10.28515625" style="23" customWidth="1"/>
    <col min="3858" max="4086" width="9.140625" style="23"/>
    <col min="4087" max="4088" width="0.42578125" style="23" customWidth="1"/>
    <col min="4089" max="4089" width="1.85546875" style="23" customWidth="1"/>
    <col min="4090" max="4090" width="0.85546875" style="23" customWidth="1"/>
    <col min="4091" max="4091" width="28.140625" style="23" customWidth="1"/>
    <col min="4092" max="4092" width="10.42578125" style="23" customWidth="1"/>
    <col min="4093" max="4094" width="10.28515625" style="23" customWidth="1"/>
    <col min="4095" max="4095" width="10.42578125" style="23" customWidth="1"/>
    <col min="4096" max="4096" width="10.28515625" style="23" customWidth="1"/>
    <col min="4097" max="4097" width="10.42578125" style="23" customWidth="1"/>
    <col min="4098" max="4098" width="10.28515625" style="23" customWidth="1"/>
    <col min="4099" max="4103" width="0" style="23" hidden="1" customWidth="1"/>
    <col min="4104" max="4104" width="10.28515625" style="23" customWidth="1"/>
    <col min="4105" max="4105" width="10.42578125" style="23" customWidth="1"/>
    <col min="4106" max="4106" width="10.7109375" style="23" customWidth="1"/>
    <col min="4107" max="4107" width="11.85546875" style="23" customWidth="1"/>
    <col min="4108" max="4112" width="0" style="23" hidden="1" customWidth="1"/>
    <col min="4113" max="4113" width="10.28515625" style="23" customWidth="1"/>
    <col min="4114" max="4342" width="9.140625" style="23"/>
    <col min="4343" max="4344" width="0.42578125" style="23" customWidth="1"/>
    <col min="4345" max="4345" width="1.85546875" style="23" customWidth="1"/>
    <col min="4346" max="4346" width="0.85546875" style="23" customWidth="1"/>
    <col min="4347" max="4347" width="28.140625" style="23" customWidth="1"/>
    <col min="4348" max="4348" width="10.42578125" style="23" customWidth="1"/>
    <col min="4349" max="4350" width="10.28515625" style="23" customWidth="1"/>
    <col min="4351" max="4351" width="10.42578125" style="23" customWidth="1"/>
    <col min="4352" max="4352" width="10.28515625" style="23" customWidth="1"/>
    <col min="4353" max="4353" width="10.42578125" style="23" customWidth="1"/>
    <col min="4354" max="4354" width="10.28515625" style="23" customWidth="1"/>
    <col min="4355" max="4359" width="0" style="23" hidden="1" customWidth="1"/>
    <col min="4360" max="4360" width="10.28515625" style="23" customWidth="1"/>
    <col min="4361" max="4361" width="10.42578125" style="23" customWidth="1"/>
    <col min="4362" max="4362" width="10.7109375" style="23" customWidth="1"/>
    <col min="4363" max="4363" width="11.85546875" style="23" customWidth="1"/>
    <col min="4364" max="4368" width="0" style="23" hidden="1" customWidth="1"/>
    <col min="4369" max="4369" width="10.28515625" style="23" customWidth="1"/>
    <col min="4370" max="4598" width="9.140625" style="23"/>
    <col min="4599" max="4600" width="0.42578125" style="23" customWidth="1"/>
    <col min="4601" max="4601" width="1.85546875" style="23" customWidth="1"/>
    <col min="4602" max="4602" width="0.85546875" style="23" customWidth="1"/>
    <col min="4603" max="4603" width="28.140625" style="23" customWidth="1"/>
    <col min="4604" max="4604" width="10.42578125" style="23" customWidth="1"/>
    <col min="4605" max="4606" width="10.28515625" style="23" customWidth="1"/>
    <col min="4607" max="4607" width="10.42578125" style="23" customWidth="1"/>
    <col min="4608" max="4608" width="10.28515625" style="23" customWidth="1"/>
    <col min="4609" max="4609" width="10.42578125" style="23" customWidth="1"/>
    <col min="4610" max="4610" width="10.28515625" style="23" customWidth="1"/>
    <col min="4611" max="4615" width="0" style="23" hidden="1" customWidth="1"/>
    <col min="4616" max="4616" width="10.28515625" style="23" customWidth="1"/>
    <col min="4617" max="4617" width="10.42578125" style="23" customWidth="1"/>
    <col min="4618" max="4618" width="10.7109375" style="23" customWidth="1"/>
    <col min="4619" max="4619" width="11.85546875" style="23" customWidth="1"/>
    <col min="4620" max="4624" width="0" style="23" hidden="1" customWidth="1"/>
    <col min="4625" max="4625" width="10.28515625" style="23" customWidth="1"/>
    <col min="4626" max="4854" width="9.140625" style="23"/>
    <col min="4855" max="4856" width="0.42578125" style="23" customWidth="1"/>
    <col min="4857" max="4857" width="1.85546875" style="23" customWidth="1"/>
    <col min="4858" max="4858" width="0.85546875" style="23" customWidth="1"/>
    <col min="4859" max="4859" width="28.140625" style="23" customWidth="1"/>
    <col min="4860" max="4860" width="10.42578125" style="23" customWidth="1"/>
    <col min="4861" max="4862" width="10.28515625" style="23" customWidth="1"/>
    <col min="4863" max="4863" width="10.42578125" style="23" customWidth="1"/>
    <col min="4864" max="4864" width="10.28515625" style="23" customWidth="1"/>
    <col min="4865" max="4865" width="10.42578125" style="23" customWidth="1"/>
    <col min="4866" max="4866" width="10.28515625" style="23" customWidth="1"/>
    <col min="4867" max="4871" width="0" style="23" hidden="1" customWidth="1"/>
    <col min="4872" max="4872" width="10.28515625" style="23" customWidth="1"/>
    <col min="4873" max="4873" width="10.42578125" style="23" customWidth="1"/>
    <col min="4874" max="4874" width="10.7109375" style="23" customWidth="1"/>
    <col min="4875" max="4875" width="11.85546875" style="23" customWidth="1"/>
    <col min="4876" max="4880" width="0" style="23" hidden="1" customWidth="1"/>
    <col min="4881" max="4881" width="10.28515625" style="23" customWidth="1"/>
    <col min="4882" max="5110" width="9.140625" style="23"/>
    <col min="5111" max="5112" width="0.42578125" style="23" customWidth="1"/>
    <col min="5113" max="5113" width="1.85546875" style="23" customWidth="1"/>
    <col min="5114" max="5114" width="0.85546875" style="23" customWidth="1"/>
    <col min="5115" max="5115" width="28.140625" style="23" customWidth="1"/>
    <col min="5116" max="5116" width="10.42578125" style="23" customWidth="1"/>
    <col min="5117" max="5118" width="10.28515625" style="23" customWidth="1"/>
    <col min="5119" max="5119" width="10.42578125" style="23" customWidth="1"/>
    <col min="5120" max="5120" width="10.28515625" style="23" customWidth="1"/>
    <col min="5121" max="5121" width="10.42578125" style="23" customWidth="1"/>
    <col min="5122" max="5122" width="10.28515625" style="23" customWidth="1"/>
    <col min="5123" max="5127" width="0" style="23" hidden="1" customWidth="1"/>
    <col min="5128" max="5128" width="10.28515625" style="23" customWidth="1"/>
    <col min="5129" max="5129" width="10.42578125" style="23" customWidth="1"/>
    <col min="5130" max="5130" width="10.7109375" style="23" customWidth="1"/>
    <col min="5131" max="5131" width="11.85546875" style="23" customWidth="1"/>
    <col min="5132" max="5136" width="0" style="23" hidden="1" customWidth="1"/>
    <col min="5137" max="5137" width="10.28515625" style="23" customWidth="1"/>
    <col min="5138" max="5366" width="9.140625" style="23"/>
    <col min="5367" max="5368" width="0.42578125" style="23" customWidth="1"/>
    <col min="5369" max="5369" width="1.85546875" style="23" customWidth="1"/>
    <col min="5370" max="5370" width="0.85546875" style="23" customWidth="1"/>
    <col min="5371" max="5371" width="28.140625" style="23" customWidth="1"/>
    <col min="5372" max="5372" width="10.42578125" style="23" customWidth="1"/>
    <col min="5373" max="5374" width="10.28515625" style="23" customWidth="1"/>
    <col min="5375" max="5375" width="10.42578125" style="23" customWidth="1"/>
    <col min="5376" max="5376" width="10.28515625" style="23" customWidth="1"/>
    <col min="5377" max="5377" width="10.42578125" style="23" customWidth="1"/>
    <col min="5378" max="5378" width="10.28515625" style="23" customWidth="1"/>
    <col min="5379" max="5383" width="0" style="23" hidden="1" customWidth="1"/>
    <col min="5384" max="5384" width="10.28515625" style="23" customWidth="1"/>
    <col min="5385" max="5385" width="10.42578125" style="23" customWidth="1"/>
    <col min="5386" max="5386" width="10.7109375" style="23" customWidth="1"/>
    <col min="5387" max="5387" width="11.85546875" style="23" customWidth="1"/>
    <col min="5388" max="5392" width="0" style="23" hidden="1" customWidth="1"/>
    <col min="5393" max="5393" width="10.28515625" style="23" customWidth="1"/>
    <col min="5394" max="5622" width="9.140625" style="23"/>
    <col min="5623" max="5624" width="0.42578125" style="23" customWidth="1"/>
    <col min="5625" max="5625" width="1.85546875" style="23" customWidth="1"/>
    <col min="5626" max="5626" width="0.85546875" style="23" customWidth="1"/>
    <col min="5627" max="5627" width="28.140625" style="23" customWidth="1"/>
    <col min="5628" max="5628" width="10.42578125" style="23" customWidth="1"/>
    <col min="5629" max="5630" width="10.28515625" style="23" customWidth="1"/>
    <col min="5631" max="5631" width="10.42578125" style="23" customWidth="1"/>
    <col min="5632" max="5632" width="10.28515625" style="23" customWidth="1"/>
    <col min="5633" max="5633" width="10.42578125" style="23" customWidth="1"/>
    <col min="5634" max="5634" width="10.28515625" style="23" customWidth="1"/>
    <col min="5635" max="5639" width="0" style="23" hidden="1" customWidth="1"/>
    <col min="5640" max="5640" width="10.28515625" style="23" customWidth="1"/>
    <col min="5641" max="5641" width="10.42578125" style="23" customWidth="1"/>
    <col min="5642" max="5642" width="10.7109375" style="23" customWidth="1"/>
    <col min="5643" max="5643" width="11.85546875" style="23" customWidth="1"/>
    <col min="5644" max="5648" width="0" style="23" hidden="1" customWidth="1"/>
    <col min="5649" max="5649" width="10.28515625" style="23" customWidth="1"/>
    <col min="5650" max="5878" width="9.140625" style="23"/>
    <col min="5879" max="5880" width="0.42578125" style="23" customWidth="1"/>
    <col min="5881" max="5881" width="1.85546875" style="23" customWidth="1"/>
    <col min="5882" max="5882" width="0.85546875" style="23" customWidth="1"/>
    <col min="5883" max="5883" width="28.140625" style="23" customWidth="1"/>
    <col min="5884" max="5884" width="10.42578125" style="23" customWidth="1"/>
    <col min="5885" max="5886" width="10.28515625" style="23" customWidth="1"/>
    <col min="5887" max="5887" width="10.42578125" style="23" customWidth="1"/>
    <col min="5888" max="5888" width="10.28515625" style="23" customWidth="1"/>
    <col min="5889" max="5889" width="10.42578125" style="23" customWidth="1"/>
    <col min="5890" max="5890" width="10.28515625" style="23" customWidth="1"/>
    <col min="5891" max="5895" width="0" style="23" hidden="1" customWidth="1"/>
    <col min="5896" max="5896" width="10.28515625" style="23" customWidth="1"/>
    <col min="5897" max="5897" width="10.42578125" style="23" customWidth="1"/>
    <col min="5898" max="5898" width="10.7109375" style="23" customWidth="1"/>
    <col min="5899" max="5899" width="11.85546875" style="23" customWidth="1"/>
    <col min="5900" max="5904" width="0" style="23" hidden="1" customWidth="1"/>
    <col min="5905" max="5905" width="10.28515625" style="23" customWidth="1"/>
    <col min="5906" max="6134" width="9.140625" style="23"/>
    <col min="6135" max="6136" width="0.42578125" style="23" customWidth="1"/>
    <col min="6137" max="6137" width="1.85546875" style="23" customWidth="1"/>
    <col min="6138" max="6138" width="0.85546875" style="23" customWidth="1"/>
    <col min="6139" max="6139" width="28.140625" style="23" customWidth="1"/>
    <col min="6140" max="6140" width="10.42578125" style="23" customWidth="1"/>
    <col min="6141" max="6142" width="10.28515625" style="23" customWidth="1"/>
    <col min="6143" max="6143" width="10.42578125" style="23" customWidth="1"/>
    <col min="6144" max="6144" width="10.28515625" style="23" customWidth="1"/>
    <col min="6145" max="6145" width="10.42578125" style="23" customWidth="1"/>
    <col min="6146" max="6146" width="10.28515625" style="23" customWidth="1"/>
    <col min="6147" max="6151" width="0" style="23" hidden="1" customWidth="1"/>
    <col min="6152" max="6152" width="10.28515625" style="23" customWidth="1"/>
    <col min="6153" max="6153" width="10.42578125" style="23" customWidth="1"/>
    <col min="6154" max="6154" width="10.7109375" style="23" customWidth="1"/>
    <col min="6155" max="6155" width="11.85546875" style="23" customWidth="1"/>
    <col min="6156" max="6160" width="0" style="23" hidden="1" customWidth="1"/>
    <col min="6161" max="6161" width="10.28515625" style="23" customWidth="1"/>
    <col min="6162" max="6390" width="9.140625" style="23"/>
    <col min="6391" max="6392" width="0.42578125" style="23" customWidth="1"/>
    <col min="6393" max="6393" width="1.85546875" style="23" customWidth="1"/>
    <col min="6394" max="6394" width="0.85546875" style="23" customWidth="1"/>
    <col min="6395" max="6395" width="28.140625" style="23" customWidth="1"/>
    <col min="6396" max="6396" width="10.42578125" style="23" customWidth="1"/>
    <col min="6397" max="6398" width="10.28515625" style="23" customWidth="1"/>
    <col min="6399" max="6399" width="10.42578125" style="23" customWidth="1"/>
    <col min="6400" max="6400" width="10.28515625" style="23" customWidth="1"/>
    <col min="6401" max="6401" width="10.42578125" style="23" customWidth="1"/>
    <col min="6402" max="6402" width="10.28515625" style="23" customWidth="1"/>
    <col min="6403" max="6407" width="0" style="23" hidden="1" customWidth="1"/>
    <col min="6408" max="6408" width="10.28515625" style="23" customWidth="1"/>
    <col min="6409" max="6409" width="10.42578125" style="23" customWidth="1"/>
    <col min="6410" max="6410" width="10.7109375" style="23" customWidth="1"/>
    <col min="6411" max="6411" width="11.85546875" style="23" customWidth="1"/>
    <col min="6412" max="6416" width="0" style="23" hidden="1" customWidth="1"/>
    <col min="6417" max="6417" width="10.28515625" style="23" customWidth="1"/>
    <col min="6418" max="6646" width="9.140625" style="23"/>
    <col min="6647" max="6648" width="0.42578125" style="23" customWidth="1"/>
    <col min="6649" max="6649" width="1.85546875" style="23" customWidth="1"/>
    <col min="6650" max="6650" width="0.85546875" style="23" customWidth="1"/>
    <col min="6651" max="6651" width="28.140625" style="23" customWidth="1"/>
    <col min="6652" max="6652" width="10.42578125" style="23" customWidth="1"/>
    <col min="6653" max="6654" width="10.28515625" style="23" customWidth="1"/>
    <col min="6655" max="6655" width="10.42578125" style="23" customWidth="1"/>
    <col min="6656" max="6656" width="10.28515625" style="23" customWidth="1"/>
    <col min="6657" max="6657" width="10.42578125" style="23" customWidth="1"/>
    <col min="6658" max="6658" width="10.28515625" style="23" customWidth="1"/>
    <col min="6659" max="6663" width="0" style="23" hidden="1" customWidth="1"/>
    <col min="6664" max="6664" width="10.28515625" style="23" customWidth="1"/>
    <col min="6665" max="6665" width="10.42578125" style="23" customWidth="1"/>
    <col min="6666" max="6666" width="10.7109375" style="23" customWidth="1"/>
    <col min="6667" max="6667" width="11.85546875" style="23" customWidth="1"/>
    <col min="6668" max="6672" width="0" style="23" hidden="1" customWidth="1"/>
    <col min="6673" max="6673" width="10.28515625" style="23" customWidth="1"/>
    <col min="6674" max="6902" width="9.140625" style="23"/>
    <col min="6903" max="6904" width="0.42578125" style="23" customWidth="1"/>
    <col min="6905" max="6905" width="1.85546875" style="23" customWidth="1"/>
    <col min="6906" max="6906" width="0.85546875" style="23" customWidth="1"/>
    <col min="6907" max="6907" width="28.140625" style="23" customWidth="1"/>
    <col min="6908" max="6908" width="10.42578125" style="23" customWidth="1"/>
    <col min="6909" max="6910" width="10.28515625" style="23" customWidth="1"/>
    <col min="6911" max="6911" width="10.42578125" style="23" customWidth="1"/>
    <col min="6912" max="6912" width="10.28515625" style="23" customWidth="1"/>
    <col min="6913" max="6913" width="10.42578125" style="23" customWidth="1"/>
    <col min="6914" max="6914" width="10.28515625" style="23" customWidth="1"/>
    <col min="6915" max="6919" width="0" style="23" hidden="1" customWidth="1"/>
    <col min="6920" max="6920" width="10.28515625" style="23" customWidth="1"/>
    <col min="6921" max="6921" width="10.42578125" style="23" customWidth="1"/>
    <col min="6922" max="6922" width="10.7109375" style="23" customWidth="1"/>
    <col min="6923" max="6923" width="11.85546875" style="23" customWidth="1"/>
    <col min="6924" max="6928" width="0" style="23" hidden="1" customWidth="1"/>
    <col min="6929" max="6929" width="10.28515625" style="23" customWidth="1"/>
    <col min="6930" max="7158" width="9.140625" style="23"/>
    <col min="7159" max="7160" width="0.42578125" style="23" customWidth="1"/>
    <col min="7161" max="7161" width="1.85546875" style="23" customWidth="1"/>
    <col min="7162" max="7162" width="0.85546875" style="23" customWidth="1"/>
    <col min="7163" max="7163" width="28.140625" style="23" customWidth="1"/>
    <col min="7164" max="7164" width="10.42578125" style="23" customWidth="1"/>
    <col min="7165" max="7166" width="10.28515625" style="23" customWidth="1"/>
    <col min="7167" max="7167" width="10.42578125" style="23" customWidth="1"/>
    <col min="7168" max="7168" width="10.28515625" style="23" customWidth="1"/>
    <col min="7169" max="7169" width="10.42578125" style="23" customWidth="1"/>
    <col min="7170" max="7170" width="10.28515625" style="23" customWidth="1"/>
    <col min="7171" max="7175" width="0" style="23" hidden="1" customWidth="1"/>
    <col min="7176" max="7176" width="10.28515625" style="23" customWidth="1"/>
    <col min="7177" max="7177" width="10.42578125" style="23" customWidth="1"/>
    <col min="7178" max="7178" width="10.7109375" style="23" customWidth="1"/>
    <col min="7179" max="7179" width="11.85546875" style="23" customWidth="1"/>
    <col min="7180" max="7184" width="0" style="23" hidden="1" customWidth="1"/>
    <col min="7185" max="7185" width="10.28515625" style="23" customWidth="1"/>
    <col min="7186" max="7414" width="9.140625" style="23"/>
    <col min="7415" max="7416" width="0.42578125" style="23" customWidth="1"/>
    <col min="7417" max="7417" width="1.85546875" style="23" customWidth="1"/>
    <col min="7418" max="7418" width="0.85546875" style="23" customWidth="1"/>
    <col min="7419" max="7419" width="28.140625" style="23" customWidth="1"/>
    <col min="7420" max="7420" width="10.42578125" style="23" customWidth="1"/>
    <col min="7421" max="7422" width="10.28515625" style="23" customWidth="1"/>
    <col min="7423" max="7423" width="10.42578125" style="23" customWidth="1"/>
    <col min="7424" max="7424" width="10.28515625" style="23" customWidth="1"/>
    <col min="7425" max="7425" width="10.42578125" style="23" customWidth="1"/>
    <col min="7426" max="7426" width="10.28515625" style="23" customWidth="1"/>
    <col min="7427" max="7431" width="0" style="23" hidden="1" customWidth="1"/>
    <col min="7432" max="7432" width="10.28515625" style="23" customWidth="1"/>
    <col min="7433" max="7433" width="10.42578125" style="23" customWidth="1"/>
    <col min="7434" max="7434" width="10.7109375" style="23" customWidth="1"/>
    <col min="7435" max="7435" width="11.85546875" style="23" customWidth="1"/>
    <col min="7436" max="7440" width="0" style="23" hidden="1" customWidth="1"/>
    <col min="7441" max="7441" width="10.28515625" style="23" customWidth="1"/>
    <col min="7442" max="7670" width="9.140625" style="23"/>
    <col min="7671" max="7672" width="0.42578125" style="23" customWidth="1"/>
    <col min="7673" max="7673" width="1.85546875" style="23" customWidth="1"/>
    <col min="7674" max="7674" width="0.85546875" style="23" customWidth="1"/>
    <col min="7675" max="7675" width="28.140625" style="23" customWidth="1"/>
    <col min="7676" max="7676" width="10.42578125" style="23" customWidth="1"/>
    <col min="7677" max="7678" width="10.28515625" style="23" customWidth="1"/>
    <col min="7679" max="7679" width="10.42578125" style="23" customWidth="1"/>
    <col min="7680" max="7680" width="10.28515625" style="23" customWidth="1"/>
    <col min="7681" max="7681" width="10.42578125" style="23" customWidth="1"/>
    <col min="7682" max="7682" width="10.28515625" style="23" customWidth="1"/>
    <col min="7683" max="7687" width="0" style="23" hidden="1" customWidth="1"/>
    <col min="7688" max="7688" width="10.28515625" style="23" customWidth="1"/>
    <col min="7689" max="7689" width="10.42578125" style="23" customWidth="1"/>
    <col min="7690" max="7690" width="10.7109375" style="23" customWidth="1"/>
    <col min="7691" max="7691" width="11.85546875" style="23" customWidth="1"/>
    <col min="7692" max="7696" width="0" style="23" hidden="1" customWidth="1"/>
    <col min="7697" max="7697" width="10.28515625" style="23" customWidth="1"/>
    <col min="7698" max="7926" width="9.140625" style="23"/>
    <col min="7927" max="7928" width="0.42578125" style="23" customWidth="1"/>
    <col min="7929" max="7929" width="1.85546875" style="23" customWidth="1"/>
    <col min="7930" max="7930" width="0.85546875" style="23" customWidth="1"/>
    <col min="7931" max="7931" width="28.140625" style="23" customWidth="1"/>
    <col min="7932" max="7932" width="10.42578125" style="23" customWidth="1"/>
    <col min="7933" max="7934" width="10.28515625" style="23" customWidth="1"/>
    <col min="7935" max="7935" width="10.42578125" style="23" customWidth="1"/>
    <col min="7936" max="7936" width="10.28515625" style="23" customWidth="1"/>
    <col min="7937" max="7937" width="10.42578125" style="23" customWidth="1"/>
    <col min="7938" max="7938" width="10.28515625" style="23" customWidth="1"/>
    <col min="7939" max="7943" width="0" style="23" hidden="1" customWidth="1"/>
    <col min="7944" max="7944" width="10.28515625" style="23" customWidth="1"/>
    <col min="7945" max="7945" width="10.42578125" style="23" customWidth="1"/>
    <col min="7946" max="7946" width="10.7109375" style="23" customWidth="1"/>
    <col min="7947" max="7947" width="11.85546875" style="23" customWidth="1"/>
    <col min="7948" max="7952" width="0" style="23" hidden="1" customWidth="1"/>
    <col min="7953" max="7953" width="10.28515625" style="23" customWidth="1"/>
    <col min="7954" max="8182" width="9.140625" style="23"/>
    <col min="8183" max="8184" width="0.42578125" style="23" customWidth="1"/>
    <col min="8185" max="8185" width="1.85546875" style="23" customWidth="1"/>
    <col min="8186" max="8186" width="0.85546875" style="23" customWidth="1"/>
    <col min="8187" max="8187" width="28.140625" style="23" customWidth="1"/>
    <col min="8188" max="8188" width="10.42578125" style="23" customWidth="1"/>
    <col min="8189" max="8190" width="10.28515625" style="23" customWidth="1"/>
    <col min="8191" max="8191" width="10.42578125" style="23" customWidth="1"/>
    <col min="8192" max="8192" width="10.28515625" style="23" customWidth="1"/>
    <col min="8193" max="8193" width="10.42578125" style="23" customWidth="1"/>
    <col min="8194" max="8194" width="10.28515625" style="23" customWidth="1"/>
    <col min="8195" max="8199" width="0" style="23" hidden="1" customWidth="1"/>
    <col min="8200" max="8200" width="10.28515625" style="23" customWidth="1"/>
    <col min="8201" max="8201" width="10.42578125" style="23" customWidth="1"/>
    <col min="8202" max="8202" width="10.7109375" style="23" customWidth="1"/>
    <col min="8203" max="8203" width="11.85546875" style="23" customWidth="1"/>
    <col min="8204" max="8208" width="0" style="23" hidden="1" customWidth="1"/>
    <col min="8209" max="8209" width="10.28515625" style="23" customWidth="1"/>
    <col min="8210" max="8438" width="9.140625" style="23"/>
    <col min="8439" max="8440" width="0.42578125" style="23" customWidth="1"/>
    <col min="8441" max="8441" width="1.85546875" style="23" customWidth="1"/>
    <col min="8442" max="8442" width="0.85546875" style="23" customWidth="1"/>
    <col min="8443" max="8443" width="28.140625" style="23" customWidth="1"/>
    <col min="8444" max="8444" width="10.42578125" style="23" customWidth="1"/>
    <col min="8445" max="8446" width="10.28515625" style="23" customWidth="1"/>
    <col min="8447" max="8447" width="10.42578125" style="23" customWidth="1"/>
    <col min="8448" max="8448" width="10.28515625" style="23" customWidth="1"/>
    <col min="8449" max="8449" width="10.42578125" style="23" customWidth="1"/>
    <col min="8450" max="8450" width="10.28515625" style="23" customWidth="1"/>
    <col min="8451" max="8455" width="0" style="23" hidden="1" customWidth="1"/>
    <col min="8456" max="8456" width="10.28515625" style="23" customWidth="1"/>
    <col min="8457" max="8457" width="10.42578125" style="23" customWidth="1"/>
    <col min="8458" max="8458" width="10.7109375" style="23" customWidth="1"/>
    <col min="8459" max="8459" width="11.85546875" style="23" customWidth="1"/>
    <col min="8460" max="8464" width="0" style="23" hidden="1" customWidth="1"/>
    <col min="8465" max="8465" width="10.28515625" style="23" customWidth="1"/>
    <col min="8466" max="8694" width="9.140625" style="23"/>
    <col min="8695" max="8696" width="0.42578125" style="23" customWidth="1"/>
    <col min="8697" max="8697" width="1.85546875" style="23" customWidth="1"/>
    <col min="8698" max="8698" width="0.85546875" style="23" customWidth="1"/>
    <col min="8699" max="8699" width="28.140625" style="23" customWidth="1"/>
    <col min="8700" max="8700" width="10.42578125" style="23" customWidth="1"/>
    <col min="8701" max="8702" width="10.28515625" style="23" customWidth="1"/>
    <col min="8703" max="8703" width="10.42578125" style="23" customWidth="1"/>
    <col min="8704" max="8704" width="10.28515625" style="23" customWidth="1"/>
    <col min="8705" max="8705" width="10.42578125" style="23" customWidth="1"/>
    <col min="8706" max="8706" width="10.28515625" style="23" customWidth="1"/>
    <col min="8707" max="8711" width="0" style="23" hidden="1" customWidth="1"/>
    <col min="8712" max="8712" width="10.28515625" style="23" customWidth="1"/>
    <col min="8713" max="8713" width="10.42578125" style="23" customWidth="1"/>
    <col min="8714" max="8714" width="10.7109375" style="23" customWidth="1"/>
    <col min="8715" max="8715" width="11.85546875" style="23" customWidth="1"/>
    <col min="8716" max="8720" width="0" style="23" hidden="1" customWidth="1"/>
    <col min="8721" max="8721" width="10.28515625" style="23" customWidth="1"/>
    <col min="8722" max="8950" width="9.140625" style="23"/>
    <col min="8951" max="8952" width="0.42578125" style="23" customWidth="1"/>
    <col min="8953" max="8953" width="1.85546875" style="23" customWidth="1"/>
    <col min="8954" max="8954" width="0.85546875" style="23" customWidth="1"/>
    <col min="8955" max="8955" width="28.140625" style="23" customWidth="1"/>
    <col min="8956" max="8956" width="10.42578125" style="23" customWidth="1"/>
    <col min="8957" max="8958" width="10.28515625" style="23" customWidth="1"/>
    <col min="8959" max="8959" width="10.42578125" style="23" customWidth="1"/>
    <col min="8960" max="8960" width="10.28515625" style="23" customWidth="1"/>
    <col min="8961" max="8961" width="10.42578125" style="23" customWidth="1"/>
    <col min="8962" max="8962" width="10.28515625" style="23" customWidth="1"/>
    <col min="8963" max="8967" width="0" style="23" hidden="1" customWidth="1"/>
    <col min="8968" max="8968" width="10.28515625" style="23" customWidth="1"/>
    <col min="8969" max="8969" width="10.42578125" style="23" customWidth="1"/>
    <col min="8970" max="8970" width="10.7109375" style="23" customWidth="1"/>
    <col min="8971" max="8971" width="11.85546875" style="23" customWidth="1"/>
    <col min="8972" max="8976" width="0" style="23" hidden="1" customWidth="1"/>
    <col min="8977" max="8977" width="10.28515625" style="23" customWidth="1"/>
    <col min="8978" max="9206" width="9.140625" style="23"/>
    <col min="9207" max="9208" width="0.42578125" style="23" customWidth="1"/>
    <col min="9209" max="9209" width="1.85546875" style="23" customWidth="1"/>
    <col min="9210" max="9210" width="0.85546875" style="23" customWidth="1"/>
    <col min="9211" max="9211" width="28.140625" style="23" customWidth="1"/>
    <col min="9212" max="9212" width="10.42578125" style="23" customWidth="1"/>
    <col min="9213" max="9214" width="10.28515625" style="23" customWidth="1"/>
    <col min="9215" max="9215" width="10.42578125" style="23" customWidth="1"/>
    <col min="9216" max="9216" width="10.28515625" style="23" customWidth="1"/>
    <col min="9217" max="9217" width="10.42578125" style="23" customWidth="1"/>
    <col min="9218" max="9218" width="10.28515625" style="23" customWidth="1"/>
    <col min="9219" max="9223" width="0" style="23" hidden="1" customWidth="1"/>
    <col min="9224" max="9224" width="10.28515625" style="23" customWidth="1"/>
    <col min="9225" max="9225" width="10.42578125" style="23" customWidth="1"/>
    <col min="9226" max="9226" width="10.7109375" style="23" customWidth="1"/>
    <col min="9227" max="9227" width="11.85546875" style="23" customWidth="1"/>
    <col min="9228" max="9232" width="0" style="23" hidden="1" customWidth="1"/>
    <col min="9233" max="9233" width="10.28515625" style="23" customWidth="1"/>
    <col min="9234" max="9462" width="9.140625" style="23"/>
    <col min="9463" max="9464" width="0.42578125" style="23" customWidth="1"/>
    <col min="9465" max="9465" width="1.85546875" style="23" customWidth="1"/>
    <col min="9466" max="9466" width="0.85546875" style="23" customWidth="1"/>
    <col min="9467" max="9467" width="28.140625" style="23" customWidth="1"/>
    <col min="9468" max="9468" width="10.42578125" style="23" customWidth="1"/>
    <col min="9469" max="9470" width="10.28515625" style="23" customWidth="1"/>
    <col min="9471" max="9471" width="10.42578125" style="23" customWidth="1"/>
    <col min="9472" max="9472" width="10.28515625" style="23" customWidth="1"/>
    <col min="9473" max="9473" width="10.42578125" style="23" customWidth="1"/>
    <col min="9474" max="9474" width="10.28515625" style="23" customWidth="1"/>
    <col min="9475" max="9479" width="0" style="23" hidden="1" customWidth="1"/>
    <col min="9480" max="9480" width="10.28515625" style="23" customWidth="1"/>
    <col min="9481" max="9481" width="10.42578125" style="23" customWidth="1"/>
    <col min="9482" max="9482" width="10.7109375" style="23" customWidth="1"/>
    <col min="9483" max="9483" width="11.85546875" style="23" customWidth="1"/>
    <col min="9484" max="9488" width="0" style="23" hidden="1" customWidth="1"/>
    <col min="9489" max="9489" width="10.28515625" style="23" customWidth="1"/>
    <col min="9490" max="9718" width="9.140625" style="23"/>
    <col min="9719" max="9720" width="0.42578125" style="23" customWidth="1"/>
    <col min="9721" max="9721" width="1.85546875" style="23" customWidth="1"/>
    <col min="9722" max="9722" width="0.85546875" style="23" customWidth="1"/>
    <col min="9723" max="9723" width="28.140625" style="23" customWidth="1"/>
    <col min="9724" max="9724" width="10.42578125" style="23" customWidth="1"/>
    <col min="9725" max="9726" width="10.28515625" style="23" customWidth="1"/>
    <col min="9727" max="9727" width="10.42578125" style="23" customWidth="1"/>
    <col min="9728" max="9728" width="10.28515625" style="23" customWidth="1"/>
    <col min="9729" max="9729" width="10.42578125" style="23" customWidth="1"/>
    <col min="9730" max="9730" width="10.28515625" style="23" customWidth="1"/>
    <col min="9731" max="9735" width="0" style="23" hidden="1" customWidth="1"/>
    <col min="9736" max="9736" width="10.28515625" style="23" customWidth="1"/>
    <col min="9737" max="9737" width="10.42578125" style="23" customWidth="1"/>
    <col min="9738" max="9738" width="10.7109375" style="23" customWidth="1"/>
    <col min="9739" max="9739" width="11.85546875" style="23" customWidth="1"/>
    <col min="9740" max="9744" width="0" style="23" hidden="1" customWidth="1"/>
    <col min="9745" max="9745" width="10.28515625" style="23" customWidth="1"/>
    <col min="9746" max="9974" width="9.140625" style="23"/>
    <col min="9975" max="9976" width="0.42578125" style="23" customWidth="1"/>
    <col min="9977" max="9977" width="1.85546875" style="23" customWidth="1"/>
    <col min="9978" max="9978" width="0.85546875" style="23" customWidth="1"/>
    <col min="9979" max="9979" width="28.140625" style="23" customWidth="1"/>
    <col min="9980" max="9980" width="10.42578125" style="23" customWidth="1"/>
    <col min="9981" max="9982" width="10.28515625" style="23" customWidth="1"/>
    <col min="9983" max="9983" width="10.42578125" style="23" customWidth="1"/>
    <col min="9984" max="9984" width="10.28515625" style="23" customWidth="1"/>
    <col min="9985" max="9985" width="10.42578125" style="23" customWidth="1"/>
    <col min="9986" max="9986" width="10.28515625" style="23" customWidth="1"/>
    <col min="9987" max="9991" width="0" style="23" hidden="1" customWidth="1"/>
    <col min="9992" max="9992" width="10.28515625" style="23" customWidth="1"/>
    <col min="9993" max="9993" width="10.42578125" style="23" customWidth="1"/>
    <col min="9994" max="9994" width="10.7109375" style="23" customWidth="1"/>
    <col min="9995" max="9995" width="11.85546875" style="23" customWidth="1"/>
    <col min="9996" max="10000" width="0" style="23" hidden="1" customWidth="1"/>
    <col min="10001" max="10001" width="10.28515625" style="23" customWidth="1"/>
    <col min="10002" max="10230" width="9.140625" style="23"/>
    <col min="10231" max="10232" width="0.42578125" style="23" customWidth="1"/>
    <col min="10233" max="10233" width="1.85546875" style="23" customWidth="1"/>
    <col min="10234" max="10234" width="0.85546875" style="23" customWidth="1"/>
    <col min="10235" max="10235" width="28.140625" style="23" customWidth="1"/>
    <col min="10236" max="10236" width="10.42578125" style="23" customWidth="1"/>
    <col min="10237" max="10238" width="10.28515625" style="23" customWidth="1"/>
    <col min="10239" max="10239" width="10.42578125" style="23" customWidth="1"/>
    <col min="10240" max="10240" width="10.28515625" style="23" customWidth="1"/>
    <col min="10241" max="10241" width="10.42578125" style="23" customWidth="1"/>
    <col min="10242" max="10242" width="10.28515625" style="23" customWidth="1"/>
    <col min="10243" max="10247" width="0" style="23" hidden="1" customWidth="1"/>
    <col min="10248" max="10248" width="10.28515625" style="23" customWidth="1"/>
    <col min="10249" max="10249" width="10.42578125" style="23" customWidth="1"/>
    <col min="10250" max="10250" width="10.7109375" style="23" customWidth="1"/>
    <col min="10251" max="10251" width="11.85546875" style="23" customWidth="1"/>
    <col min="10252" max="10256" width="0" style="23" hidden="1" customWidth="1"/>
    <col min="10257" max="10257" width="10.28515625" style="23" customWidth="1"/>
    <col min="10258" max="10486" width="9.140625" style="23"/>
    <col min="10487" max="10488" width="0.42578125" style="23" customWidth="1"/>
    <col min="10489" max="10489" width="1.85546875" style="23" customWidth="1"/>
    <col min="10490" max="10490" width="0.85546875" style="23" customWidth="1"/>
    <col min="10491" max="10491" width="28.140625" style="23" customWidth="1"/>
    <col min="10492" max="10492" width="10.42578125" style="23" customWidth="1"/>
    <col min="10493" max="10494" width="10.28515625" style="23" customWidth="1"/>
    <col min="10495" max="10495" width="10.42578125" style="23" customWidth="1"/>
    <col min="10496" max="10496" width="10.28515625" style="23" customWidth="1"/>
    <col min="10497" max="10497" width="10.42578125" style="23" customWidth="1"/>
    <col min="10498" max="10498" width="10.28515625" style="23" customWidth="1"/>
    <col min="10499" max="10503" width="0" style="23" hidden="1" customWidth="1"/>
    <col min="10504" max="10504" width="10.28515625" style="23" customWidth="1"/>
    <col min="10505" max="10505" width="10.42578125" style="23" customWidth="1"/>
    <col min="10506" max="10506" width="10.7109375" style="23" customWidth="1"/>
    <col min="10507" max="10507" width="11.85546875" style="23" customWidth="1"/>
    <col min="10508" max="10512" width="0" style="23" hidden="1" customWidth="1"/>
    <col min="10513" max="10513" width="10.28515625" style="23" customWidth="1"/>
    <col min="10514" max="10742" width="9.140625" style="23"/>
    <col min="10743" max="10744" width="0.42578125" style="23" customWidth="1"/>
    <col min="10745" max="10745" width="1.85546875" style="23" customWidth="1"/>
    <col min="10746" max="10746" width="0.85546875" style="23" customWidth="1"/>
    <col min="10747" max="10747" width="28.140625" style="23" customWidth="1"/>
    <col min="10748" max="10748" width="10.42578125" style="23" customWidth="1"/>
    <col min="10749" max="10750" width="10.28515625" style="23" customWidth="1"/>
    <col min="10751" max="10751" width="10.42578125" style="23" customWidth="1"/>
    <col min="10752" max="10752" width="10.28515625" style="23" customWidth="1"/>
    <col min="10753" max="10753" width="10.42578125" style="23" customWidth="1"/>
    <col min="10754" max="10754" width="10.28515625" style="23" customWidth="1"/>
    <col min="10755" max="10759" width="0" style="23" hidden="1" customWidth="1"/>
    <col min="10760" max="10760" width="10.28515625" style="23" customWidth="1"/>
    <col min="10761" max="10761" width="10.42578125" style="23" customWidth="1"/>
    <col min="10762" max="10762" width="10.7109375" style="23" customWidth="1"/>
    <col min="10763" max="10763" width="11.85546875" style="23" customWidth="1"/>
    <col min="10764" max="10768" width="0" style="23" hidden="1" customWidth="1"/>
    <col min="10769" max="10769" width="10.28515625" style="23" customWidth="1"/>
    <col min="10770" max="10998" width="9.140625" style="23"/>
    <col min="10999" max="11000" width="0.42578125" style="23" customWidth="1"/>
    <col min="11001" max="11001" width="1.85546875" style="23" customWidth="1"/>
    <col min="11002" max="11002" width="0.85546875" style="23" customWidth="1"/>
    <col min="11003" max="11003" width="28.140625" style="23" customWidth="1"/>
    <col min="11004" max="11004" width="10.42578125" style="23" customWidth="1"/>
    <col min="11005" max="11006" width="10.28515625" style="23" customWidth="1"/>
    <col min="11007" max="11007" width="10.42578125" style="23" customWidth="1"/>
    <col min="11008" max="11008" width="10.28515625" style="23" customWidth="1"/>
    <col min="11009" max="11009" width="10.42578125" style="23" customWidth="1"/>
    <col min="11010" max="11010" width="10.28515625" style="23" customWidth="1"/>
    <col min="11011" max="11015" width="0" style="23" hidden="1" customWidth="1"/>
    <col min="11016" max="11016" width="10.28515625" style="23" customWidth="1"/>
    <col min="11017" max="11017" width="10.42578125" style="23" customWidth="1"/>
    <col min="11018" max="11018" width="10.7109375" style="23" customWidth="1"/>
    <col min="11019" max="11019" width="11.85546875" style="23" customWidth="1"/>
    <col min="11020" max="11024" width="0" style="23" hidden="1" customWidth="1"/>
    <col min="11025" max="11025" width="10.28515625" style="23" customWidth="1"/>
    <col min="11026" max="11254" width="9.140625" style="23"/>
    <col min="11255" max="11256" width="0.42578125" style="23" customWidth="1"/>
    <col min="11257" max="11257" width="1.85546875" style="23" customWidth="1"/>
    <col min="11258" max="11258" width="0.85546875" style="23" customWidth="1"/>
    <col min="11259" max="11259" width="28.140625" style="23" customWidth="1"/>
    <col min="11260" max="11260" width="10.42578125" style="23" customWidth="1"/>
    <col min="11261" max="11262" width="10.28515625" style="23" customWidth="1"/>
    <col min="11263" max="11263" width="10.42578125" style="23" customWidth="1"/>
    <col min="11264" max="11264" width="10.28515625" style="23" customWidth="1"/>
    <col min="11265" max="11265" width="10.42578125" style="23" customWidth="1"/>
    <col min="11266" max="11266" width="10.28515625" style="23" customWidth="1"/>
    <col min="11267" max="11271" width="0" style="23" hidden="1" customWidth="1"/>
    <col min="11272" max="11272" width="10.28515625" style="23" customWidth="1"/>
    <col min="11273" max="11273" width="10.42578125" style="23" customWidth="1"/>
    <col min="11274" max="11274" width="10.7109375" style="23" customWidth="1"/>
    <col min="11275" max="11275" width="11.85546875" style="23" customWidth="1"/>
    <col min="11276" max="11280" width="0" style="23" hidden="1" customWidth="1"/>
    <col min="11281" max="11281" width="10.28515625" style="23" customWidth="1"/>
    <col min="11282" max="11510" width="9.140625" style="23"/>
    <col min="11511" max="11512" width="0.42578125" style="23" customWidth="1"/>
    <col min="11513" max="11513" width="1.85546875" style="23" customWidth="1"/>
    <col min="11514" max="11514" width="0.85546875" style="23" customWidth="1"/>
    <col min="11515" max="11515" width="28.140625" style="23" customWidth="1"/>
    <col min="11516" max="11516" width="10.42578125" style="23" customWidth="1"/>
    <col min="11517" max="11518" width="10.28515625" style="23" customWidth="1"/>
    <col min="11519" max="11519" width="10.42578125" style="23" customWidth="1"/>
    <col min="11520" max="11520" width="10.28515625" style="23" customWidth="1"/>
    <col min="11521" max="11521" width="10.42578125" style="23" customWidth="1"/>
    <col min="11522" max="11522" width="10.28515625" style="23" customWidth="1"/>
    <col min="11523" max="11527" width="0" style="23" hidden="1" customWidth="1"/>
    <col min="11528" max="11528" width="10.28515625" style="23" customWidth="1"/>
    <col min="11529" max="11529" width="10.42578125" style="23" customWidth="1"/>
    <col min="11530" max="11530" width="10.7109375" style="23" customWidth="1"/>
    <col min="11531" max="11531" width="11.85546875" style="23" customWidth="1"/>
    <col min="11532" max="11536" width="0" style="23" hidden="1" customWidth="1"/>
    <col min="11537" max="11537" width="10.28515625" style="23" customWidth="1"/>
    <col min="11538" max="11766" width="9.140625" style="23"/>
    <col min="11767" max="11768" width="0.42578125" style="23" customWidth="1"/>
    <col min="11769" max="11769" width="1.85546875" style="23" customWidth="1"/>
    <col min="11770" max="11770" width="0.85546875" style="23" customWidth="1"/>
    <col min="11771" max="11771" width="28.140625" style="23" customWidth="1"/>
    <col min="11772" max="11772" width="10.42578125" style="23" customWidth="1"/>
    <col min="11773" max="11774" width="10.28515625" style="23" customWidth="1"/>
    <col min="11775" max="11775" width="10.42578125" style="23" customWidth="1"/>
    <col min="11776" max="11776" width="10.28515625" style="23" customWidth="1"/>
    <col min="11777" max="11777" width="10.42578125" style="23" customWidth="1"/>
    <col min="11778" max="11778" width="10.28515625" style="23" customWidth="1"/>
    <col min="11779" max="11783" width="0" style="23" hidden="1" customWidth="1"/>
    <col min="11784" max="11784" width="10.28515625" style="23" customWidth="1"/>
    <col min="11785" max="11785" width="10.42578125" style="23" customWidth="1"/>
    <col min="11786" max="11786" width="10.7109375" style="23" customWidth="1"/>
    <col min="11787" max="11787" width="11.85546875" style="23" customWidth="1"/>
    <col min="11788" max="11792" width="0" style="23" hidden="1" customWidth="1"/>
    <col min="11793" max="11793" width="10.28515625" style="23" customWidth="1"/>
    <col min="11794" max="12022" width="9.140625" style="23"/>
    <col min="12023" max="12024" width="0.42578125" style="23" customWidth="1"/>
    <col min="12025" max="12025" width="1.85546875" style="23" customWidth="1"/>
    <col min="12026" max="12026" width="0.85546875" style="23" customWidth="1"/>
    <col min="12027" max="12027" width="28.140625" style="23" customWidth="1"/>
    <col min="12028" max="12028" width="10.42578125" style="23" customWidth="1"/>
    <col min="12029" max="12030" width="10.28515625" style="23" customWidth="1"/>
    <col min="12031" max="12031" width="10.42578125" style="23" customWidth="1"/>
    <col min="12032" max="12032" width="10.28515625" style="23" customWidth="1"/>
    <col min="12033" max="12033" width="10.42578125" style="23" customWidth="1"/>
    <col min="12034" max="12034" width="10.28515625" style="23" customWidth="1"/>
    <col min="12035" max="12039" width="0" style="23" hidden="1" customWidth="1"/>
    <col min="12040" max="12040" width="10.28515625" style="23" customWidth="1"/>
    <col min="12041" max="12041" width="10.42578125" style="23" customWidth="1"/>
    <col min="12042" max="12042" width="10.7109375" style="23" customWidth="1"/>
    <col min="12043" max="12043" width="11.85546875" style="23" customWidth="1"/>
    <col min="12044" max="12048" width="0" style="23" hidden="1" customWidth="1"/>
    <col min="12049" max="12049" width="10.28515625" style="23" customWidth="1"/>
    <col min="12050" max="12278" width="9.140625" style="23"/>
    <col min="12279" max="12280" width="0.42578125" style="23" customWidth="1"/>
    <col min="12281" max="12281" width="1.85546875" style="23" customWidth="1"/>
    <col min="12282" max="12282" width="0.85546875" style="23" customWidth="1"/>
    <col min="12283" max="12283" width="28.140625" style="23" customWidth="1"/>
    <col min="12284" max="12284" width="10.42578125" style="23" customWidth="1"/>
    <col min="12285" max="12286" width="10.28515625" style="23" customWidth="1"/>
    <col min="12287" max="12287" width="10.42578125" style="23" customWidth="1"/>
    <col min="12288" max="12288" width="10.28515625" style="23" customWidth="1"/>
    <col min="12289" max="12289" width="10.42578125" style="23" customWidth="1"/>
    <col min="12290" max="12290" width="10.28515625" style="23" customWidth="1"/>
    <col min="12291" max="12295" width="0" style="23" hidden="1" customWidth="1"/>
    <col min="12296" max="12296" width="10.28515625" style="23" customWidth="1"/>
    <col min="12297" max="12297" width="10.42578125" style="23" customWidth="1"/>
    <col min="12298" max="12298" width="10.7109375" style="23" customWidth="1"/>
    <col min="12299" max="12299" width="11.85546875" style="23" customWidth="1"/>
    <col min="12300" max="12304" width="0" style="23" hidden="1" customWidth="1"/>
    <col min="12305" max="12305" width="10.28515625" style="23" customWidth="1"/>
    <col min="12306" max="12534" width="9.140625" style="23"/>
    <col min="12535" max="12536" width="0.42578125" style="23" customWidth="1"/>
    <col min="12537" max="12537" width="1.85546875" style="23" customWidth="1"/>
    <col min="12538" max="12538" width="0.85546875" style="23" customWidth="1"/>
    <col min="12539" max="12539" width="28.140625" style="23" customWidth="1"/>
    <col min="12540" max="12540" width="10.42578125" style="23" customWidth="1"/>
    <col min="12541" max="12542" width="10.28515625" style="23" customWidth="1"/>
    <col min="12543" max="12543" width="10.42578125" style="23" customWidth="1"/>
    <col min="12544" max="12544" width="10.28515625" style="23" customWidth="1"/>
    <col min="12545" max="12545" width="10.42578125" style="23" customWidth="1"/>
    <col min="12546" max="12546" width="10.28515625" style="23" customWidth="1"/>
    <col min="12547" max="12551" width="0" style="23" hidden="1" customWidth="1"/>
    <col min="12552" max="12552" width="10.28515625" style="23" customWidth="1"/>
    <col min="12553" max="12553" width="10.42578125" style="23" customWidth="1"/>
    <col min="12554" max="12554" width="10.7109375" style="23" customWidth="1"/>
    <col min="12555" max="12555" width="11.85546875" style="23" customWidth="1"/>
    <col min="12556" max="12560" width="0" style="23" hidden="1" customWidth="1"/>
    <col min="12561" max="12561" width="10.28515625" style="23" customWidth="1"/>
    <col min="12562" max="12790" width="9.140625" style="23"/>
    <col min="12791" max="12792" width="0.42578125" style="23" customWidth="1"/>
    <col min="12793" max="12793" width="1.85546875" style="23" customWidth="1"/>
    <col min="12794" max="12794" width="0.85546875" style="23" customWidth="1"/>
    <col min="12795" max="12795" width="28.140625" style="23" customWidth="1"/>
    <col min="12796" max="12796" width="10.42578125" style="23" customWidth="1"/>
    <col min="12797" max="12798" width="10.28515625" style="23" customWidth="1"/>
    <col min="12799" max="12799" width="10.42578125" style="23" customWidth="1"/>
    <col min="12800" max="12800" width="10.28515625" style="23" customWidth="1"/>
    <col min="12801" max="12801" width="10.42578125" style="23" customWidth="1"/>
    <col min="12802" max="12802" width="10.28515625" style="23" customWidth="1"/>
    <col min="12803" max="12807" width="0" style="23" hidden="1" customWidth="1"/>
    <col min="12808" max="12808" width="10.28515625" style="23" customWidth="1"/>
    <col min="12809" max="12809" width="10.42578125" style="23" customWidth="1"/>
    <col min="12810" max="12810" width="10.7109375" style="23" customWidth="1"/>
    <col min="12811" max="12811" width="11.85546875" style="23" customWidth="1"/>
    <col min="12812" max="12816" width="0" style="23" hidden="1" customWidth="1"/>
    <col min="12817" max="12817" width="10.28515625" style="23" customWidth="1"/>
    <col min="12818" max="13046" width="9.140625" style="23"/>
    <col min="13047" max="13048" width="0.42578125" style="23" customWidth="1"/>
    <col min="13049" max="13049" width="1.85546875" style="23" customWidth="1"/>
    <col min="13050" max="13050" width="0.85546875" style="23" customWidth="1"/>
    <col min="13051" max="13051" width="28.140625" style="23" customWidth="1"/>
    <col min="13052" max="13052" width="10.42578125" style="23" customWidth="1"/>
    <col min="13053" max="13054" width="10.28515625" style="23" customWidth="1"/>
    <col min="13055" max="13055" width="10.42578125" style="23" customWidth="1"/>
    <col min="13056" max="13056" width="10.28515625" style="23" customWidth="1"/>
    <col min="13057" max="13057" width="10.42578125" style="23" customWidth="1"/>
    <col min="13058" max="13058" width="10.28515625" style="23" customWidth="1"/>
    <col min="13059" max="13063" width="0" style="23" hidden="1" customWidth="1"/>
    <col min="13064" max="13064" width="10.28515625" style="23" customWidth="1"/>
    <col min="13065" max="13065" width="10.42578125" style="23" customWidth="1"/>
    <col min="13066" max="13066" width="10.7109375" style="23" customWidth="1"/>
    <col min="13067" max="13067" width="11.85546875" style="23" customWidth="1"/>
    <col min="13068" max="13072" width="0" style="23" hidden="1" customWidth="1"/>
    <col min="13073" max="13073" width="10.28515625" style="23" customWidth="1"/>
    <col min="13074" max="13302" width="9.140625" style="23"/>
    <col min="13303" max="13304" width="0.42578125" style="23" customWidth="1"/>
    <col min="13305" max="13305" width="1.85546875" style="23" customWidth="1"/>
    <col min="13306" max="13306" width="0.85546875" style="23" customWidth="1"/>
    <col min="13307" max="13307" width="28.140625" style="23" customWidth="1"/>
    <col min="13308" max="13308" width="10.42578125" style="23" customWidth="1"/>
    <col min="13309" max="13310" width="10.28515625" style="23" customWidth="1"/>
    <col min="13311" max="13311" width="10.42578125" style="23" customWidth="1"/>
    <col min="13312" max="13312" width="10.28515625" style="23" customWidth="1"/>
    <col min="13313" max="13313" width="10.42578125" style="23" customWidth="1"/>
    <col min="13314" max="13314" width="10.28515625" style="23" customWidth="1"/>
    <col min="13315" max="13319" width="0" style="23" hidden="1" customWidth="1"/>
    <col min="13320" max="13320" width="10.28515625" style="23" customWidth="1"/>
    <col min="13321" max="13321" width="10.42578125" style="23" customWidth="1"/>
    <col min="13322" max="13322" width="10.7109375" style="23" customWidth="1"/>
    <col min="13323" max="13323" width="11.85546875" style="23" customWidth="1"/>
    <col min="13324" max="13328" width="0" style="23" hidden="1" customWidth="1"/>
    <col min="13329" max="13329" width="10.28515625" style="23" customWidth="1"/>
    <col min="13330" max="13558" width="9.140625" style="23"/>
    <col min="13559" max="13560" width="0.42578125" style="23" customWidth="1"/>
    <col min="13561" max="13561" width="1.85546875" style="23" customWidth="1"/>
    <col min="13562" max="13562" width="0.85546875" style="23" customWidth="1"/>
    <col min="13563" max="13563" width="28.140625" style="23" customWidth="1"/>
    <col min="13564" max="13564" width="10.42578125" style="23" customWidth="1"/>
    <col min="13565" max="13566" width="10.28515625" style="23" customWidth="1"/>
    <col min="13567" max="13567" width="10.42578125" style="23" customWidth="1"/>
    <col min="13568" max="13568" width="10.28515625" style="23" customWidth="1"/>
    <col min="13569" max="13569" width="10.42578125" style="23" customWidth="1"/>
    <col min="13570" max="13570" width="10.28515625" style="23" customWidth="1"/>
    <col min="13571" max="13575" width="0" style="23" hidden="1" customWidth="1"/>
    <col min="13576" max="13576" width="10.28515625" style="23" customWidth="1"/>
    <col min="13577" max="13577" width="10.42578125" style="23" customWidth="1"/>
    <col min="13578" max="13578" width="10.7109375" style="23" customWidth="1"/>
    <col min="13579" max="13579" width="11.85546875" style="23" customWidth="1"/>
    <col min="13580" max="13584" width="0" style="23" hidden="1" customWidth="1"/>
    <col min="13585" max="13585" width="10.28515625" style="23" customWidth="1"/>
    <col min="13586" max="13814" width="9.140625" style="23"/>
    <col min="13815" max="13816" width="0.42578125" style="23" customWidth="1"/>
    <col min="13817" max="13817" width="1.85546875" style="23" customWidth="1"/>
    <col min="13818" max="13818" width="0.85546875" style="23" customWidth="1"/>
    <col min="13819" max="13819" width="28.140625" style="23" customWidth="1"/>
    <col min="13820" max="13820" width="10.42578125" style="23" customWidth="1"/>
    <col min="13821" max="13822" width="10.28515625" style="23" customWidth="1"/>
    <col min="13823" max="13823" width="10.42578125" style="23" customWidth="1"/>
    <col min="13824" max="13824" width="10.28515625" style="23" customWidth="1"/>
    <col min="13825" max="13825" width="10.42578125" style="23" customWidth="1"/>
    <col min="13826" max="13826" width="10.28515625" style="23" customWidth="1"/>
    <col min="13827" max="13831" width="0" style="23" hidden="1" customWidth="1"/>
    <col min="13832" max="13832" width="10.28515625" style="23" customWidth="1"/>
    <col min="13833" max="13833" width="10.42578125" style="23" customWidth="1"/>
    <col min="13834" max="13834" width="10.7109375" style="23" customWidth="1"/>
    <col min="13835" max="13835" width="11.85546875" style="23" customWidth="1"/>
    <col min="13836" max="13840" width="0" style="23" hidden="1" customWidth="1"/>
    <col min="13841" max="13841" width="10.28515625" style="23" customWidth="1"/>
    <col min="13842" max="14070" width="9.140625" style="23"/>
    <col min="14071" max="14072" width="0.42578125" style="23" customWidth="1"/>
    <col min="14073" max="14073" width="1.85546875" style="23" customWidth="1"/>
    <col min="14074" max="14074" width="0.85546875" style="23" customWidth="1"/>
    <col min="14075" max="14075" width="28.140625" style="23" customWidth="1"/>
    <col min="14076" max="14076" width="10.42578125" style="23" customWidth="1"/>
    <col min="14077" max="14078" width="10.28515625" style="23" customWidth="1"/>
    <col min="14079" max="14079" width="10.42578125" style="23" customWidth="1"/>
    <col min="14080" max="14080" width="10.28515625" style="23" customWidth="1"/>
    <col min="14081" max="14081" width="10.42578125" style="23" customWidth="1"/>
    <col min="14082" max="14082" width="10.28515625" style="23" customWidth="1"/>
    <col min="14083" max="14087" width="0" style="23" hidden="1" customWidth="1"/>
    <col min="14088" max="14088" width="10.28515625" style="23" customWidth="1"/>
    <col min="14089" max="14089" width="10.42578125" style="23" customWidth="1"/>
    <col min="14090" max="14090" width="10.7109375" style="23" customWidth="1"/>
    <col min="14091" max="14091" width="11.85546875" style="23" customWidth="1"/>
    <col min="14092" max="14096" width="0" style="23" hidden="1" customWidth="1"/>
    <col min="14097" max="14097" width="10.28515625" style="23" customWidth="1"/>
    <col min="14098" max="14326" width="9.140625" style="23"/>
    <col min="14327" max="14328" width="0.42578125" style="23" customWidth="1"/>
    <col min="14329" max="14329" width="1.85546875" style="23" customWidth="1"/>
    <col min="14330" max="14330" width="0.85546875" style="23" customWidth="1"/>
    <col min="14331" max="14331" width="28.140625" style="23" customWidth="1"/>
    <col min="14332" max="14332" width="10.42578125" style="23" customWidth="1"/>
    <col min="14333" max="14334" width="10.28515625" style="23" customWidth="1"/>
    <col min="14335" max="14335" width="10.42578125" style="23" customWidth="1"/>
    <col min="14336" max="14336" width="10.28515625" style="23" customWidth="1"/>
    <col min="14337" max="14337" width="10.42578125" style="23" customWidth="1"/>
    <col min="14338" max="14338" width="10.28515625" style="23" customWidth="1"/>
    <col min="14339" max="14343" width="0" style="23" hidden="1" customWidth="1"/>
    <col min="14344" max="14344" width="10.28515625" style="23" customWidth="1"/>
    <col min="14345" max="14345" width="10.42578125" style="23" customWidth="1"/>
    <col min="14346" max="14346" width="10.7109375" style="23" customWidth="1"/>
    <col min="14347" max="14347" width="11.85546875" style="23" customWidth="1"/>
    <col min="14348" max="14352" width="0" style="23" hidden="1" customWidth="1"/>
    <col min="14353" max="14353" width="10.28515625" style="23" customWidth="1"/>
    <col min="14354" max="14582" width="9.140625" style="23"/>
    <col min="14583" max="14584" width="0.42578125" style="23" customWidth="1"/>
    <col min="14585" max="14585" width="1.85546875" style="23" customWidth="1"/>
    <col min="14586" max="14586" width="0.85546875" style="23" customWidth="1"/>
    <col min="14587" max="14587" width="28.140625" style="23" customWidth="1"/>
    <col min="14588" max="14588" width="10.42578125" style="23" customWidth="1"/>
    <col min="14589" max="14590" width="10.28515625" style="23" customWidth="1"/>
    <col min="14591" max="14591" width="10.42578125" style="23" customWidth="1"/>
    <col min="14592" max="14592" width="10.28515625" style="23" customWidth="1"/>
    <col min="14593" max="14593" width="10.42578125" style="23" customWidth="1"/>
    <col min="14594" max="14594" width="10.28515625" style="23" customWidth="1"/>
    <col min="14595" max="14599" width="0" style="23" hidden="1" customWidth="1"/>
    <col min="14600" max="14600" width="10.28515625" style="23" customWidth="1"/>
    <col min="14601" max="14601" width="10.42578125" style="23" customWidth="1"/>
    <col min="14602" max="14602" width="10.7109375" style="23" customWidth="1"/>
    <col min="14603" max="14603" width="11.85546875" style="23" customWidth="1"/>
    <col min="14604" max="14608" width="0" style="23" hidden="1" customWidth="1"/>
    <col min="14609" max="14609" width="10.28515625" style="23" customWidth="1"/>
    <col min="14610" max="14838" width="9.140625" style="23"/>
    <col min="14839" max="14840" width="0.42578125" style="23" customWidth="1"/>
    <col min="14841" max="14841" width="1.85546875" style="23" customWidth="1"/>
    <col min="14842" max="14842" width="0.85546875" style="23" customWidth="1"/>
    <col min="14843" max="14843" width="28.140625" style="23" customWidth="1"/>
    <col min="14844" max="14844" width="10.42578125" style="23" customWidth="1"/>
    <col min="14845" max="14846" width="10.28515625" style="23" customWidth="1"/>
    <col min="14847" max="14847" width="10.42578125" style="23" customWidth="1"/>
    <col min="14848" max="14848" width="10.28515625" style="23" customWidth="1"/>
    <col min="14849" max="14849" width="10.42578125" style="23" customWidth="1"/>
    <col min="14850" max="14850" width="10.28515625" style="23" customWidth="1"/>
    <col min="14851" max="14855" width="0" style="23" hidden="1" customWidth="1"/>
    <col min="14856" max="14856" width="10.28515625" style="23" customWidth="1"/>
    <col min="14857" max="14857" width="10.42578125" style="23" customWidth="1"/>
    <col min="14858" max="14858" width="10.7109375" style="23" customWidth="1"/>
    <col min="14859" max="14859" width="11.85546875" style="23" customWidth="1"/>
    <col min="14860" max="14864" width="0" style="23" hidden="1" customWidth="1"/>
    <col min="14865" max="14865" width="10.28515625" style="23" customWidth="1"/>
    <col min="14866" max="15094" width="9.140625" style="23"/>
    <col min="15095" max="15096" width="0.42578125" style="23" customWidth="1"/>
    <col min="15097" max="15097" width="1.85546875" style="23" customWidth="1"/>
    <col min="15098" max="15098" width="0.85546875" style="23" customWidth="1"/>
    <col min="15099" max="15099" width="28.140625" style="23" customWidth="1"/>
    <col min="15100" max="15100" width="10.42578125" style="23" customWidth="1"/>
    <col min="15101" max="15102" width="10.28515625" style="23" customWidth="1"/>
    <col min="15103" max="15103" width="10.42578125" style="23" customWidth="1"/>
    <col min="15104" max="15104" width="10.28515625" style="23" customWidth="1"/>
    <col min="15105" max="15105" width="10.42578125" style="23" customWidth="1"/>
    <col min="15106" max="15106" width="10.28515625" style="23" customWidth="1"/>
    <col min="15107" max="15111" width="0" style="23" hidden="1" customWidth="1"/>
    <col min="15112" max="15112" width="10.28515625" style="23" customWidth="1"/>
    <col min="15113" max="15113" width="10.42578125" style="23" customWidth="1"/>
    <col min="15114" max="15114" width="10.7109375" style="23" customWidth="1"/>
    <col min="15115" max="15115" width="11.85546875" style="23" customWidth="1"/>
    <col min="15116" max="15120" width="0" style="23" hidden="1" customWidth="1"/>
    <col min="15121" max="15121" width="10.28515625" style="23" customWidth="1"/>
    <col min="15122" max="15350" width="9.140625" style="23"/>
    <col min="15351" max="15352" width="0.42578125" style="23" customWidth="1"/>
    <col min="15353" max="15353" width="1.85546875" style="23" customWidth="1"/>
    <col min="15354" max="15354" width="0.85546875" style="23" customWidth="1"/>
    <col min="15355" max="15355" width="28.140625" style="23" customWidth="1"/>
    <col min="15356" max="15356" width="10.42578125" style="23" customWidth="1"/>
    <col min="15357" max="15358" width="10.28515625" style="23" customWidth="1"/>
    <col min="15359" max="15359" width="10.42578125" style="23" customWidth="1"/>
    <col min="15360" max="15360" width="10.28515625" style="23" customWidth="1"/>
    <col min="15361" max="15361" width="10.42578125" style="23" customWidth="1"/>
    <col min="15362" max="15362" width="10.28515625" style="23" customWidth="1"/>
    <col min="15363" max="15367" width="0" style="23" hidden="1" customWidth="1"/>
    <col min="15368" max="15368" width="10.28515625" style="23" customWidth="1"/>
    <col min="15369" max="15369" width="10.42578125" style="23" customWidth="1"/>
    <col min="15370" max="15370" width="10.7109375" style="23" customWidth="1"/>
    <col min="15371" max="15371" width="11.85546875" style="23" customWidth="1"/>
    <col min="15372" max="15376" width="0" style="23" hidden="1" customWidth="1"/>
    <col min="15377" max="15377" width="10.28515625" style="23" customWidth="1"/>
    <col min="15378" max="15606" width="9.140625" style="23"/>
    <col min="15607" max="15608" width="0.42578125" style="23" customWidth="1"/>
    <col min="15609" max="15609" width="1.85546875" style="23" customWidth="1"/>
    <col min="15610" max="15610" width="0.85546875" style="23" customWidth="1"/>
    <col min="15611" max="15611" width="28.140625" style="23" customWidth="1"/>
    <col min="15612" max="15612" width="10.42578125" style="23" customWidth="1"/>
    <col min="15613" max="15614" width="10.28515625" style="23" customWidth="1"/>
    <col min="15615" max="15615" width="10.42578125" style="23" customWidth="1"/>
    <col min="15616" max="15616" width="10.28515625" style="23" customWidth="1"/>
    <col min="15617" max="15617" width="10.42578125" style="23" customWidth="1"/>
    <col min="15618" max="15618" width="10.28515625" style="23" customWidth="1"/>
    <col min="15619" max="15623" width="0" style="23" hidden="1" customWidth="1"/>
    <col min="15624" max="15624" width="10.28515625" style="23" customWidth="1"/>
    <col min="15625" max="15625" width="10.42578125" style="23" customWidth="1"/>
    <col min="15626" max="15626" width="10.7109375" style="23" customWidth="1"/>
    <col min="15627" max="15627" width="11.85546875" style="23" customWidth="1"/>
    <col min="15628" max="15632" width="0" style="23" hidden="1" customWidth="1"/>
    <col min="15633" max="15633" width="10.28515625" style="23" customWidth="1"/>
    <col min="15634" max="15862" width="9.140625" style="23"/>
    <col min="15863" max="15864" width="0.42578125" style="23" customWidth="1"/>
    <col min="15865" max="15865" width="1.85546875" style="23" customWidth="1"/>
    <col min="15866" max="15866" width="0.85546875" style="23" customWidth="1"/>
    <col min="15867" max="15867" width="28.140625" style="23" customWidth="1"/>
    <col min="15868" max="15868" width="10.42578125" style="23" customWidth="1"/>
    <col min="15869" max="15870" width="10.28515625" style="23" customWidth="1"/>
    <col min="15871" max="15871" width="10.42578125" style="23" customWidth="1"/>
    <col min="15872" max="15872" width="10.28515625" style="23" customWidth="1"/>
    <col min="15873" max="15873" width="10.42578125" style="23" customWidth="1"/>
    <col min="15874" max="15874" width="10.28515625" style="23" customWidth="1"/>
    <col min="15875" max="15879" width="0" style="23" hidden="1" customWidth="1"/>
    <col min="15880" max="15880" width="10.28515625" style="23" customWidth="1"/>
    <col min="15881" max="15881" width="10.42578125" style="23" customWidth="1"/>
    <col min="15882" max="15882" width="10.7109375" style="23" customWidth="1"/>
    <col min="15883" max="15883" width="11.85546875" style="23" customWidth="1"/>
    <col min="15884" max="15888" width="0" style="23" hidden="1" customWidth="1"/>
    <col min="15889" max="15889" width="10.28515625" style="23" customWidth="1"/>
    <col min="15890" max="16118" width="9.140625" style="23"/>
    <col min="16119" max="16120" width="0.42578125" style="23" customWidth="1"/>
    <col min="16121" max="16121" width="1.85546875" style="23" customWidth="1"/>
    <col min="16122" max="16122" width="0.85546875" style="23" customWidth="1"/>
    <col min="16123" max="16123" width="28.140625" style="23" customWidth="1"/>
    <col min="16124" max="16124" width="10.42578125" style="23" customWidth="1"/>
    <col min="16125" max="16126" width="10.28515625" style="23" customWidth="1"/>
    <col min="16127" max="16127" width="10.42578125" style="23" customWidth="1"/>
    <col min="16128" max="16128" width="10.28515625" style="23" customWidth="1"/>
    <col min="16129" max="16129" width="10.42578125" style="23" customWidth="1"/>
    <col min="16130" max="16130" width="10.28515625" style="23" customWidth="1"/>
    <col min="16131" max="16135" width="0" style="23" hidden="1" customWidth="1"/>
    <col min="16136" max="16136" width="10.28515625" style="23" customWidth="1"/>
    <col min="16137" max="16137" width="10.42578125" style="23" customWidth="1"/>
    <col min="16138" max="16138" width="10.7109375" style="23" customWidth="1"/>
    <col min="16139" max="16139" width="11.85546875" style="23" customWidth="1"/>
    <col min="16140" max="16144" width="0" style="23" hidden="1" customWidth="1"/>
    <col min="16145" max="16145" width="10.28515625" style="23" customWidth="1"/>
    <col min="16146" max="16384" width="9.140625" style="23"/>
  </cols>
  <sheetData>
    <row r="1" spans="1:17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x14ac:dyDescent="0.25">
      <c r="A2" s="96" t="s">
        <v>221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20.25" customHeight="1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7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" x14ac:dyDescent="0.25">
      <c r="A7" s="27" t="s">
        <v>57</v>
      </c>
      <c r="B7" s="27"/>
      <c r="C7" s="27"/>
      <c r="D7" s="27"/>
      <c r="E7" s="27"/>
      <c r="F7" s="6">
        <f t="shared" ref="F7:Q7" si="0">+F9+F57</f>
        <v>2265431.4540000004</v>
      </c>
      <c r="G7" s="6">
        <f t="shared" si="0"/>
        <v>2300865.1640000003</v>
      </c>
      <c r="H7" s="6">
        <f t="shared" si="0"/>
        <v>2337123.4390000002</v>
      </c>
      <c r="I7" s="6">
        <f t="shared" si="0"/>
        <v>2351852.8800000004</v>
      </c>
      <c r="J7" s="6">
        <f t="shared" si="0"/>
        <v>2347791.5160000003</v>
      </c>
      <c r="K7" s="6">
        <f t="shared" si="0"/>
        <v>2353650.1711000004</v>
      </c>
      <c r="L7" s="6">
        <f t="shared" si="0"/>
        <v>2388990.094</v>
      </c>
      <c r="M7" s="6">
        <f t="shared" si="0"/>
        <v>2409568.8600000003</v>
      </c>
      <c r="N7" s="6">
        <f t="shared" si="0"/>
        <v>2419839.8340000003</v>
      </c>
      <c r="O7" s="6">
        <f t="shared" si="0"/>
        <v>2430150.3960000002</v>
      </c>
      <c r="P7" s="6">
        <f t="shared" si="0"/>
        <v>2454551.3310000002</v>
      </c>
      <c r="Q7" s="6">
        <f t="shared" si="0"/>
        <v>2471316.4689999996</v>
      </c>
    </row>
    <row r="8" spans="1:17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x14ac:dyDescent="0.25">
      <c r="B9" s="27" t="s">
        <v>51</v>
      </c>
      <c r="C9" s="27"/>
      <c r="D9" s="27"/>
      <c r="E9" s="27"/>
      <c r="F9" s="8">
        <f>+F10+F28+F41+F46+F53+F55</f>
        <v>2200603.8480000002</v>
      </c>
      <c r="G9" s="8">
        <f t="shared" ref="G9:Q9" si="1">+G10+G28+G41+G46+G53+G55</f>
        <v>2228043.5880000005</v>
      </c>
      <c r="H9" s="8">
        <f t="shared" si="1"/>
        <v>2264304.2010000004</v>
      </c>
      <c r="I9" s="8">
        <f t="shared" si="1"/>
        <v>2279038.2220000005</v>
      </c>
      <c r="J9" s="8">
        <f t="shared" si="1"/>
        <v>2274981.5090000001</v>
      </c>
      <c r="K9" s="8">
        <f t="shared" si="1"/>
        <v>2280847.9221000005</v>
      </c>
      <c r="L9" s="8">
        <f t="shared" si="1"/>
        <v>2316194.1269999999</v>
      </c>
      <c r="M9" s="8">
        <f t="shared" si="1"/>
        <v>2336777.7080000001</v>
      </c>
      <c r="N9" s="8">
        <f t="shared" si="1"/>
        <v>2347056.5550000002</v>
      </c>
      <c r="O9" s="8">
        <f t="shared" si="1"/>
        <v>2357372.088</v>
      </c>
      <c r="P9" s="8">
        <f t="shared" si="1"/>
        <v>2381778.3310000002</v>
      </c>
      <c r="Q9" s="8">
        <f t="shared" si="1"/>
        <v>2398548.1139999996</v>
      </c>
    </row>
    <row r="10" spans="1:17" ht="15" x14ac:dyDescent="0.25">
      <c r="B10" s="27"/>
      <c r="C10" s="27" t="s">
        <v>24</v>
      </c>
      <c r="D10" s="27"/>
      <c r="E10" s="27" t="s">
        <v>55</v>
      </c>
      <c r="F10" s="8">
        <f t="shared" ref="F10:Q10" si="2">+F11+F17</f>
        <v>1382704.62</v>
      </c>
      <c r="G10" s="8">
        <f t="shared" si="2"/>
        <v>1410167.3280000002</v>
      </c>
      <c r="H10" s="8">
        <f t="shared" si="2"/>
        <v>1440246.993</v>
      </c>
      <c r="I10" s="8">
        <f t="shared" si="2"/>
        <v>1454237.7620000001</v>
      </c>
      <c r="J10" s="8">
        <f t="shared" si="2"/>
        <v>1453806.091</v>
      </c>
      <c r="K10" s="8">
        <f t="shared" si="2"/>
        <v>1450472.3271000001</v>
      </c>
      <c r="L10" s="8">
        <f t="shared" si="2"/>
        <v>1441888.9850000001</v>
      </c>
      <c r="M10" s="8">
        <f t="shared" si="2"/>
        <v>1452769.6520000002</v>
      </c>
      <c r="N10" s="8">
        <f t="shared" si="2"/>
        <v>1468277.2520000003</v>
      </c>
      <c r="O10" s="8">
        <f t="shared" si="2"/>
        <v>1446238.8399999999</v>
      </c>
      <c r="P10" s="8">
        <f t="shared" si="2"/>
        <v>1445205.892</v>
      </c>
      <c r="Q10" s="8">
        <f t="shared" si="2"/>
        <v>1460775.6469999999</v>
      </c>
    </row>
    <row r="11" spans="1:17" ht="15" x14ac:dyDescent="0.25">
      <c r="B11" s="29"/>
      <c r="C11" s="29"/>
      <c r="D11" s="29" t="s">
        <v>52</v>
      </c>
      <c r="E11" s="29"/>
      <c r="F11" s="8">
        <f t="shared" ref="F11:Q11" si="3">SUM(F13:F16)</f>
        <v>635461</v>
      </c>
      <c r="G11" s="8">
        <f t="shared" si="3"/>
        <v>668643.6</v>
      </c>
      <c r="H11" s="8">
        <f t="shared" si="3"/>
        <v>702024.7</v>
      </c>
      <c r="I11" s="8">
        <f t="shared" si="3"/>
        <v>729735.8</v>
      </c>
      <c r="J11" s="8">
        <f t="shared" si="3"/>
        <v>731566.89999999991</v>
      </c>
      <c r="K11" s="8">
        <f t="shared" si="3"/>
        <v>741354.3</v>
      </c>
      <c r="L11" s="8">
        <f t="shared" si="3"/>
        <v>769486.89999999991</v>
      </c>
      <c r="M11" s="8">
        <f t="shared" si="3"/>
        <v>768207.55500000005</v>
      </c>
      <c r="N11" s="8">
        <f t="shared" si="3"/>
        <v>763646.05500000005</v>
      </c>
      <c r="O11" s="8">
        <f t="shared" si="3"/>
        <v>755894.05500000005</v>
      </c>
      <c r="P11" s="8">
        <f t="shared" si="3"/>
        <v>766118</v>
      </c>
      <c r="Q11" s="8">
        <f t="shared" si="3"/>
        <v>770334.75499999989</v>
      </c>
    </row>
    <row r="12" spans="1:17" ht="15" x14ac:dyDescent="0.25">
      <c r="A12" s="29"/>
      <c r="B12" s="29"/>
      <c r="C12" s="29"/>
      <c r="D12" s="29"/>
      <c r="E12" s="2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">
      <c r="E13" s="23" t="s">
        <v>12</v>
      </c>
      <c r="F13" s="30">
        <v>95324.7</v>
      </c>
      <c r="G13" s="30">
        <v>65985.399999999994</v>
      </c>
      <c r="H13" s="30">
        <v>65985.399999999994</v>
      </c>
      <c r="I13" s="30">
        <v>65000</v>
      </c>
      <c r="J13" s="30">
        <v>65000</v>
      </c>
      <c r="K13" s="30">
        <v>65000</v>
      </c>
      <c r="L13" s="30">
        <v>107737</v>
      </c>
      <c r="M13" s="30">
        <v>107737</v>
      </c>
      <c r="N13" s="30">
        <v>107737</v>
      </c>
      <c r="O13" s="30">
        <v>65000</v>
      </c>
      <c r="P13" s="30">
        <v>65000</v>
      </c>
      <c r="Q13" s="30">
        <v>66320.399999999994</v>
      </c>
    </row>
    <row r="14" spans="1:17" x14ac:dyDescent="0.2">
      <c r="E14" s="23" t="s">
        <v>44</v>
      </c>
      <c r="F14" s="30">
        <v>122731.6</v>
      </c>
      <c r="G14" s="30">
        <v>117200.7</v>
      </c>
      <c r="H14" s="30">
        <v>112102.3</v>
      </c>
      <c r="I14" s="30">
        <v>109623.2</v>
      </c>
      <c r="J14" s="30">
        <v>102595.3</v>
      </c>
      <c r="K14" s="30">
        <v>93824.9</v>
      </c>
      <c r="L14" s="30">
        <v>76487.3</v>
      </c>
      <c r="M14" s="30">
        <v>76487.399999999994</v>
      </c>
      <c r="N14" s="30">
        <v>79487.399999999994</v>
      </c>
      <c r="O14" s="30">
        <v>94631.9</v>
      </c>
      <c r="P14" s="30">
        <v>104168</v>
      </c>
      <c r="Q14" s="30">
        <v>104167.4</v>
      </c>
    </row>
    <row r="15" spans="1:17" x14ac:dyDescent="0.2">
      <c r="E15" s="23" t="s">
        <v>45</v>
      </c>
      <c r="F15" s="30">
        <v>417404.7</v>
      </c>
      <c r="G15" s="30">
        <v>485457.5</v>
      </c>
      <c r="H15" s="30">
        <v>523937</v>
      </c>
      <c r="I15" s="30">
        <v>555112.6</v>
      </c>
      <c r="J15" s="30">
        <v>563971.6</v>
      </c>
      <c r="K15" s="30">
        <v>582529.4</v>
      </c>
      <c r="L15" s="30">
        <v>585262.6</v>
      </c>
      <c r="M15" s="30">
        <v>583983.15500000003</v>
      </c>
      <c r="N15" s="30">
        <v>576421.65500000003</v>
      </c>
      <c r="O15" s="30">
        <v>596262.15500000003</v>
      </c>
      <c r="P15" s="30">
        <v>596950</v>
      </c>
      <c r="Q15" s="30">
        <v>599846.95499999996</v>
      </c>
    </row>
    <row r="16" spans="1:17" x14ac:dyDescent="0.2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x14ac:dyDescent="0.25">
      <c r="B17" s="29"/>
      <c r="C17" s="29"/>
      <c r="D17" s="29" t="s">
        <v>50</v>
      </c>
      <c r="E17" s="29"/>
      <c r="F17" s="8">
        <f t="shared" ref="F17:P17" si="4">SUM(F18:F26)</f>
        <v>747243.62000000011</v>
      </c>
      <c r="G17" s="8">
        <f t="shared" si="4"/>
        <v>741523.72800000012</v>
      </c>
      <c r="H17" s="8">
        <f t="shared" si="4"/>
        <v>738222.29300000006</v>
      </c>
      <c r="I17" s="8">
        <f t="shared" si="4"/>
        <v>724501.96200000006</v>
      </c>
      <c r="J17" s="8">
        <f t="shared" si="4"/>
        <v>722239.19100000011</v>
      </c>
      <c r="K17" s="8">
        <f t="shared" si="4"/>
        <v>709118.02710000006</v>
      </c>
      <c r="L17" s="8">
        <f t="shared" si="4"/>
        <v>672402.0850000002</v>
      </c>
      <c r="M17" s="8">
        <f t="shared" si="4"/>
        <v>684562.09700000007</v>
      </c>
      <c r="N17" s="8">
        <f t="shared" si="4"/>
        <v>704631.19700000016</v>
      </c>
      <c r="O17" s="8">
        <f t="shared" si="4"/>
        <v>690344.78499999992</v>
      </c>
      <c r="P17" s="8">
        <f t="shared" si="4"/>
        <v>679087.89199999999</v>
      </c>
      <c r="Q17" s="8">
        <f>SUM(Q18:Q26)</f>
        <v>690440.89199999999</v>
      </c>
    </row>
    <row r="18" spans="1:17" x14ac:dyDescent="0.2">
      <c r="E18" s="23" t="s">
        <v>13</v>
      </c>
      <c r="F18" s="30">
        <v>21821.420999999998</v>
      </c>
      <c r="G18" s="30">
        <v>21821.420999999998</v>
      </c>
      <c r="H18" s="30">
        <v>21821.444</v>
      </c>
      <c r="I18" s="30">
        <v>18864.256000000001</v>
      </c>
      <c r="J18" s="30">
        <v>18005.084999999999</v>
      </c>
      <c r="K18" s="30">
        <v>18005.081999999999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</row>
    <row r="19" spans="1:17" x14ac:dyDescent="0.2">
      <c r="E19" s="23" t="s">
        <v>22</v>
      </c>
      <c r="F19" s="30">
        <v>49488.101999999999</v>
      </c>
      <c r="G19" s="30">
        <v>49488.101999999999</v>
      </c>
      <c r="H19" s="30">
        <v>32463.444</v>
      </c>
      <c r="I19" s="30">
        <v>32463.444</v>
      </c>
      <c r="J19" s="30">
        <v>32463.444</v>
      </c>
      <c r="K19" s="30">
        <v>14230.269</v>
      </c>
      <c r="L19" s="30">
        <v>14230.269</v>
      </c>
      <c r="M19" s="30">
        <v>20869.695</v>
      </c>
      <c r="N19" s="30">
        <v>20918.195</v>
      </c>
      <c r="O19" s="30">
        <v>20918.195</v>
      </c>
      <c r="P19" s="30">
        <v>20918.195</v>
      </c>
      <c r="Q19" s="30">
        <v>20918.195</v>
      </c>
    </row>
    <row r="20" spans="1:17" x14ac:dyDescent="0.2">
      <c r="E20" s="23" t="s">
        <v>23</v>
      </c>
      <c r="F20" s="30">
        <v>116943.76700000001</v>
      </c>
      <c r="G20" s="30">
        <v>113530.49099999999</v>
      </c>
      <c r="H20" s="30">
        <v>113530.49099999999</v>
      </c>
      <c r="I20" s="30">
        <v>101973.848</v>
      </c>
      <c r="J20" s="30">
        <v>101973.848</v>
      </c>
      <c r="K20" s="30">
        <v>101973.848</v>
      </c>
      <c r="L20" s="30">
        <v>85659.745999999999</v>
      </c>
      <c r="M20" s="30">
        <v>76076.241999999998</v>
      </c>
      <c r="N20" s="30">
        <v>76076.241999999998</v>
      </c>
      <c r="O20" s="30">
        <v>67020.745999999999</v>
      </c>
      <c r="P20" s="30">
        <v>67020.745999999999</v>
      </c>
      <c r="Q20" s="30">
        <v>67020.745999999999</v>
      </c>
    </row>
    <row r="21" spans="1:17" x14ac:dyDescent="0.2">
      <c r="E21" s="23" t="s">
        <v>14</v>
      </c>
      <c r="F21" s="30">
        <v>128882.757</v>
      </c>
      <c r="G21" s="30">
        <v>128882.757</v>
      </c>
      <c r="H21" s="30">
        <v>133491.25700000001</v>
      </c>
      <c r="I21" s="30">
        <v>134265.557</v>
      </c>
      <c r="J21" s="30">
        <v>129225.007</v>
      </c>
      <c r="K21" s="30">
        <v>129225.007</v>
      </c>
      <c r="L21" s="30">
        <v>126828.26300000001</v>
      </c>
      <c r="M21" s="30">
        <v>126828.26300000001</v>
      </c>
      <c r="N21" s="30">
        <v>126828.26300000001</v>
      </c>
      <c r="O21" s="30">
        <v>115802.147</v>
      </c>
      <c r="P21" s="30">
        <v>115802.147</v>
      </c>
      <c r="Q21" s="30">
        <v>115802.147</v>
      </c>
    </row>
    <row r="22" spans="1:17" x14ac:dyDescent="0.2">
      <c r="E22" s="23" t="s">
        <v>15</v>
      </c>
      <c r="F22" s="30">
        <v>121418.667</v>
      </c>
      <c r="G22" s="30">
        <v>116671.751</v>
      </c>
      <c r="H22" s="30">
        <v>116671.751</v>
      </c>
      <c r="I22" s="30">
        <v>116671.751</v>
      </c>
      <c r="J22" s="30">
        <v>124499.55100000001</v>
      </c>
      <c r="K22" s="30">
        <v>124499.56510000001</v>
      </c>
      <c r="L22" s="30">
        <v>124499.55100000001</v>
      </c>
      <c r="M22" s="30">
        <v>140234.15100000001</v>
      </c>
      <c r="N22" s="30">
        <v>158938.05100000001</v>
      </c>
      <c r="O22" s="30">
        <v>161730.25099999999</v>
      </c>
      <c r="P22" s="30">
        <v>153177.856</v>
      </c>
      <c r="Q22" s="30">
        <v>153382.15599999999</v>
      </c>
    </row>
    <row r="23" spans="1:17" x14ac:dyDescent="0.2">
      <c r="E23" s="23" t="s">
        <v>20</v>
      </c>
      <c r="F23" s="30">
        <v>182594.345</v>
      </c>
      <c r="G23" s="30">
        <v>182644.345</v>
      </c>
      <c r="H23" s="30">
        <v>187274.04500000001</v>
      </c>
      <c r="I23" s="30">
        <v>187293.245</v>
      </c>
      <c r="J23" s="30">
        <v>183102.39499999999</v>
      </c>
      <c r="K23" s="30">
        <v>183102.39499999999</v>
      </c>
      <c r="L23" s="30">
        <v>183102.39499999999</v>
      </c>
      <c r="M23" s="30">
        <v>182471.935</v>
      </c>
      <c r="N23" s="30">
        <v>183788.63500000001</v>
      </c>
      <c r="O23" s="30">
        <v>183791.63500000001</v>
      </c>
      <c r="P23" s="30">
        <v>181087.13699999999</v>
      </c>
      <c r="Q23" s="30">
        <v>186607.13699999999</v>
      </c>
    </row>
    <row r="24" spans="1:17" x14ac:dyDescent="0.2">
      <c r="E24" s="23" t="s">
        <v>46</v>
      </c>
      <c r="F24" s="30">
        <v>84655.510999999999</v>
      </c>
      <c r="G24" s="30">
        <v>84655.510999999999</v>
      </c>
      <c r="H24" s="30">
        <v>88173.510999999999</v>
      </c>
      <c r="I24" s="30">
        <v>88173.510999999999</v>
      </c>
      <c r="J24" s="30">
        <v>88173.510999999999</v>
      </c>
      <c r="K24" s="30">
        <v>88173.510999999999</v>
      </c>
      <c r="L24" s="30">
        <v>88173.510999999999</v>
      </c>
      <c r="M24" s="30">
        <v>88173.510999999999</v>
      </c>
      <c r="N24" s="30">
        <v>88173.510999999999</v>
      </c>
      <c r="O24" s="30">
        <v>88173.510999999999</v>
      </c>
      <c r="P24" s="30">
        <v>88173.510999999999</v>
      </c>
      <c r="Q24" s="30">
        <v>93802.210999999996</v>
      </c>
    </row>
    <row r="25" spans="1:17" x14ac:dyDescent="0.2">
      <c r="E25" s="23" t="s">
        <v>47</v>
      </c>
      <c r="F25" s="30">
        <v>41342</v>
      </c>
      <c r="G25" s="30">
        <v>43732.3</v>
      </c>
      <c r="H25" s="30">
        <v>44699.3</v>
      </c>
      <c r="I25" s="30">
        <v>44699.3</v>
      </c>
      <c r="J25" s="30">
        <v>44699.3</v>
      </c>
      <c r="K25" s="30">
        <v>49811.3</v>
      </c>
      <c r="L25" s="30">
        <v>49811.3</v>
      </c>
      <c r="M25" s="30">
        <v>49811.3</v>
      </c>
      <c r="N25" s="30">
        <v>49811.3</v>
      </c>
      <c r="O25" s="30">
        <v>52811.3</v>
      </c>
      <c r="P25" s="30">
        <v>52811.3</v>
      </c>
      <c r="Q25" s="30">
        <v>52811.3</v>
      </c>
    </row>
    <row r="26" spans="1:17" x14ac:dyDescent="0.2">
      <c r="E26" s="23" t="s">
        <v>53</v>
      </c>
      <c r="F26" s="30">
        <v>97.05</v>
      </c>
      <c r="G26" s="30">
        <v>97.05</v>
      </c>
      <c r="H26" s="30">
        <v>97.05</v>
      </c>
      <c r="I26" s="30">
        <v>97.05</v>
      </c>
      <c r="J26" s="30">
        <v>97.05</v>
      </c>
      <c r="K26" s="30">
        <v>97.05</v>
      </c>
      <c r="L26" s="30">
        <v>97.05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8" spans="1:17" ht="15" x14ac:dyDescent="0.25">
      <c r="B28" s="29"/>
      <c r="C28" s="29" t="s">
        <v>147</v>
      </c>
      <c r="D28" s="29"/>
      <c r="E28" s="29"/>
      <c r="F28" s="8">
        <f>+F29+F34+F39</f>
        <v>222231.88799999998</v>
      </c>
      <c r="G28" s="8">
        <f t="shared" ref="G28:Q28" si="5">+G29+G34+G39</f>
        <v>222231.88799999998</v>
      </c>
      <c r="H28" s="8">
        <f t="shared" si="5"/>
        <v>222231.88799999998</v>
      </c>
      <c r="I28" s="8">
        <f t="shared" si="5"/>
        <v>218481.88799999998</v>
      </c>
      <c r="J28" s="8">
        <f t="shared" si="5"/>
        <v>210231.88799999998</v>
      </c>
      <c r="K28" s="8">
        <f t="shared" si="5"/>
        <v>210231.88799999998</v>
      </c>
      <c r="L28" s="8">
        <f t="shared" si="5"/>
        <v>246789.804</v>
      </c>
      <c r="M28" s="8">
        <f t="shared" si="5"/>
        <v>246789.804</v>
      </c>
      <c r="N28" s="8">
        <f t="shared" si="5"/>
        <v>233419.804</v>
      </c>
      <c r="O28" s="8">
        <f t="shared" si="5"/>
        <v>233419.804</v>
      </c>
      <c r="P28" s="8">
        <f t="shared" si="5"/>
        <v>233419.804</v>
      </c>
      <c r="Q28" s="8">
        <f t="shared" si="5"/>
        <v>233419.804</v>
      </c>
    </row>
    <row r="29" spans="1:17" ht="15" x14ac:dyDescent="0.25">
      <c r="B29" s="29"/>
      <c r="C29" s="29"/>
      <c r="D29" s="29" t="s">
        <v>34</v>
      </c>
      <c r="E29" s="29"/>
      <c r="F29" s="8">
        <f t="shared" ref="F29:Q29" si="6">SUM(F31:F32)</f>
        <v>174004.27299999999</v>
      </c>
      <c r="G29" s="8">
        <f t="shared" si="6"/>
        <v>174004.27299999999</v>
      </c>
      <c r="H29" s="8">
        <f t="shared" si="6"/>
        <v>174004.27299999999</v>
      </c>
      <c r="I29" s="8">
        <f t="shared" si="6"/>
        <v>174004.27299999999</v>
      </c>
      <c r="J29" s="8">
        <f t="shared" si="6"/>
        <v>174004.27299999999</v>
      </c>
      <c r="K29" s="8">
        <f t="shared" si="6"/>
        <v>174004.27299999999</v>
      </c>
      <c r="L29" s="8">
        <f t="shared" si="6"/>
        <v>210562.18900000001</v>
      </c>
      <c r="M29" s="8">
        <f t="shared" si="6"/>
        <v>210562.18900000001</v>
      </c>
      <c r="N29" s="8">
        <f t="shared" si="6"/>
        <v>210562.18900000001</v>
      </c>
      <c r="O29" s="8">
        <f t="shared" si="6"/>
        <v>210562.18900000001</v>
      </c>
      <c r="P29" s="8">
        <f t="shared" si="6"/>
        <v>210562.18900000001</v>
      </c>
      <c r="Q29" s="8">
        <f t="shared" si="6"/>
        <v>210562.18900000001</v>
      </c>
    </row>
    <row r="30" spans="1:17" ht="15" x14ac:dyDescent="0.25">
      <c r="A30" s="29"/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">
      <c r="E31" s="23" t="s">
        <v>28</v>
      </c>
      <c r="F31" s="30">
        <v>40981.735000000001</v>
      </c>
      <c r="G31" s="30">
        <v>40981.735000000001</v>
      </c>
      <c r="H31" s="30">
        <v>40981.735000000001</v>
      </c>
      <c r="I31" s="30">
        <v>40981.735000000001</v>
      </c>
      <c r="J31" s="30">
        <v>40981.735000000001</v>
      </c>
      <c r="K31" s="30">
        <v>40981.735000000001</v>
      </c>
      <c r="L31" s="30">
        <v>69984.437000000005</v>
      </c>
      <c r="M31" s="30">
        <v>69984.437000000005</v>
      </c>
      <c r="N31" s="30">
        <v>69984.437000000005</v>
      </c>
      <c r="O31" s="30">
        <v>69984.437000000005</v>
      </c>
      <c r="P31" s="30">
        <v>69984.437000000005</v>
      </c>
      <c r="Q31" s="30">
        <v>69984.437000000005</v>
      </c>
    </row>
    <row r="32" spans="1:17" x14ac:dyDescent="0.2">
      <c r="E32" s="23" t="s">
        <v>27</v>
      </c>
      <c r="F32" s="30">
        <v>133022.538</v>
      </c>
      <c r="G32" s="30">
        <v>133022.538</v>
      </c>
      <c r="H32" s="30">
        <v>133022.538</v>
      </c>
      <c r="I32" s="30">
        <v>133022.538</v>
      </c>
      <c r="J32" s="30">
        <v>133022.538</v>
      </c>
      <c r="K32" s="30">
        <v>133022.538</v>
      </c>
      <c r="L32" s="30">
        <v>140577.75200000001</v>
      </c>
      <c r="M32" s="30">
        <v>140577.75200000001</v>
      </c>
      <c r="N32" s="30">
        <v>140577.75200000001</v>
      </c>
      <c r="O32" s="30">
        <v>140577.75200000001</v>
      </c>
      <c r="P32" s="30">
        <v>140577.75200000001</v>
      </c>
      <c r="Q32" s="30">
        <v>140577.75200000001</v>
      </c>
    </row>
    <row r="33" spans="1:17" x14ac:dyDescent="0.2"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5" x14ac:dyDescent="0.25">
      <c r="C34" s="29"/>
      <c r="D34" s="29" t="s">
        <v>35</v>
      </c>
      <c r="E34" s="29"/>
      <c r="F34" s="8">
        <f t="shared" ref="F34:N34" si="7">SUM(F36:F37)</f>
        <v>32070</v>
      </c>
      <c r="G34" s="8">
        <f t="shared" si="7"/>
        <v>32070</v>
      </c>
      <c r="H34" s="8">
        <f t="shared" si="7"/>
        <v>32070</v>
      </c>
      <c r="I34" s="8">
        <f t="shared" si="7"/>
        <v>28320</v>
      </c>
      <c r="J34" s="8">
        <f t="shared" si="7"/>
        <v>20070</v>
      </c>
      <c r="K34" s="8">
        <f t="shared" si="7"/>
        <v>20070</v>
      </c>
      <c r="L34" s="8">
        <f t="shared" si="7"/>
        <v>20070</v>
      </c>
      <c r="M34" s="8">
        <f t="shared" si="7"/>
        <v>20070</v>
      </c>
      <c r="N34" s="8">
        <f t="shared" si="7"/>
        <v>6700</v>
      </c>
      <c r="O34" s="8">
        <v>6700</v>
      </c>
      <c r="P34" s="8">
        <f>SUM(P36:P37)</f>
        <v>6700</v>
      </c>
      <c r="Q34" s="8">
        <f>SUM(Q36:Q37)</f>
        <v>6700</v>
      </c>
    </row>
    <row r="35" spans="1:17" ht="15" x14ac:dyDescent="0.25">
      <c r="A35" s="29"/>
      <c r="B35" s="29"/>
      <c r="C35" s="29"/>
      <c r="D35" s="29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x14ac:dyDescent="0.2">
      <c r="E36" s="23" t="s">
        <v>27</v>
      </c>
      <c r="F36" s="30">
        <v>25370</v>
      </c>
      <c r="G36" s="30">
        <v>25370</v>
      </c>
      <c r="H36" s="30">
        <v>25370</v>
      </c>
      <c r="I36" s="30">
        <v>21620</v>
      </c>
      <c r="J36" s="30">
        <v>13370</v>
      </c>
      <c r="K36" s="30">
        <v>13370</v>
      </c>
      <c r="L36" s="30">
        <v>13370</v>
      </c>
      <c r="M36" s="30">
        <v>13370</v>
      </c>
      <c r="N36" s="30">
        <v>0</v>
      </c>
      <c r="O36" s="30">
        <v>0</v>
      </c>
      <c r="P36" s="30">
        <v>0</v>
      </c>
      <c r="Q36" s="30">
        <v>0</v>
      </c>
    </row>
    <row r="37" spans="1:17" x14ac:dyDescent="0.2">
      <c r="E37" s="23" t="s">
        <v>26</v>
      </c>
      <c r="F37" s="30">
        <v>6700</v>
      </c>
      <c r="G37" s="30">
        <v>6700</v>
      </c>
      <c r="H37" s="30">
        <v>6700</v>
      </c>
      <c r="I37" s="30">
        <v>6700</v>
      </c>
      <c r="J37" s="30">
        <v>6700</v>
      </c>
      <c r="K37" s="30">
        <v>6700</v>
      </c>
      <c r="L37" s="30">
        <v>6700</v>
      </c>
      <c r="M37" s="30">
        <v>6700</v>
      </c>
      <c r="N37" s="30">
        <v>6700</v>
      </c>
      <c r="O37" s="30">
        <v>6700</v>
      </c>
      <c r="P37" s="30">
        <v>6700</v>
      </c>
      <c r="Q37" s="30">
        <v>6700</v>
      </c>
    </row>
    <row r="38" spans="1:17" x14ac:dyDescent="0.2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15" x14ac:dyDescent="0.25">
      <c r="B39" s="29"/>
      <c r="C39" s="29"/>
      <c r="D39" s="29" t="s">
        <v>176</v>
      </c>
      <c r="E39" s="29"/>
      <c r="F39" s="28">
        <v>16157.615</v>
      </c>
      <c r="G39" s="28">
        <v>16157.615</v>
      </c>
      <c r="H39" s="28">
        <v>16157.615</v>
      </c>
      <c r="I39" s="28">
        <v>16157.615</v>
      </c>
      <c r="J39" s="28">
        <v>16157.615</v>
      </c>
      <c r="K39" s="28">
        <v>16157.615</v>
      </c>
      <c r="L39" s="28">
        <v>16157.615</v>
      </c>
      <c r="M39" s="28">
        <v>16157.615</v>
      </c>
      <c r="N39" s="28">
        <v>16157.615</v>
      </c>
      <c r="O39" s="28">
        <v>16157.615</v>
      </c>
      <c r="P39" s="28">
        <v>16157.615</v>
      </c>
      <c r="Q39" s="28">
        <v>16157.615</v>
      </c>
    </row>
    <row r="40" spans="1:17" x14ac:dyDescent="0.2"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ht="15" x14ac:dyDescent="0.25">
      <c r="C41" s="31" t="s">
        <v>31</v>
      </c>
      <c r="D41" s="29" t="s">
        <v>202</v>
      </c>
      <c r="E41" s="29"/>
      <c r="F41" s="8">
        <f t="shared" ref="F41:P41" si="8">SUM(F42:F44)</f>
        <v>67988</v>
      </c>
      <c r="G41" s="8">
        <f t="shared" si="8"/>
        <v>67988</v>
      </c>
      <c r="H41" s="8">
        <f t="shared" si="8"/>
        <v>67988</v>
      </c>
      <c r="I41" s="8">
        <f t="shared" si="8"/>
        <v>67988</v>
      </c>
      <c r="J41" s="8">
        <f t="shared" si="8"/>
        <v>67988</v>
      </c>
      <c r="K41" s="8">
        <f t="shared" si="8"/>
        <v>67988</v>
      </c>
      <c r="L41" s="8">
        <f t="shared" si="8"/>
        <v>67988</v>
      </c>
      <c r="M41" s="8">
        <f t="shared" si="8"/>
        <v>67988</v>
      </c>
      <c r="N41" s="8">
        <f t="shared" si="8"/>
        <v>67988</v>
      </c>
      <c r="O41" s="8">
        <f t="shared" si="8"/>
        <v>67988</v>
      </c>
      <c r="P41" s="8">
        <f t="shared" si="8"/>
        <v>67988</v>
      </c>
      <c r="Q41" s="8">
        <f>SUM(Q42:Q44)</f>
        <v>67988</v>
      </c>
    </row>
    <row r="42" spans="1:17" ht="15" x14ac:dyDescent="0.25">
      <c r="C42" s="31"/>
      <c r="D42" s="29"/>
      <c r="E42" s="23" t="s">
        <v>39</v>
      </c>
      <c r="F42" s="30">
        <v>7662.5</v>
      </c>
      <c r="G42" s="30">
        <v>7662.5</v>
      </c>
      <c r="H42" s="30">
        <v>7662.5</v>
      </c>
      <c r="I42" s="30">
        <v>7662.5</v>
      </c>
      <c r="J42" s="30">
        <v>7662.5</v>
      </c>
      <c r="K42" s="30">
        <v>7662.5</v>
      </c>
      <c r="L42" s="30">
        <v>7662.5</v>
      </c>
      <c r="M42" s="30">
        <v>7662.5</v>
      </c>
      <c r="N42" s="30">
        <v>7662.5</v>
      </c>
      <c r="O42" s="30">
        <v>7662.5</v>
      </c>
      <c r="P42" s="30">
        <v>7662.5</v>
      </c>
      <c r="Q42" s="30">
        <v>7662.5</v>
      </c>
    </row>
    <row r="43" spans="1:17" ht="15" x14ac:dyDescent="0.25">
      <c r="C43" s="31"/>
      <c r="D43" s="29"/>
      <c r="E43" s="23" t="s">
        <v>40</v>
      </c>
      <c r="F43" s="30">
        <v>25325.5</v>
      </c>
      <c r="G43" s="30">
        <v>25325.5</v>
      </c>
      <c r="H43" s="30">
        <v>25325.5</v>
      </c>
      <c r="I43" s="30">
        <v>25325.5</v>
      </c>
      <c r="J43" s="30">
        <v>25325.5</v>
      </c>
      <c r="K43" s="30">
        <v>25325.5</v>
      </c>
      <c r="L43" s="30">
        <v>25325.5</v>
      </c>
      <c r="M43" s="30">
        <v>25325.5</v>
      </c>
      <c r="N43" s="30">
        <v>25325.5</v>
      </c>
      <c r="O43" s="30">
        <v>25325.5</v>
      </c>
      <c r="P43" s="30">
        <v>25325.5</v>
      </c>
      <c r="Q43" s="30">
        <v>25325.5</v>
      </c>
    </row>
    <row r="44" spans="1:17" ht="15" x14ac:dyDescent="0.25">
      <c r="D44" s="29"/>
      <c r="E44" s="23" t="s">
        <v>48</v>
      </c>
      <c r="F44" s="30">
        <v>35000</v>
      </c>
      <c r="G44" s="30">
        <v>35000</v>
      </c>
      <c r="H44" s="30">
        <v>35000</v>
      </c>
      <c r="I44" s="30">
        <v>35000</v>
      </c>
      <c r="J44" s="30">
        <v>35000</v>
      </c>
      <c r="K44" s="30">
        <v>35000</v>
      </c>
      <c r="L44" s="30">
        <v>35000</v>
      </c>
      <c r="M44" s="30">
        <v>35000</v>
      </c>
      <c r="N44" s="30">
        <v>35000</v>
      </c>
      <c r="O44" s="30">
        <v>35000</v>
      </c>
      <c r="P44" s="30">
        <v>35000</v>
      </c>
      <c r="Q44" s="30">
        <v>35000</v>
      </c>
    </row>
    <row r="45" spans="1:17" ht="15" x14ac:dyDescent="0.25">
      <c r="C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5" x14ac:dyDescent="0.25">
      <c r="C46" s="31" t="s">
        <v>32</v>
      </c>
      <c r="D46" s="29" t="s">
        <v>186</v>
      </c>
      <c r="F46" s="8">
        <f t="shared" ref="F46:L46" si="9">SUM(F48:F51)</f>
        <v>466352.46800000005</v>
      </c>
      <c r="G46" s="8">
        <f t="shared" si="9"/>
        <v>466352.46800000005</v>
      </c>
      <c r="H46" s="8">
        <f t="shared" si="9"/>
        <v>472592.26800000004</v>
      </c>
      <c r="I46" s="8">
        <f t="shared" si="9"/>
        <v>477264.46800000005</v>
      </c>
      <c r="J46" s="8">
        <f t="shared" si="9"/>
        <v>482135.26799999998</v>
      </c>
      <c r="K46" s="8">
        <f t="shared" si="9"/>
        <v>491438.86800000002</v>
      </c>
      <c r="L46" s="8">
        <f t="shared" si="9"/>
        <v>498761.16800000001</v>
      </c>
      <c r="M46" s="8">
        <f>SUM(M48:M51)</f>
        <v>508464.76800000004</v>
      </c>
      <c r="N46" s="8">
        <f>SUM(N48:N51)</f>
        <v>516624.56799999997</v>
      </c>
      <c r="O46" s="8">
        <f>SUM(O48:O51)</f>
        <v>549064.26800000004</v>
      </c>
      <c r="P46" s="8">
        <f>SUM(P48:P51)</f>
        <v>574462.76800000004</v>
      </c>
      <c r="Q46" s="8">
        <f>SUM(Q48:Q51)</f>
        <v>575749.26799999992</v>
      </c>
    </row>
    <row r="47" spans="1:17" ht="15" x14ac:dyDescent="0.25">
      <c r="C47" s="31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ht="15" x14ac:dyDescent="0.25">
      <c r="C48" s="31"/>
      <c r="E48" s="23" t="s">
        <v>41</v>
      </c>
      <c r="F48" s="30">
        <v>209878.06700000001</v>
      </c>
      <c r="G48" s="30">
        <v>209878.06700000001</v>
      </c>
      <c r="H48" s="30">
        <v>209878.06700000001</v>
      </c>
      <c r="I48" s="30">
        <v>209878.06700000001</v>
      </c>
      <c r="J48" s="30">
        <v>209878.06700000001</v>
      </c>
      <c r="K48" s="30">
        <v>209878.06700000001</v>
      </c>
      <c r="L48" s="30">
        <v>209878.06700000001</v>
      </c>
      <c r="M48" s="30">
        <v>209878.06700000001</v>
      </c>
      <c r="N48" s="30">
        <v>209878.06700000001</v>
      </c>
      <c r="O48" s="30">
        <v>209878.06700000001</v>
      </c>
      <c r="P48" s="30">
        <v>209878.06700000001</v>
      </c>
      <c r="Q48" s="30">
        <v>209878.06700000001</v>
      </c>
    </row>
    <row r="49" spans="1:17" ht="15" x14ac:dyDescent="0.25">
      <c r="C49" s="31"/>
      <c r="E49" s="23" t="s">
        <v>42</v>
      </c>
      <c r="F49" s="30">
        <v>122474.942</v>
      </c>
      <c r="G49" s="30">
        <v>122474.942</v>
      </c>
      <c r="H49" s="30">
        <v>128286.242</v>
      </c>
      <c r="I49" s="30">
        <v>132958.44200000001</v>
      </c>
      <c r="J49" s="30">
        <v>135883.842</v>
      </c>
      <c r="K49" s="30">
        <v>136179.742</v>
      </c>
      <c r="L49" s="30">
        <v>139456.94200000001</v>
      </c>
      <c r="M49" s="30">
        <v>143725.64199999999</v>
      </c>
      <c r="N49" s="30">
        <v>150550.242</v>
      </c>
      <c r="O49" s="30">
        <v>168404.342</v>
      </c>
      <c r="P49" s="30">
        <v>178259.54199999999</v>
      </c>
      <c r="Q49" s="30">
        <v>178259.54199999999</v>
      </c>
    </row>
    <row r="50" spans="1:17" ht="15" x14ac:dyDescent="0.25">
      <c r="C50" s="31"/>
      <c r="E50" s="23" t="s">
        <v>43</v>
      </c>
      <c r="F50" s="30">
        <v>49710.612000000001</v>
      </c>
      <c r="G50" s="30">
        <v>49710.612000000001</v>
      </c>
      <c r="H50" s="30">
        <v>50139.112000000001</v>
      </c>
      <c r="I50" s="30">
        <v>50139.112000000001</v>
      </c>
      <c r="J50" s="30">
        <v>51738.411999999997</v>
      </c>
      <c r="K50" s="30">
        <v>60746.112000000001</v>
      </c>
      <c r="L50" s="30">
        <v>64791.212</v>
      </c>
      <c r="M50" s="30">
        <v>69666.812000000005</v>
      </c>
      <c r="N50" s="30">
        <v>71002.012000000002</v>
      </c>
      <c r="O50" s="30">
        <v>81677.312000000005</v>
      </c>
      <c r="P50" s="30">
        <v>85859.111999999994</v>
      </c>
      <c r="Q50" s="30">
        <v>85889.312000000005</v>
      </c>
    </row>
    <row r="51" spans="1:17" ht="15" x14ac:dyDescent="0.25">
      <c r="A51" s="29"/>
      <c r="B51" s="29"/>
      <c r="C51" s="29"/>
      <c r="E51" s="23" t="s">
        <v>54</v>
      </c>
      <c r="F51" s="30">
        <v>84288.846999999994</v>
      </c>
      <c r="G51" s="30">
        <v>84288.846999999994</v>
      </c>
      <c r="H51" s="30">
        <v>84288.846999999994</v>
      </c>
      <c r="I51" s="30">
        <v>84288.846999999994</v>
      </c>
      <c r="J51" s="30">
        <v>84634.947</v>
      </c>
      <c r="K51" s="30">
        <v>84634.947</v>
      </c>
      <c r="L51" s="30">
        <v>84634.947</v>
      </c>
      <c r="M51" s="30">
        <v>85194.247000000003</v>
      </c>
      <c r="N51" s="30">
        <v>85194.247000000003</v>
      </c>
      <c r="O51" s="30">
        <v>89104.547000000006</v>
      </c>
      <c r="P51" s="30">
        <v>100466.04700000001</v>
      </c>
      <c r="Q51" s="30">
        <v>101722.34699999999</v>
      </c>
    </row>
    <row r="52" spans="1:17" ht="15" x14ac:dyDescent="0.25">
      <c r="A52" s="29"/>
      <c r="B52" s="29"/>
      <c r="C52" s="29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5" x14ac:dyDescent="0.25">
      <c r="A53" s="29"/>
      <c r="B53" s="29"/>
      <c r="C53" s="29" t="s">
        <v>198</v>
      </c>
      <c r="D53" s="29"/>
      <c r="E53" s="29"/>
      <c r="F53" s="28">
        <f>50618.376-97.05</f>
        <v>50521.325999999994</v>
      </c>
      <c r="G53" s="28">
        <f>50608.434-97.05</f>
        <v>50511.383999999998</v>
      </c>
      <c r="H53" s="28">
        <f>50608-97.05</f>
        <v>50510.95</v>
      </c>
      <c r="I53" s="28">
        <f>50508-97.05</f>
        <v>50410.95</v>
      </c>
      <c r="J53" s="28">
        <f>50258.434-97.05</f>
        <v>50161.383999999998</v>
      </c>
      <c r="K53" s="28">
        <f>50158.434-97.05</f>
        <v>50061.383999999998</v>
      </c>
      <c r="L53" s="28">
        <f>50158.434-97.05</f>
        <v>50061.383999999998</v>
      </c>
      <c r="M53" s="28">
        <f>50151.609-97.05</f>
        <v>50054.558999999994</v>
      </c>
      <c r="N53" s="28">
        <f>50151.609-97.05</f>
        <v>50054.558999999994</v>
      </c>
      <c r="O53" s="28">
        <f>50151.609-97.05</f>
        <v>50054.558999999994</v>
      </c>
      <c r="P53" s="28">
        <f>50136.609-97.05</f>
        <v>50039.558999999994</v>
      </c>
      <c r="Q53" s="28">
        <f>50136.609-97.05</f>
        <v>50039.558999999994</v>
      </c>
    </row>
    <row r="54" spans="1:17" ht="15" x14ac:dyDescent="0.25">
      <c r="A54" s="29"/>
      <c r="B54" s="29"/>
      <c r="C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5" x14ac:dyDescent="0.25">
      <c r="A55" s="29"/>
      <c r="B55" s="29"/>
      <c r="C55" s="29" t="s">
        <v>199</v>
      </c>
      <c r="D55" s="29"/>
      <c r="E55" s="29"/>
      <c r="F55" s="28">
        <v>10805.546</v>
      </c>
      <c r="G55" s="28">
        <v>10792.52</v>
      </c>
      <c r="H55" s="28">
        <v>10734.102000000001</v>
      </c>
      <c r="I55" s="28">
        <v>10655.154</v>
      </c>
      <c r="J55" s="28">
        <v>10658.878000000001</v>
      </c>
      <c r="K55" s="28">
        <v>10655.455</v>
      </c>
      <c r="L55" s="28">
        <v>10704.786</v>
      </c>
      <c r="M55" s="28">
        <v>10710.924999999999</v>
      </c>
      <c r="N55" s="28">
        <v>10692.371999999999</v>
      </c>
      <c r="O55" s="28">
        <v>10606.617</v>
      </c>
      <c r="P55" s="28">
        <v>10662.308000000001</v>
      </c>
      <c r="Q55" s="28">
        <v>10575.835999999999</v>
      </c>
    </row>
    <row r="56" spans="1:17" ht="15" x14ac:dyDescent="0.25">
      <c r="A56" s="29"/>
      <c r="B56" s="29"/>
      <c r="C56" s="29"/>
      <c r="D56" s="29"/>
      <c r="E56" s="29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ht="15" x14ac:dyDescent="0.25">
      <c r="A57" s="29" t="s">
        <v>49</v>
      </c>
      <c r="B57" s="29"/>
      <c r="C57" s="29"/>
      <c r="D57" s="29"/>
      <c r="E57" s="29"/>
      <c r="F57" s="28">
        <v>64827.606</v>
      </c>
      <c r="G57" s="28">
        <v>72821.576000000001</v>
      </c>
      <c r="H57" s="28">
        <v>72819.237999999998</v>
      </c>
      <c r="I57" s="28">
        <v>72814.657999999996</v>
      </c>
      <c r="J57" s="28">
        <v>72810.006999999998</v>
      </c>
      <c r="K57" s="28">
        <v>72802.248999999996</v>
      </c>
      <c r="L57" s="28">
        <v>72795.967000000004</v>
      </c>
      <c r="M57" s="28">
        <v>72791.152000000002</v>
      </c>
      <c r="N57" s="28">
        <v>72783.278999999995</v>
      </c>
      <c r="O57" s="28">
        <v>72778.308000000005</v>
      </c>
      <c r="P57" s="28">
        <v>72773</v>
      </c>
      <c r="Q57" s="28">
        <v>72768.354999999996</v>
      </c>
    </row>
    <row r="58" spans="1:17" x14ac:dyDescent="0.2">
      <c r="F58" s="32"/>
      <c r="G58" s="33"/>
      <c r="H58" s="32"/>
      <c r="I58" s="32"/>
      <c r="J58" s="32"/>
      <c r="K58" s="32"/>
      <c r="L58" s="32"/>
    </row>
    <row r="59" spans="1:17" x14ac:dyDescent="0.2">
      <c r="F59" s="32"/>
      <c r="G59" s="33"/>
      <c r="H59" s="32"/>
      <c r="I59" s="32"/>
      <c r="J59" s="32"/>
      <c r="K59" s="32"/>
      <c r="L59" s="32"/>
    </row>
    <row r="60" spans="1:17" ht="15" x14ac:dyDescent="0.25">
      <c r="A60" s="29"/>
      <c r="B60" s="65"/>
      <c r="C60" s="65"/>
      <c r="D60" s="65"/>
      <c r="E60" s="23" t="s">
        <v>29</v>
      </c>
      <c r="F60" s="65"/>
      <c r="G60" s="65"/>
      <c r="H60" s="65"/>
      <c r="I60" s="65"/>
      <c r="J60" s="65"/>
      <c r="K60" s="65"/>
      <c r="L60" s="65"/>
    </row>
    <row r="61" spans="1:17" x14ac:dyDescent="0.2">
      <c r="B61" s="66"/>
      <c r="C61" s="66"/>
      <c r="D61" s="66"/>
      <c r="E61" s="32" t="s">
        <v>30</v>
      </c>
      <c r="F61" s="66"/>
      <c r="G61" s="66"/>
      <c r="H61" s="66"/>
      <c r="I61" s="66"/>
      <c r="J61" s="66"/>
      <c r="K61" s="66"/>
      <c r="L61" s="66"/>
    </row>
    <row r="62" spans="1:17" ht="15" x14ac:dyDescent="0.25">
      <c r="A62" s="29"/>
      <c r="B62" s="65"/>
      <c r="C62" s="65"/>
      <c r="D62" s="65"/>
      <c r="E62" s="67"/>
      <c r="F62" s="65"/>
      <c r="G62" s="65"/>
      <c r="H62" s="65"/>
      <c r="I62" s="65"/>
      <c r="J62" s="65"/>
      <c r="K62" s="65"/>
      <c r="L62" s="65"/>
    </row>
    <row r="63" spans="1:17" x14ac:dyDescent="0.2">
      <c r="A63" s="34"/>
      <c r="B63" s="35"/>
      <c r="C63" s="35"/>
    </row>
    <row r="64" spans="1:17" x14ac:dyDescent="0.2">
      <c r="A64" s="34"/>
      <c r="B64" s="35" t="s">
        <v>21</v>
      </c>
      <c r="C64" s="35"/>
      <c r="D64" s="35"/>
      <c r="E64" s="35"/>
      <c r="F64" s="35"/>
      <c r="G64" s="37"/>
    </row>
    <row r="66" spans="1:3" x14ac:dyDescent="0.2">
      <c r="A66" s="35"/>
      <c r="B66" s="35"/>
      <c r="C66" s="35"/>
    </row>
    <row r="67" spans="1:3" x14ac:dyDescent="0.2">
      <c r="A67" s="36"/>
      <c r="B67" s="35"/>
      <c r="C67" s="35"/>
    </row>
  </sheetData>
  <mergeCells count="4">
    <mergeCell ref="A5:E5"/>
    <mergeCell ref="A1:Q1"/>
    <mergeCell ref="A2:Q2"/>
    <mergeCell ref="A3:Q3"/>
  </mergeCells>
  <printOptions horizontalCentered="1"/>
  <pageMargins left="0.25" right="0" top="0.60236220500000004" bottom="0.59055118110236204" header="0.511811023622047" footer="0.511811023622047"/>
  <pageSetup paperSize="9" scale="55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72"/>
  <sheetViews>
    <sheetView zoomScaleNormal="100" workbookViewId="0">
      <pane xSplit="5" ySplit="7" topLeftCell="F8" activePane="bottomRight" state="frozen"/>
      <selection activeCell="R35" sqref="R35"/>
      <selection pane="topRight" activeCell="R35" sqref="R35"/>
      <selection pane="bottomLeft" activeCell="R35" sqref="R35"/>
      <selection pane="bottomRight" activeCell="E41" sqref="E41"/>
    </sheetView>
  </sheetViews>
  <sheetFormatPr defaultColWidth="8.8554687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30.42578125" style="23" customWidth="1"/>
    <col min="6" max="6" width="10.42578125" style="23" customWidth="1"/>
    <col min="7" max="8" width="10.28515625" style="23" customWidth="1"/>
    <col min="9" max="9" width="10.85546875" style="23" customWidth="1"/>
    <col min="10" max="10" width="10.140625" style="23" customWidth="1"/>
    <col min="11" max="13" width="10.42578125" style="23" customWidth="1"/>
    <col min="14" max="14" width="10.28515625" style="23" customWidth="1"/>
    <col min="15" max="15" width="10" style="23" customWidth="1"/>
    <col min="16" max="16" width="11" style="23" customWidth="1"/>
    <col min="17" max="17" width="10.85546875" style="23" customWidth="1"/>
    <col min="18" max="18" width="13.42578125" style="23" customWidth="1"/>
    <col min="19" max="251" width="9.140625" style="23"/>
    <col min="252" max="253" width="0.42578125" style="23" customWidth="1"/>
    <col min="254" max="254" width="1.85546875" style="23" customWidth="1"/>
    <col min="255" max="255" width="0.85546875" style="23" customWidth="1"/>
    <col min="256" max="256" width="26.28515625" style="23" customWidth="1"/>
    <col min="257" max="257" width="10.42578125" style="23" customWidth="1"/>
    <col min="258" max="259" width="10.28515625" style="23" customWidth="1"/>
    <col min="260" max="260" width="10.85546875" style="23" customWidth="1"/>
    <col min="261" max="261" width="10.140625" style="23" customWidth="1"/>
    <col min="262" max="263" width="10.42578125" style="23" customWidth="1"/>
    <col min="264" max="268" width="0" style="23" hidden="1" customWidth="1"/>
    <col min="269" max="269" width="10.42578125" style="23" customWidth="1"/>
    <col min="270" max="270" width="10.28515625" style="23" customWidth="1"/>
    <col min="271" max="271" width="10" style="23" customWidth="1"/>
    <col min="272" max="272" width="11" style="23" customWidth="1"/>
    <col min="273" max="273" width="10.85546875" style="23" customWidth="1"/>
    <col min="274" max="274" width="13.42578125" style="23" customWidth="1"/>
    <col min="275" max="507" width="9.140625" style="23"/>
    <col min="508" max="509" width="0.42578125" style="23" customWidth="1"/>
    <col min="510" max="510" width="1.85546875" style="23" customWidth="1"/>
    <col min="511" max="511" width="0.85546875" style="23" customWidth="1"/>
    <col min="512" max="512" width="26.28515625" style="23" customWidth="1"/>
    <col min="513" max="513" width="10.42578125" style="23" customWidth="1"/>
    <col min="514" max="515" width="10.28515625" style="23" customWidth="1"/>
    <col min="516" max="516" width="10.85546875" style="23" customWidth="1"/>
    <col min="517" max="517" width="10.140625" style="23" customWidth="1"/>
    <col min="518" max="519" width="10.42578125" style="23" customWidth="1"/>
    <col min="520" max="524" width="0" style="23" hidden="1" customWidth="1"/>
    <col min="525" max="525" width="10.42578125" style="23" customWidth="1"/>
    <col min="526" max="526" width="10.28515625" style="23" customWidth="1"/>
    <col min="527" max="527" width="10" style="23" customWidth="1"/>
    <col min="528" max="528" width="11" style="23" customWidth="1"/>
    <col min="529" max="529" width="10.85546875" style="23" customWidth="1"/>
    <col min="530" max="530" width="13.42578125" style="23" customWidth="1"/>
    <col min="531" max="763" width="9.140625" style="23"/>
    <col min="764" max="765" width="0.42578125" style="23" customWidth="1"/>
    <col min="766" max="766" width="1.85546875" style="23" customWidth="1"/>
    <col min="767" max="767" width="0.85546875" style="23" customWidth="1"/>
    <col min="768" max="768" width="26.28515625" style="23" customWidth="1"/>
    <col min="769" max="769" width="10.42578125" style="23" customWidth="1"/>
    <col min="770" max="771" width="10.28515625" style="23" customWidth="1"/>
    <col min="772" max="772" width="10.85546875" style="23" customWidth="1"/>
    <col min="773" max="773" width="10.140625" style="23" customWidth="1"/>
    <col min="774" max="775" width="10.42578125" style="23" customWidth="1"/>
    <col min="776" max="780" width="0" style="23" hidden="1" customWidth="1"/>
    <col min="781" max="781" width="10.42578125" style="23" customWidth="1"/>
    <col min="782" max="782" width="10.28515625" style="23" customWidth="1"/>
    <col min="783" max="783" width="10" style="23" customWidth="1"/>
    <col min="784" max="784" width="11" style="23" customWidth="1"/>
    <col min="785" max="785" width="10.85546875" style="23" customWidth="1"/>
    <col min="786" max="786" width="13.42578125" style="23" customWidth="1"/>
    <col min="787" max="1019" width="9.140625" style="23"/>
    <col min="1020" max="1021" width="0.42578125" style="23" customWidth="1"/>
    <col min="1022" max="1022" width="1.85546875" style="23" customWidth="1"/>
    <col min="1023" max="1023" width="0.85546875" style="23" customWidth="1"/>
    <col min="1024" max="1024" width="26.28515625" style="23" customWidth="1"/>
    <col min="1025" max="1025" width="10.42578125" style="23" customWidth="1"/>
    <col min="1026" max="1027" width="10.28515625" style="23" customWidth="1"/>
    <col min="1028" max="1028" width="10.85546875" style="23" customWidth="1"/>
    <col min="1029" max="1029" width="10.140625" style="23" customWidth="1"/>
    <col min="1030" max="1031" width="10.42578125" style="23" customWidth="1"/>
    <col min="1032" max="1036" width="0" style="23" hidden="1" customWidth="1"/>
    <col min="1037" max="1037" width="10.42578125" style="23" customWidth="1"/>
    <col min="1038" max="1038" width="10.28515625" style="23" customWidth="1"/>
    <col min="1039" max="1039" width="10" style="23" customWidth="1"/>
    <col min="1040" max="1040" width="11" style="23" customWidth="1"/>
    <col min="1041" max="1041" width="10.85546875" style="23" customWidth="1"/>
    <col min="1042" max="1042" width="13.42578125" style="23" customWidth="1"/>
    <col min="1043" max="1275" width="9.140625" style="23"/>
    <col min="1276" max="1277" width="0.42578125" style="23" customWidth="1"/>
    <col min="1278" max="1278" width="1.85546875" style="23" customWidth="1"/>
    <col min="1279" max="1279" width="0.85546875" style="23" customWidth="1"/>
    <col min="1280" max="1280" width="26.28515625" style="23" customWidth="1"/>
    <col min="1281" max="1281" width="10.42578125" style="23" customWidth="1"/>
    <col min="1282" max="1283" width="10.28515625" style="23" customWidth="1"/>
    <col min="1284" max="1284" width="10.85546875" style="23" customWidth="1"/>
    <col min="1285" max="1285" width="10.140625" style="23" customWidth="1"/>
    <col min="1286" max="1287" width="10.42578125" style="23" customWidth="1"/>
    <col min="1288" max="1292" width="0" style="23" hidden="1" customWidth="1"/>
    <col min="1293" max="1293" width="10.42578125" style="23" customWidth="1"/>
    <col min="1294" max="1294" width="10.28515625" style="23" customWidth="1"/>
    <col min="1295" max="1295" width="10" style="23" customWidth="1"/>
    <col min="1296" max="1296" width="11" style="23" customWidth="1"/>
    <col min="1297" max="1297" width="10.85546875" style="23" customWidth="1"/>
    <col min="1298" max="1298" width="13.42578125" style="23" customWidth="1"/>
    <col min="1299" max="1531" width="9.140625" style="23"/>
    <col min="1532" max="1533" width="0.42578125" style="23" customWidth="1"/>
    <col min="1534" max="1534" width="1.85546875" style="23" customWidth="1"/>
    <col min="1535" max="1535" width="0.85546875" style="23" customWidth="1"/>
    <col min="1536" max="1536" width="26.28515625" style="23" customWidth="1"/>
    <col min="1537" max="1537" width="10.42578125" style="23" customWidth="1"/>
    <col min="1538" max="1539" width="10.28515625" style="23" customWidth="1"/>
    <col min="1540" max="1540" width="10.85546875" style="23" customWidth="1"/>
    <col min="1541" max="1541" width="10.140625" style="23" customWidth="1"/>
    <col min="1542" max="1543" width="10.42578125" style="23" customWidth="1"/>
    <col min="1544" max="1548" width="0" style="23" hidden="1" customWidth="1"/>
    <col min="1549" max="1549" width="10.42578125" style="23" customWidth="1"/>
    <col min="1550" max="1550" width="10.28515625" style="23" customWidth="1"/>
    <col min="1551" max="1551" width="10" style="23" customWidth="1"/>
    <col min="1552" max="1552" width="11" style="23" customWidth="1"/>
    <col min="1553" max="1553" width="10.85546875" style="23" customWidth="1"/>
    <col min="1554" max="1554" width="13.42578125" style="23" customWidth="1"/>
    <col min="1555" max="1787" width="9.140625" style="23"/>
    <col min="1788" max="1789" width="0.42578125" style="23" customWidth="1"/>
    <col min="1790" max="1790" width="1.85546875" style="23" customWidth="1"/>
    <col min="1791" max="1791" width="0.85546875" style="23" customWidth="1"/>
    <col min="1792" max="1792" width="26.28515625" style="23" customWidth="1"/>
    <col min="1793" max="1793" width="10.42578125" style="23" customWidth="1"/>
    <col min="1794" max="1795" width="10.28515625" style="23" customWidth="1"/>
    <col min="1796" max="1796" width="10.85546875" style="23" customWidth="1"/>
    <col min="1797" max="1797" width="10.140625" style="23" customWidth="1"/>
    <col min="1798" max="1799" width="10.42578125" style="23" customWidth="1"/>
    <col min="1800" max="1804" width="0" style="23" hidden="1" customWidth="1"/>
    <col min="1805" max="1805" width="10.42578125" style="23" customWidth="1"/>
    <col min="1806" max="1806" width="10.28515625" style="23" customWidth="1"/>
    <col min="1807" max="1807" width="10" style="23" customWidth="1"/>
    <col min="1808" max="1808" width="11" style="23" customWidth="1"/>
    <col min="1809" max="1809" width="10.85546875" style="23" customWidth="1"/>
    <col min="1810" max="1810" width="13.42578125" style="23" customWidth="1"/>
    <col min="1811" max="2043" width="9.140625" style="23"/>
    <col min="2044" max="2045" width="0.42578125" style="23" customWidth="1"/>
    <col min="2046" max="2046" width="1.85546875" style="23" customWidth="1"/>
    <col min="2047" max="2047" width="0.85546875" style="23" customWidth="1"/>
    <col min="2048" max="2048" width="26.28515625" style="23" customWidth="1"/>
    <col min="2049" max="2049" width="10.42578125" style="23" customWidth="1"/>
    <col min="2050" max="2051" width="10.28515625" style="23" customWidth="1"/>
    <col min="2052" max="2052" width="10.85546875" style="23" customWidth="1"/>
    <col min="2053" max="2053" width="10.140625" style="23" customWidth="1"/>
    <col min="2054" max="2055" width="10.42578125" style="23" customWidth="1"/>
    <col min="2056" max="2060" width="0" style="23" hidden="1" customWidth="1"/>
    <col min="2061" max="2061" width="10.42578125" style="23" customWidth="1"/>
    <col min="2062" max="2062" width="10.28515625" style="23" customWidth="1"/>
    <col min="2063" max="2063" width="10" style="23" customWidth="1"/>
    <col min="2064" max="2064" width="11" style="23" customWidth="1"/>
    <col min="2065" max="2065" width="10.85546875" style="23" customWidth="1"/>
    <col min="2066" max="2066" width="13.42578125" style="23" customWidth="1"/>
    <col min="2067" max="2299" width="9.140625" style="23"/>
    <col min="2300" max="2301" width="0.42578125" style="23" customWidth="1"/>
    <col min="2302" max="2302" width="1.85546875" style="23" customWidth="1"/>
    <col min="2303" max="2303" width="0.85546875" style="23" customWidth="1"/>
    <col min="2304" max="2304" width="26.28515625" style="23" customWidth="1"/>
    <col min="2305" max="2305" width="10.42578125" style="23" customWidth="1"/>
    <col min="2306" max="2307" width="10.28515625" style="23" customWidth="1"/>
    <col min="2308" max="2308" width="10.85546875" style="23" customWidth="1"/>
    <col min="2309" max="2309" width="10.140625" style="23" customWidth="1"/>
    <col min="2310" max="2311" width="10.42578125" style="23" customWidth="1"/>
    <col min="2312" max="2316" width="0" style="23" hidden="1" customWidth="1"/>
    <col min="2317" max="2317" width="10.42578125" style="23" customWidth="1"/>
    <col min="2318" max="2318" width="10.28515625" style="23" customWidth="1"/>
    <col min="2319" max="2319" width="10" style="23" customWidth="1"/>
    <col min="2320" max="2320" width="11" style="23" customWidth="1"/>
    <col min="2321" max="2321" width="10.85546875" style="23" customWidth="1"/>
    <col min="2322" max="2322" width="13.42578125" style="23" customWidth="1"/>
    <col min="2323" max="2555" width="9.140625" style="23"/>
    <col min="2556" max="2557" width="0.42578125" style="23" customWidth="1"/>
    <col min="2558" max="2558" width="1.85546875" style="23" customWidth="1"/>
    <col min="2559" max="2559" width="0.85546875" style="23" customWidth="1"/>
    <col min="2560" max="2560" width="26.28515625" style="23" customWidth="1"/>
    <col min="2561" max="2561" width="10.42578125" style="23" customWidth="1"/>
    <col min="2562" max="2563" width="10.28515625" style="23" customWidth="1"/>
    <col min="2564" max="2564" width="10.85546875" style="23" customWidth="1"/>
    <col min="2565" max="2565" width="10.140625" style="23" customWidth="1"/>
    <col min="2566" max="2567" width="10.42578125" style="23" customWidth="1"/>
    <col min="2568" max="2572" width="0" style="23" hidden="1" customWidth="1"/>
    <col min="2573" max="2573" width="10.42578125" style="23" customWidth="1"/>
    <col min="2574" max="2574" width="10.28515625" style="23" customWidth="1"/>
    <col min="2575" max="2575" width="10" style="23" customWidth="1"/>
    <col min="2576" max="2576" width="11" style="23" customWidth="1"/>
    <col min="2577" max="2577" width="10.85546875" style="23" customWidth="1"/>
    <col min="2578" max="2578" width="13.42578125" style="23" customWidth="1"/>
    <col min="2579" max="2811" width="9.140625" style="23"/>
    <col min="2812" max="2813" width="0.42578125" style="23" customWidth="1"/>
    <col min="2814" max="2814" width="1.85546875" style="23" customWidth="1"/>
    <col min="2815" max="2815" width="0.85546875" style="23" customWidth="1"/>
    <col min="2816" max="2816" width="26.28515625" style="23" customWidth="1"/>
    <col min="2817" max="2817" width="10.42578125" style="23" customWidth="1"/>
    <col min="2818" max="2819" width="10.28515625" style="23" customWidth="1"/>
    <col min="2820" max="2820" width="10.85546875" style="23" customWidth="1"/>
    <col min="2821" max="2821" width="10.140625" style="23" customWidth="1"/>
    <col min="2822" max="2823" width="10.42578125" style="23" customWidth="1"/>
    <col min="2824" max="2828" width="0" style="23" hidden="1" customWidth="1"/>
    <col min="2829" max="2829" width="10.42578125" style="23" customWidth="1"/>
    <col min="2830" max="2830" width="10.28515625" style="23" customWidth="1"/>
    <col min="2831" max="2831" width="10" style="23" customWidth="1"/>
    <col min="2832" max="2832" width="11" style="23" customWidth="1"/>
    <col min="2833" max="2833" width="10.85546875" style="23" customWidth="1"/>
    <col min="2834" max="2834" width="13.42578125" style="23" customWidth="1"/>
    <col min="2835" max="3067" width="9.140625" style="23"/>
    <col min="3068" max="3069" width="0.42578125" style="23" customWidth="1"/>
    <col min="3070" max="3070" width="1.85546875" style="23" customWidth="1"/>
    <col min="3071" max="3071" width="0.85546875" style="23" customWidth="1"/>
    <col min="3072" max="3072" width="26.28515625" style="23" customWidth="1"/>
    <col min="3073" max="3073" width="10.42578125" style="23" customWidth="1"/>
    <col min="3074" max="3075" width="10.28515625" style="23" customWidth="1"/>
    <col min="3076" max="3076" width="10.85546875" style="23" customWidth="1"/>
    <col min="3077" max="3077" width="10.140625" style="23" customWidth="1"/>
    <col min="3078" max="3079" width="10.42578125" style="23" customWidth="1"/>
    <col min="3080" max="3084" width="0" style="23" hidden="1" customWidth="1"/>
    <col min="3085" max="3085" width="10.42578125" style="23" customWidth="1"/>
    <col min="3086" max="3086" width="10.28515625" style="23" customWidth="1"/>
    <col min="3087" max="3087" width="10" style="23" customWidth="1"/>
    <col min="3088" max="3088" width="11" style="23" customWidth="1"/>
    <col min="3089" max="3089" width="10.85546875" style="23" customWidth="1"/>
    <col min="3090" max="3090" width="13.42578125" style="23" customWidth="1"/>
    <col min="3091" max="3323" width="9.140625" style="23"/>
    <col min="3324" max="3325" width="0.42578125" style="23" customWidth="1"/>
    <col min="3326" max="3326" width="1.85546875" style="23" customWidth="1"/>
    <col min="3327" max="3327" width="0.85546875" style="23" customWidth="1"/>
    <col min="3328" max="3328" width="26.28515625" style="23" customWidth="1"/>
    <col min="3329" max="3329" width="10.42578125" style="23" customWidth="1"/>
    <col min="3330" max="3331" width="10.28515625" style="23" customWidth="1"/>
    <col min="3332" max="3332" width="10.85546875" style="23" customWidth="1"/>
    <col min="3333" max="3333" width="10.140625" style="23" customWidth="1"/>
    <col min="3334" max="3335" width="10.42578125" style="23" customWidth="1"/>
    <col min="3336" max="3340" width="0" style="23" hidden="1" customWidth="1"/>
    <col min="3341" max="3341" width="10.42578125" style="23" customWidth="1"/>
    <col min="3342" max="3342" width="10.28515625" style="23" customWidth="1"/>
    <col min="3343" max="3343" width="10" style="23" customWidth="1"/>
    <col min="3344" max="3344" width="11" style="23" customWidth="1"/>
    <col min="3345" max="3345" width="10.85546875" style="23" customWidth="1"/>
    <col min="3346" max="3346" width="13.42578125" style="23" customWidth="1"/>
    <col min="3347" max="3579" width="9.140625" style="23"/>
    <col min="3580" max="3581" width="0.42578125" style="23" customWidth="1"/>
    <col min="3582" max="3582" width="1.85546875" style="23" customWidth="1"/>
    <col min="3583" max="3583" width="0.85546875" style="23" customWidth="1"/>
    <col min="3584" max="3584" width="26.28515625" style="23" customWidth="1"/>
    <col min="3585" max="3585" width="10.42578125" style="23" customWidth="1"/>
    <col min="3586" max="3587" width="10.28515625" style="23" customWidth="1"/>
    <col min="3588" max="3588" width="10.85546875" style="23" customWidth="1"/>
    <col min="3589" max="3589" width="10.140625" style="23" customWidth="1"/>
    <col min="3590" max="3591" width="10.42578125" style="23" customWidth="1"/>
    <col min="3592" max="3596" width="0" style="23" hidden="1" customWidth="1"/>
    <col min="3597" max="3597" width="10.42578125" style="23" customWidth="1"/>
    <col min="3598" max="3598" width="10.28515625" style="23" customWidth="1"/>
    <col min="3599" max="3599" width="10" style="23" customWidth="1"/>
    <col min="3600" max="3600" width="11" style="23" customWidth="1"/>
    <col min="3601" max="3601" width="10.85546875" style="23" customWidth="1"/>
    <col min="3602" max="3602" width="13.42578125" style="23" customWidth="1"/>
    <col min="3603" max="3835" width="9.140625" style="23"/>
    <col min="3836" max="3837" width="0.42578125" style="23" customWidth="1"/>
    <col min="3838" max="3838" width="1.85546875" style="23" customWidth="1"/>
    <col min="3839" max="3839" width="0.85546875" style="23" customWidth="1"/>
    <col min="3840" max="3840" width="26.28515625" style="23" customWidth="1"/>
    <col min="3841" max="3841" width="10.42578125" style="23" customWidth="1"/>
    <col min="3842" max="3843" width="10.28515625" style="23" customWidth="1"/>
    <col min="3844" max="3844" width="10.85546875" style="23" customWidth="1"/>
    <col min="3845" max="3845" width="10.140625" style="23" customWidth="1"/>
    <col min="3846" max="3847" width="10.42578125" style="23" customWidth="1"/>
    <col min="3848" max="3852" width="0" style="23" hidden="1" customWidth="1"/>
    <col min="3853" max="3853" width="10.42578125" style="23" customWidth="1"/>
    <col min="3854" max="3854" width="10.28515625" style="23" customWidth="1"/>
    <col min="3855" max="3855" width="10" style="23" customWidth="1"/>
    <col min="3856" max="3856" width="11" style="23" customWidth="1"/>
    <col min="3857" max="3857" width="10.85546875" style="23" customWidth="1"/>
    <col min="3858" max="3858" width="13.42578125" style="23" customWidth="1"/>
    <col min="3859" max="4091" width="9.140625" style="23"/>
    <col min="4092" max="4093" width="0.42578125" style="23" customWidth="1"/>
    <col min="4094" max="4094" width="1.85546875" style="23" customWidth="1"/>
    <col min="4095" max="4095" width="0.85546875" style="23" customWidth="1"/>
    <col min="4096" max="4096" width="26.28515625" style="23" customWidth="1"/>
    <col min="4097" max="4097" width="10.42578125" style="23" customWidth="1"/>
    <col min="4098" max="4099" width="10.28515625" style="23" customWidth="1"/>
    <col min="4100" max="4100" width="10.85546875" style="23" customWidth="1"/>
    <col min="4101" max="4101" width="10.140625" style="23" customWidth="1"/>
    <col min="4102" max="4103" width="10.42578125" style="23" customWidth="1"/>
    <col min="4104" max="4108" width="0" style="23" hidden="1" customWidth="1"/>
    <col min="4109" max="4109" width="10.42578125" style="23" customWidth="1"/>
    <col min="4110" max="4110" width="10.28515625" style="23" customWidth="1"/>
    <col min="4111" max="4111" width="10" style="23" customWidth="1"/>
    <col min="4112" max="4112" width="11" style="23" customWidth="1"/>
    <col min="4113" max="4113" width="10.85546875" style="23" customWidth="1"/>
    <col min="4114" max="4114" width="13.42578125" style="23" customWidth="1"/>
    <col min="4115" max="4347" width="9.140625" style="23"/>
    <col min="4348" max="4349" width="0.42578125" style="23" customWidth="1"/>
    <col min="4350" max="4350" width="1.85546875" style="23" customWidth="1"/>
    <col min="4351" max="4351" width="0.85546875" style="23" customWidth="1"/>
    <col min="4352" max="4352" width="26.28515625" style="23" customWidth="1"/>
    <col min="4353" max="4353" width="10.42578125" style="23" customWidth="1"/>
    <col min="4354" max="4355" width="10.28515625" style="23" customWidth="1"/>
    <col min="4356" max="4356" width="10.85546875" style="23" customWidth="1"/>
    <col min="4357" max="4357" width="10.140625" style="23" customWidth="1"/>
    <col min="4358" max="4359" width="10.42578125" style="23" customWidth="1"/>
    <col min="4360" max="4364" width="0" style="23" hidden="1" customWidth="1"/>
    <col min="4365" max="4365" width="10.42578125" style="23" customWidth="1"/>
    <col min="4366" max="4366" width="10.28515625" style="23" customWidth="1"/>
    <col min="4367" max="4367" width="10" style="23" customWidth="1"/>
    <col min="4368" max="4368" width="11" style="23" customWidth="1"/>
    <col min="4369" max="4369" width="10.85546875" style="23" customWidth="1"/>
    <col min="4370" max="4370" width="13.42578125" style="23" customWidth="1"/>
    <col min="4371" max="4603" width="9.140625" style="23"/>
    <col min="4604" max="4605" width="0.42578125" style="23" customWidth="1"/>
    <col min="4606" max="4606" width="1.85546875" style="23" customWidth="1"/>
    <col min="4607" max="4607" width="0.85546875" style="23" customWidth="1"/>
    <col min="4608" max="4608" width="26.28515625" style="23" customWidth="1"/>
    <col min="4609" max="4609" width="10.42578125" style="23" customWidth="1"/>
    <col min="4610" max="4611" width="10.28515625" style="23" customWidth="1"/>
    <col min="4612" max="4612" width="10.85546875" style="23" customWidth="1"/>
    <col min="4613" max="4613" width="10.140625" style="23" customWidth="1"/>
    <col min="4614" max="4615" width="10.42578125" style="23" customWidth="1"/>
    <col min="4616" max="4620" width="0" style="23" hidden="1" customWidth="1"/>
    <col min="4621" max="4621" width="10.42578125" style="23" customWidth="1"/>
    <col min="4622" max="4622" width="10.28515625" style="23" customWidth="1"/>
    <col min="4623" max="4623" width="10" style="23" customWidth="1"/>
    <col min="4624" max="4624" width="11" style="23" customWidth="1"/>
    <col min="4625" max="4625" width="10.85546875" style="23" customWidth="1"/>
    <col min="4626" max="4626" width="13.42578125" style="23" customWidth="1"/>
    <col min="4627" max="4859" width="9.140625" style="23"/>
    <col min="4860" max="4861" width="0.42578125" style="23" customWidth="1"/>
    <col min="4862" max="4862" width="1.85546875" style="23" customWidth="1"/>
    <col min="4863" max="4863" width="0.85546875" style="23" customWidth="1"/>
    <col min="4864" max="4864" width="26.28515625" style="23" customWidth="1"/>
    <col min="4865" max="4865" width="10.42578125" style="23" customWidth="1"/>
    <col min="4866" max="4867" width="10.28515625" style="23" customWidth="1"/>
    <col min="4868" max="4868" width="10.85546875" style="23" customWidth="1"/>
    <col min="4869" max="4869" width="10.140625" style="23" customWidth="1"/>
    <col min="4870" max="4871" width="10.42578125" style="23" customWidth="1"/>
    <col min="4872" max="4876" width="0" style="23" hidden="1" customWidth="1"/>
    <col min="4877" max="4877" width="10.42578125" style="23" customWidth="1"/>
    <col min="4878" max="4878" width="10.28515625" style="23" customWidth="1"/>
    <col min="4879" max="4879" width="10" style="23" customWidth="1"/>
    <col min="4880" max="4880" width="11" style="23" customWidth="1"/>
    <col min="4881" max="4881" width="10.85546875" style="23" customWidth="1"/>
    <col min="4882" max="4882" width="13.42578125" style="23" customWidth="1"/>
    <col min="4883" max="5115" width="9.140625" style="23"/>
    <col min="5116" max="5117" width="0.42578125" style="23" customWidth="1"/>
    <col min="5118" max="5118" width="1.85546875" style="23" customWidth="1"/>
    <col min="5119" max="5119" width="0.85546875" style="23" customWidth="1"/>
    <col min="5120" max="5120" width="26.28515625" style="23" customWidth="1"/>
    <col min="5121" max="5121" width="10.42578125" style="23" customWidth="1"/>
    <col min="5122" max="5123" width="10.28515625" style="23" customWidth="1"/>
    <col min="5124" max="5124" width="10.85546875" style="23" customWidth="1"/>
    <col min="5125" max="5125" width="10.140625" style="23" customWidth="1"/>
    <col min="5126" max="5127" width="10.42578125" style="23" customWidth="1"/>
    <col min="5128" max="5132" width="0" style="23" hidden="1" customWidth="1"/>
    <col min="5133" max="5133" width="10.42578125" style="23" customWidth="1"/>
    <col min="5134" max="5134" width="10.28515625" style="23" customWidth="1"/>
    <col min="5135" max="5135" width="10" style="23" customWidth="1"/>
    <col min="5136" max="5136" width="11" style="23" customWidth="1"/>
    <col min="5137" max="5137" width="10.85546875" style="23" customWidth="1"/>
    <col min="5138" max="5138" width="13.42578125" style="23" customWidth="1"/>
    <col min="5139" max="5371" width="9.140625" style="23"/>
    <col min="5372" max="5373" width="0.42578125" style="23" customWidth="1"/>
    <col min="5374" max="5374" width="1.85546875" style="23" customWidth="1"/>
    <col min="5375" max="5375" width="0.85546875" style="23" customWidth="1"/>
    <col min="5376" max="5376" width="26.28515625" style="23" customWidth="1"/>
    <col min="5377" max="5377" width="10.42578125" style="23" customWidth="1"/>
    <col min="5378" max="5379" width="10.28515625" style="23" customWidth="1"/>
    <col min="5380" max="5380" width="10.85546875" style="23" customWidth="1"/>
    <col min="5381" max="5381" width="10.140625" style="23" customWidth="1"/>
    <col min="5382" max="5383" width="10.42578125" style="23" customWidth="1"/>
    <col min="5384" max="5388" width="0" style="23" hidden="1" customWidth="1"/>
    <col min="5389" max="5389" width="10.42578125" style="23" customWidth="1"/>
    <col min="5390" max="5390" width="10.28515625" style="23" customWidth="1"/>
    <col min="5391" max="5391" width="10" style="23" customWidth="1"/>
    <col min="5392" max="5392" width="11" style="23" customWidth="1"/>
    <col min="5393" max="5393" width="10.85546875" style="23" customWidth="1"/>
    <col min="5394" max="5394" width="13.42578125" style="23" customWidth="1"/>
    <col min="5395" max="5627" width="9.140625" style="23"/>
    <col min="5628" max="5629" width="0.42578125" style="23" customWidth="1"/>
    <col min="5630" max="5630" width="1.85546875" style="23" customWidth="1"/>
    <col min="5631" max="5631" width="0.85546875" style="23" customWidth="1"/>
    <col min="5632" max="5632" width="26.28515625" style="23" customWidth="1"/>
    <col min="5633" max="5633" width="10.42578125" style="23" customWidth="1"/>
    <col min="5634" max="5635" width="10.28515625" style="23" customWidth="1"/>
    <col min="5636" max="5636" width="10.85546875" style="23" customWidth="1"/>
    <col min="5637" max="5637" width="10.140625" style="23" customWidth="1"/>
    <col min="5638" max="5639" width="10.42578125" style="23" customWidth="1"/>
    <col min="5640" max="5644" width="0" style="23" hidden="1" customWidth="1"/>
    <col min="5645" max="5645" width="10.42578125" style="23" customWidth="1"/>
    <col min="5646" max="5646" width="10.28515625" style="23" customWidth="1"/>
    <col min="5647" max="5647" width="10" style="23" customWidth="1"/>
    <col min="5648" max="5648" width="11" style="23" customWidth="1"/>
    <col min="5649" max="5649" width="10.85546875" style="23" customWidth="1"/>
    <col min="5650" max="5650" width="13.42578125" style="23" customWidth="1"/>
    <col min="5651" max="5883" width="9.140625" style="23"/>
    <col min="5884" max="5885" width="0.42578125" style="23" customWidth="1"/>
    <col min="5886" max="5886" width="1.85546875" style="23" customWidth="1"/>
    <col min="5887" max="5887" width="0.85546875" style="23" customWidth="1"/>
    <col min="5888" max="5888" width="26.28515625" style="23" customWidth="1"/>
    <col min="5889" max="5889" width="10.42578125" style="23" customWidth="1"/>
    <col min="5890" max="5891" width="10.28515625" style="23" customWidth="1"/>
    <col min="5892" max="5892" width="10.85546875" style="23" customWidth="1"/>
    <col min="5893" max="5893" width="10.140625" style="23" customWidth="1"/>
    <col min="5894" max="5895" width="10.42578125" style="23" customWidth="1"/>
    <col min="5896" max="5900" width="0" style="23" hidden="1" customWidth="1"/>
    <col min="5901" max="5901" width="10.42578125" style="23" customWidth="1"/>
    <col min="5902" max="5902" width="10.28515625" style="23" customWidth="1"/>
    <col min="5903" max="5903" width="10" style="23" customWidth="1"/>
    <col min="5904" max="5904" width="11" style="23" customWidth="1"/>
    <col min="5905" max="5905" width="10.85546875" style="23" customWidth="1"/>
    <col min="5906" max="5906" width="13.42578125" style="23" customWidth="1"/>
    <col min="5907" max="6139" width="9.140625" style="23"/>
    <col min="6140" max="6141" width="0.42578125" style="23" customWidth="1"/>
    <col min="6142" max="6142" width="1.85546875" style="23" customWidth="1"/>
    <col min="6143" max="6143" width="0.85546875" style="23" customWidth="1"/>
    <col min="6144" max="6144" width="26.28515625" style="23" customWidth="1"/>
    <col min="6145" max="6145" width="10.42578125" style="23" customWidth="1"/>
    <col min="6146" max="6147" width="10.28515625" style="23" customWidth="1"/>
    <col min="6148" max="6148" width="10.85546875" style="23" customWidth="1"/>
    <col min="6149" max="6149" width="10.140625" style="23" customWidth="1"/>
    <col min="6150" max="6151" width="10.42578125" style="23" customWidth="1"/>
    <col min="6152" max="6156" width="0" style="23" hidden="1" customWidth="1"/>
    <col min="6157" max="6157" width="10.42578125" style="23" customWidth="1"/>
    <col min="6158" max="6158" width="10.28515625" style="23" customWidth="1"/>
    <col min="6159" max="6159" width="10" style="23" customWidth="1"/>
    <col min="6160" max="6160" width="11" style="23" customWidth="1"/>
    <col min="6161" max="6161" width="10.85546875" style="23" customWidth="1"/>
    <col min="6162" max="6162" width="13.42578125" style="23" customWidth="1"/>
    <col min="6163" max="6395" width="9.140625" style="23"/>
    <col min="6396" max="6397" width="0.42578125" style="23" customWidth="1"/>
    <col min="6398" max="6398" width="1.85546875" style="23" customWidth="1"/>
    <col min="6399" max="6399" width="0.85546875" style="23" customWidth="1"/>
    <col min="6400" max="6400" width="26.28515625" style="23" customWidth="1"/>
    <col min="6401" max="6401" width="10.42578125" style="23" customWidth="1"/>
    <col min="6402" max="6403" width="10.28515625" style="23" customWidth="1"/>
    <col min="6404" max="6404" width="10.85546875" style="23" customWidth="1"/>
    <col min="6405" max="6405" width="10.140625" style="23" customWidth="1"/>
    <col min="6406" max="6407" width="10.42578125" style="23" customWidth="1"/>
    <col min="6408" max="6412" width="0" style="23" hidden="1" customWidth="1"/>
    <col min="6413" max="6413" width="10.42578125" style="23" customWidth="1"/>
    <col min="6414" max="6414" width="10.28515625" style="23" customWidth="1"/>
    <col min="6415" max="6415" width="10" style="23" customWidth="1"/>
    <col min="6416" max="6416" width="11" style="23" customWidth="1"/>
    <col min="6417" max="6417" width="10.85546875" style="23" customWidth="1"/>
    <col min="6418" max="6418" width="13.42578125" style="23" customWidth="1"/>
    <col min="6419" max="6651" width="9.140625" style="23"/>
    <col min="6652" max="6653" width="0.42578125" style="23" customWidth="1"/>
    <col min="6654" max="6654" width="1.85546875" style="23" customWidth="1"/>
    <col min="6655" max="6655" width="0.85546875" style="23" customWidth="1"/>
    <col min="6656" max="6656" width="26.28515625" style="23" customWidth="1"/>
    <col min="6657" max="6657" width="10.42578125" style="23" customWidth="1"/>
    <col min="6658" max="6659" width="10.28515625" style="23" customWidth="1"/>
    <col min="6660" max="6660" width="10.85546875" style="23" customWidth="1"/>
    <col min="6661" max="6661" width="10.140625" style="23" customWidth="1"/>
    <col min="6662" max="6663" width="10.42578125" style="23" customWidth="1"/>
    <col min="6664" max="6668" width="0" style="23" hidden="1" customWidth="1"/>
    <col min="6669" max="6669" width="10.42578125" style="23" customWidth="1"/>
    <col min="6670" max="6670" width="10.28515625" style="23" customWidth="1"/>
    <col min="6671" max="6671" width="10" style="23" customWidth="1"/>
    <col min="6672" max="6672" width="11" style="23" customWidth="1"/>
    <col min="6673" max="6673" width="10.85546875" style="23" customWidth="1"/>
    <col min="6674" max="6674" width="13.42578125" style="23" customWidth="1"/>
    <col min="6675" max="6907" width="9.140625" style="23"/>
    <col min="6908" max="6909" width="0.42578125" style="23" customWidth="1"/>
    <col min="6910" max="6910" width="1.85546875" style="23" customWidth="1"/>
    <col min="6911" max="6911" width="0.85546875" style="23" customWidth="1"/>
    <col min="6912" max="6912" width="26.28515625" style="23" customWidth="1"/>
    <col min="6913" max="6913" width="10.42578125" style="23" customWidth="1"/>
    <col min="6914" max="6915" width="10.28515625" style="23" customWidth="1"/>
    <col min="6916" max="6916" width="10.85546875" style="23" customWidth="1"/>
    <col min="6917" max="6917" width="10.140625" style="23" customWidth="1"/>
    <col min="6918" max="6919" width="10.42578125" style="23" customWidth="1"/>
    <col min="6920" max="6924" width="0" style="23" hidden="1" customWidth="1"/>
    <col min="6925" max="6925" width="10.42578125" style="23" customWidth="1"/>
    <col min="6926" max="6926" width="10.28515625" style="23" customWidth="1"/>
    <col min="6927" max="6927" width="10" style="23" customWidth="1"/>
    <col min="6928" max="6928" width="11" style="23" customWidth="1"/>
    <col min="6929" max="6929" width="10.85546875" style="23" customWidth="1"/>
    <col min="6930" max="6930" width="13.42578125" style="23" customWidth="1"/>
    <col min="6931" max="7163" width="9.140625" style="23"/>
    <col min="7164" max="7165" width="0.42578125" style="23" customWidth="1"/>
    <col min="7166" max="7166" width="1.85546875" style="23" customWidth="1"/>
    <col min="7167" max="7167" width="0.85546875" style="23" customWidth="1"/>
    <col min="7168" max="7168" width="26.28515625" style="23" customWidth="1"/>
    <col min="7169" max="7169" width="10.42578125" style="23" customWidth="1"/>
    <col min="7170" max="7171" width="10.28515625" style="23" customWidth="1"/>
    <col min="7172" max="7172" width="10.85546875" style="23" customWidth="1"/>
    <col min="7173" max="7173" width="10.140625" style="23" customWidth="1"/>
    <col min="7174" max="7175" width="10.42578125" style="23" customWidth="1"/>
    <col min="7176" max="7180" width="0" style="23" hidden="1" customWidth="1"/>
    <col min="7181" max="7181" width="10.42578125" style="23" customWidth="1"/>
    <col min="7182" max="7182" width="10.28515625" style="23" customWidth="1"/>
    <col min="7183" max="7183" width="10" style="23" customWidth="1"/>
    <col min="7184" max="7184" width="11" style="23" customWidth="1"/>
    <col min="7185" max="7185" width="10.85546875" style="23" customWidth="1"/>
    <col min="7186" max="7186" width="13.42578125" style="23" customWidth="1"/>
    <col min="7187" max="7419" width="9.140625" style="23"/>
    <col min="7420" max="7421" width="0.42578125" style="23" customWidth="1"/>
    <col min="7422" max="7422" width="1.85546875" style="23" customWidth="1"/>
    <col min="7423" max="7423" width="0.85546875" style="23" customWidth="1"/>
    <col min="7424" max="7424" width="26.28515625" style="23" customWidth="1"/>
    <col min="7425" max="7425" width="10.42578125" style="23" customWidth="1"/>
    <col min="7426" max="7427" width="10.28515625" style="23" customWidth="1"/>
    <col min="7428" max="7428" width="10.85546875" style="23" customWidth="1"/>
    <col min="7429" max="7429" width="10.140625" style="23" customWidth="1"/>
    <col min="7430" max="7431" width="10.42578125" style="23" customWidth="1"/>
    <col min="7432" max="7436" width="0" style="23" hidden="1" customWidth="1"/>
    <col min="7437" max="7437" width="10.42578125" style="23" customWidth="1"/>
    <col min="7438" max="7438" width="10.28515625" style="23" customWidth="1"/>
    <col min="7439" max="7439" width="10" style="23" customWidth="1"/>
    <col min="7440" max="7440" width="11" style="23" customWidth="1"/>
    <col min="7441" max="7441" width="10.85546875" style="23" customWidth="1"/>
    <col min="7442" max="7442" width="13.42578125" style="23" customWidth="1"/>
    <col min="7443" max="7675" width="9.140625" style="23"/>
    <col min="7676" max="7677" width="0.42578125" style="23" customWidth="1"/>
    <col min="7678" max="7678" width="1.85546875" style="23" customWidth="1"/>
    <col min="7679" max="7679" width="0.85546875" style="23" customWidth="1"/>
    <col min="7680" max="7680" width="26.28515625" style="23" customWidth="1"/>
    <col min="7681" max="7681" width="10.42578125" style="23" customWidth="1"/>
    <col min="7682" max="7683" width="10.28515625" style="23" customWidth="1"/>
    <col min="7684" max="7684" width="10.85546875" style="23" customWidth="1"/>
    <col min="7685" max="7685" width="10.140625" style="23" customWidth="1"/>
    <col min="7686" max="7687" width="10.42578125" style="23" customWidth="1"/>
    <col min="7688" max="7692" width="0" style="23" hidden="1" customWidth="1"/>
    <col min="7693" max="7693" width="10.42578125" style="23" customWidth="1"/>
    <col min="7694" max="7694" width="10.28515625" style="23" customWidth="1"/>
    <col min="7695" max="7695" width="10" style="23" customWidth="1"/>
    <col min="7696" max="7696" width="11" style="23" customWidth="1"/>
    <col min="7697" max="7697" width="10.85546875" style="23" customWidth="1"/>
    <col min="7698" max="7698" width="13.42578125" style="23" customWidth="1"/>
    <col min="7699" max="7931" width="9.140625" style="23"/>
    <col min="7932" max="7933" width="0.42578125" style="23" customWidth="1"/>
    <col min="7934" max="7934" width="1.85546875" style="23" customWidth="1"/>
    <col min="7935" max="7935" width="0.85546875" style="23" customWidth="1"/>
    <col min="7936" max="7936" width="26.28515625" style="23" customWidth="1"/>
    <col min="7937" max="7937" width="10.42578125" style="23" customWidth="1"/>
    <col min="7938" max="7939" width="10.28515625" style="23" customWidth="1"/>
    <col min="7940" max="7940" width="10.85546875" style="23" customWidth="1"/>
    <col min="7941" max="7941" width="10.140625" style="23" customWidth="1"/>
    <col min="7942" max="7943" width="10.42578125" style="23" customWidth="1"/>
    <col min="7944" max="7948" width="0" style="23" hidden="1" customWidth="1"/>
    <col min="7949" max="7949" width="10.42578125" style="23" customWidth="1"/>
    <col min="7950" max="7950" width="10.28515625" style="23" customWidth="1"/>
    <col min="7951" max="7951" width="10" style="23" customWidth="1"/>
    <col min="7952" max="7952" width="11" style="23" customWidth="1"/>
    <col min="7953" max="7953" width="10.85546875" style="23" customWidth="1"/>
    <col min="7954" max="7954" width="13.42578125" style="23" customWidth="1"/>
    <col min="7955" max="8187" width="9.140625" style="23"/>
    <col min="8188" max="8189" width="0.42578125" style="23" customWidth="1"/>
    <col min="8190" max="8190" width="1.85546875" style="23" customWidth="1"/>
    <col min="8191" max="8191" width="0.85546875" style="23" customWidth="1"/>
    <col min="8192" max="8192" width="26.28515625" style="23" customWidth="1"/>
    <col min="8193" max="8193" width="10.42578125" style="23" customWidth="1"/>
    <col min="8194" max="8195" width="10.28515625" style="23" customWidth="1"/>
    <col min="8196" max="8196" width="10.85546875" style="23" customWidth="1"/>
    <col min="8197" max="8197" width="10.140625" style="23" customWidth="1"/>
    <col min="8198" max="8199" width="10.42578125" style="23" customWidth="1"/>
    <col min="8200" max="8204" width="0" style="23" hidden="1" customWidth="1"/>
    <col min="8205" max="8205" width="10.42578125" style="23" customWidth="1"/>
    <col min="8206" max="8206" width="10.28515625" style="23" customWidth="1"/>
    <col min="8207" max="8207" width="10" style="23" customWidth="1"/>
    <col min="8208" max="8208" width="11" style="23" customWidth="1"/>
    <col min="8209" max="8209" width="10.85546875" style="23" customWidth="1"/>
    <col min="8210" max="8210" width="13.42578125" style="23" customWidth="1"/>
    <col min="8211" max="8443" width="9.140625" style="23"/>
    <col min="8444" max="8445" width="0.42578125" style="23" customWidth="1"/>
    <col min="8446" max="8446" width="1.85546875" style="23" customWidth="1"/>
    <col min="8447" max="8447" width="0.85546875" style="23" customWidth="1"/>
    <col min="8448" max="8448" width="26.28515625" style="23" customWidth="1"/>
    <col min="8449" max="8449" width="10.42578125" style="23" customWidth="1"/>
    <col min="8450" max="8451" width="10.28515625" style="23" customWidth="1"/>
    <col min="8452" max="8452" width="10.85546875" style="23" customWidth="1"/>
    <col min="8453" max="8453" width="10.140625" style="23" customWidth="1"/>
    <col min="8454" max="8455" width="10.42578125" style="23" customWidth="1"/>
    <col min="8456" max="8460" width="0" style="23" hidden="1" customWidth="1"/>
    <col min="8461" max="8461" width="10.42578125" style="23" customWidth="1"/>
    <col min="8462" max="8462" width="10.28515625" style="23" customWidth="1"/>
    <col min="8463" max="8463" width="10" style="23" customWidth="1"/>
    <col min="8464" max="8464" width="11" style="23" customWidth="1"/>
    <col min="8465" max="8465" width="10.85546875" style="23" customWidth="1"/>
    <col min="8466" max="8466" width="13.42578125" style="23" customWidth="1"/>
    <col min="8467" max="8699" width="9.140625" style="23"/>
    <col min="8700" max="8701" width="0.42578125" style="23" customWidth="1"/>
    <col min="8702" max="8702" width="1.85546875" style="23" customWidth="1"/>
    <col min="8703" max="8703" width="0.85546875" style="23" customWidth="1"/>
    <col min="8704" max="8704" width="26.28515625" style="23" customWidth="1"/>
    <col min="8705" max="8705" width="10.42578125" style="23" customWidth="1"/>
    <col min="8706" max="8707" width="10.28515625" style="23" customWidth="1"/>
    <col min="8708" max="8708" width="10.85546875" style="23" customWidth="1"/>
    <col min="8709" max="8709" width="10.140625" style="23" customWidth="1"/>
    <col min="8710" max="8711" width="10.42578125" style="23" customWidth="1"/>
    <col min="8712" max="8716" width="0" style="23" hidden="1" customWidth="1"/>
    <col min="8717" max="8717" width="10.42578125" style="23" customWidth="1"/>
    <col min="8718" max="8718" width="10.28515625" style="23" customWidth="1"/>
    <col min="8719" max="8719" width="10" style="23" customWidth="1"/>
    <col min="8720" max="8720" width="11" style="23" customWidth="1"/>
    <col min="8721" max="8721" width="10.85546875" style="23" customWidth="1"/>
    <col min="8722" max="8722" width="13.42578125" style="23" customWidth="1"/>
    <col min="8723" max="8955" width="9.140625" style="23"/>
    <col min="8956" max="8957" width="0.42578125" style="23" customWidth="1"/>
    <col min="8958" max="8958" width="1.85546875" style="23" customWidth="1"/>
    <col min="8959" max="8959" width="0.85546875" style="23" customWidth="1"/>
    <col min="8960" max="8960" width="26.28515625" style="23" customWidth="1"/>
    <col min="8961" max="8961" width="10.42578125" style="23" customWidth="1"/>
    <col min="8962" max="8963" width="10.28515625" style="23" customWidth="1"/>
    <col min="8964" max="8964" width="10.85546875" style="23" customWidth="1"/>
    <col min="8965" max="8965" width="10.140625" style="23" customWidth="1"/>
    <col min="8966" max="8967" width="10.42578125" style="23" customWidth="1"/>
    <col min="8968" max="8972" width="0" style="23" hidden="1" customWidth="1"/>
    <col min="8973" max="8973" width="10.42578125" style="23" customWidth="1"/>
    <col min="8974" max="8974" width="10.28515625" style="23" customWidth="1"/>
    <col min="8975" max="8975" width="10" style="23" customWidth="1"/>
    <col min="8976" max="8976" width="11" style="23" customWidth="1"/>
    <col min="8977" max="8977" width="10.85546875" style="23" customWidth="1"/>
    <col min="8978" max="8978" width="13.42578125" style="23" customWidth="1"/>
    <col min="8979" max="9211" width="9.140625" style="23"/>
    <col min="9212" max="9213" width="0.42578125" style="23" customWidth="1"/>
    <col min="9214" max="9214" width="1.85546875" style="23" customWidth="1"/>
    <col min="9215" max="9215" width="0.85546875" style="23" customWidth="1"/>
    <col min="9216" max="9216" width="26.28515625" style="23" customWidth="1"/>
    <col min="9217" max="9217" width="10.42578125" style="23" customWidth="1"/>
    <col min="9218" max="9219" width="10.28515625" style="23" customWidth="1"/>
    <col min="9220" max="9220" width="10.85546875" style="23" customWidth="1"/>
    <col min="9221" max="9221" width="10.140625" style="23" customWidth="1"/>
    <col min="9222" max="9223" width="10.42578125" style="23" customWidth="1"/>
    <col min="9224" max="9228" width="0" style="23" hidden="1" customWidth="1"/>
    <col min="9229" max="9229" width="10.42578125" style="23" customWidth="1"/>
    <col min="9230" max="9230" width="10.28515625" style="23" customWidth="1"/>
    <col min="9231" max="9231" width="10" style="23" customWidth="1"/>
    <col min="9232" max="9232" width="11" style="23" customWidth="1"/>
    <col min="9233" max="9233" width="10.85546875" style="23" customWidth="1"/>
    <col min="9234" max="9234" width="13.42578125" style="23" customWidth="1"/>
    <col min="9235" max="9467" width="9.140625" style="23"/>
    <col min="9468" max="9469" width="0.42578125" style="23" customWidth="1"/>
    <col min="9470" max="9470" width="1.85546875" style="23" customWidth="1"/>
    <col min="9471" max="9471" width="0.85546875" style="23" customWidth="1"/>
    <col min="9472" max="9472" width="26.28515625" style="23" customWidth="1"/>
    <col min="9473" max="9473" width="10.42578125" style="23" customWidth="1"/>
    <col min="9474" max="9475" width="10.28515625" style="23" customWidth="1"/>
    <col min="9476" max="9476" width="10.85546875" style="23" customWidth="1"/>
    <col min="9477" max="9477" width="10.140625" style="23" customWidth="1"/>
    <col min="9478" max="9479" width="10.42578125" style="23" customWidth="1"/>
    <col min="9480" max="9484" width="0" style="23" hidden="1" customWidth="1"/>
    <col min="9485" max="9485" width="10.42578125" style="23" customWidth="1"/>
    <col min="9486" max="9486" width="10.28515625" style="23" customWidth="1"/>
    <col min="9487" max="9487" width="10" style="23" customWidth="1"/>
    <col min="9488" max="9488" width="11" style="23" customWidth="1"/>
    <col min="9489" max="9489" width="10.85546875" style="23" customWidth="1"/>
    <col min="9490" max="9490" width="13.42578125" style="23" customWidth="1"/>
    <col min="9491" max="9723" width="9.140625" style="23"/>
    <col min="9724" max="9725" width="0.42578125" style="23" customWidth="1"/>
    <col min="9726" max="9726" width="1.85546875" style="23" customWidth="1"/>
    <col min="9727" max="9727" width="0.85546875" style="23" customWidth="1"/>
    <col min="9728" max="9728" width="26.28515625" style="23" customWidth="1"/>
    <col min="9729" max="9729" width="10.42578125" style="23" customWidth="1"/>
    <col min="9730" max="9731" width="10.28515625" style="23" customWidth="1"/>
    <col min="9732" max="9732" width="10.85546875" style="23" customWidth="1"/>
    <col min="9733" max="9733" width="10.140625" style="23" customWidth="1"/>
    <col min="9734" max="9735" width="10.42578125" style="23" customWidth="1"/>
    <col min="9736" max="9740" width="0" style="23" hidden="1" customWidth="1"/>
    <col min="9741" max="9741" width="10.42578125" style="23" customWidth="1"/>
    <col min="9742" max="9742" width="10.28515625" style="23" customWidth="1"/>
    <col min="9743" max="9743" width="10" style="23" customWidth="1"/>
    <col min="9744" max="9744" width="11" style="23" customWidth="1"/>
    <col min="9745" max="9745" width="10.85546875" style="23" customWidth="1"/>
    <col min="9746" max="9746" width="13.42578125" style="23" customWidth="1"/>
    <col min="9747" max="9979" width="9.140625" style="23"/>
    <col min="9980" max="9981" width="0.42578125" style="23" customWidth="1"/>
    <col min="9982" max="9982" width="1.85546875" style="23" customWidth="1"/>
    <col min="9983" max="9983" width="0.85546875" style="23" customWidth="1"/>
    <col min="9984" max="9984" width="26.28515625" style="23" customWidth="1"/>
    <col min="9985" max="9985" width="10.42578125" style="23" customWidth="1"/>
    <col min="9986" max="9987" width="10.28515625" style="23" customWidth="1"/>
    <col min="9988" max="9988" width="10.85546875" style="23" customWidth="1"/>
    <col min="9989" max="9989" width="10.140625" style="23" customWidth="1"/>
    <col min="9990" max="9991" width="10.42578125" style="23" customWidth="1"/>
    <col min="9992" max="9996" width="0" style="23" hidden="1" customWidth="1"/>
    <col min="9997" max="9997" width="10.42578125" style="23" customWidth="1"/>
    <col min="9998" max="9998" width="10.28515625" style="23" customWidth="1"/>
    <col min="9999" max="9999" width="10" style="23" customWidth="1"/>
    <col min="10000" max="10000" width="11" style="23" customWidth="1"/>
    <col min="10001" max="10001" width="10.85546875" style="23" customWidth="1"/>
    <col min="10002" max="10002" width="13.42578125" style="23" customWidth="1"/>
    <col min="10003" max="10235" width="9.140625" style="23"/>
    <col min="10236" max="10237" width="0.42578125" style="23" customWidth="1"/>
    <col min="10238" max="10238" width="1.85546875" style="23" customWidth="1"/>
    <col min="10239" max="10239" width="0.85546875" style="23" customWidth="1"/>
    <col min="10240" max="10240" width="26.28515625" style="23" customWidth="1"/>
    <col min="10241" max="10241" width="10.42578125" style="23" customWidth="1"/>
    <col min="10242" max="10243" width="10.28515625" style="23" customWidth="1"/>
    <col min="10244" max="10244" width="10.85546875" style="23" customWidth="1"/>
    <col min="10245" max="10245" width="10.140625" style="23" customWidth="1"/>
    <col min="10246" max="10247" width="10.42578125" style="23" customWidth="1"/>
    <col min="10248" max="10252" width="0" style="23" hidden="1" customWidth="1"/>
    <col min="10253" max="10253" width="10.42578125" style="23" customWidth="1"/>
    <col min="10254" max="10254" width="10.28515625" style="23" customWidth="1"/>
    <col min="10255" max="10255" width="10" style="23" customWidth="1"/>
    <col min="10256" max="10256" width="11" style="23" customWidth="1"/>
    <col min="10257" max="10257" width="10.85546875" style="23" customWidth="1"/>
    <col min="10258" max="10258" width="13.42578125" style="23" customWidth="1"/>
    <col min="10259" max="10491" width="9.140625" style="23"/>
    <col min="10492" max="10493" width="0.42578125" style="23" customWidth="1"/>
    <col min="10494" max="10494" width="1.85546875" style="23" customWidth="1"/>
    <col min="10495" max="10495" width="0.85546875" style="23" customWidth="1"/>
    <col min="10496" max="10496" width="26.28515625" style="23" customWidth="1"/>
    <col min="10497" max="10497" width="10.42578125" style="23" customWidth="1"/>
    <col min="10498" max="10499" width="10.28515625" style="23" customWidth="1"/>
    <col min="10500" max="10500" width="10.85546875" style="23" customWidth="1"/>
    <col min="10501" max="10501" width="10.140625" style="23" customWidth="1"/>
    <col min="10502" max="10503" width="10.42578125" style="23" customWidth="1"/>
    <col min="10504" max="10508" width="0" style="23" hidden="1" customWidth="1"/>
    <col min="10509" max="10509" width="10.42578125" style="23" customWidth="1"/>
    <col min="10510" max="10510" width="10.28515625" style="23" customWidth="1"/>
    <col min="10511" max="10511" width="10" style="23" customWidth="1"/>
    <col min="10512" max="10512" width="11" style="23" customWidth="1"/>
    <col min="10513" max="10513" width="10.85546875" style="23" customWidth="1"/>
    <col min="10514" max="10514" width="13.42578125" style="23" customWidth="1"/>
    <col min="10515" max="10747" width="9.140625" style="23"/>
    <col min="10748" max="10749" width="0.42578125" style="23" customWidth="1"/>
    <col min="10750" max="10750" width="1.85546875" style="23" customWidth="1"/>
    <col min="10751" max="10751" width="0.85546875" style="23" customWidth="1"/>
    <col min="10752" max="10752" width="26.28515625" style="23" customWidth="1"/>
    <col min="10753" max="10753" width="10.42578125" style="23" customWidth="1"/>
    <col min="10754" max="10755" width="10.28515625" style="23" customWidth="1"/>
    <col min="10756" max="10756" width="10.85546875" style="23" customWidth="1"/>
    <col min="10757" max="10757" width="10.140625" style="23" customWidth="1"/>
    <col min="10758" max="10759" width="10.42578125" style="23" customWidth="1"/>
    <col min="10760" max="10764" width="0" style="23" hidden="1" customWidth="1"/>
    <col min="10765" max="10765" width="10.42578125" style="23" customWidth="1"/>
    <col min="10766" max="10766" width="10.28515625" style="23" customWidth="1"/>
    <col min="10767" max="10767" width="10" style="23" customWidth="1"/>
    <col min="10768" max="10768" width="11" style="23" customWidth="1"/>
    <col min="10769" max="10769" width="10.85546875" style="23" customWidth="1"/>
    <col min="10770" max="10770" width="13.42578125" style="23" customWidth="1"/>
    <col min="10771" max="11003" width="9.140625" style="23"/>
    <col min="11004" max="11005" width="0.42578125" style="23" customWidth="1"/>
    <col min="11006" max="11006" width="1.85546875" style="23" customWidth="1"/>
    <col min="11007" max="11007" width="0.85546875" style="23" customWidth="1"/>
    <col min="11008" max="11008" width="26.28515625" style="23" customWidth="1"/>
    <col min="11009" max="11009" width="10.42578125" style="23" customWidth="1"/>
    <col min="11010" max="11011" width="10.28515625" style="23" customWidth="1"/>
    <col min="11012" max="11012" width="10.85546875" style="23" customWidth="1"/>
    <col min="11013" max="11013" width="10.140625" style="23" customWidth="1"/>
    <col min="11014" max="11015" width="10.42578125" style="23" customWidth="1"/>
    <col min="11016" max="11020" width="0" style="23" hidden="1" customWidth="1"/>
    <col min="11021" max="11021" width="10.42578125" style="23" customWidth="1"/>
    <col min="11022" max="11022" width="10.28515625" style="23" customWidth="1"/>
    <col min="11023" max="11023" width="10" style="23" customWidth="1"/>
    <col min="11024" max="11024" width="11" style="23" customWidth="1"/>
    <col min="11025" max="11025" width="10.85546875" style="23" customWidth="1"/>
    <col min="11026" max="11026" width="13.42578125" style="23" customWidth="1"/>
    <col min="11027" max="11259" width="9.140625" style="23"/>
    <col min="11260" max="11261" width="0.42578125" style="23" customWidth="1"/>
    <col min="11262" max="11262" width="1.85546875" style="23" customWidth="1"/>
    <col min="11263" max="11263" width="0.85546875" style="23" customWidth="1"/>
    <col min="11264" max="11264" width="26.28515625" style="23" customWidth="1"/>
    <col min="11265" max="11265" width="10.42578125" style="23" customWidth="1"/>
    <col min="11266" max="11267" width="10.28515625" style="23" customWidth="1"/>
    <col min="11268" max="11268" width="10.85546875" style="23" customWidth="1"/>
    <col min="11269" max="11269" width="10.140625" style="23" customWidth="1"/>
    <col min="11270" max="11271" width="10.42578125" style="23" customWidth="1"/>
    <col min="11272" max="11276" width="0" style="23" hidden="1" customWidth="1"/>
    <col min="11277" max="11277" width="10.42578125" style="23" customWidth="1"/>
    <col min="11278" max="11278" width="10.28515625" style="23" customWidth="1"/>
    <col min="11279" max="11279" width="10" style="23" customWidth="1"/>
    <col min="11280" max="11280" width="11" style="23" customWidth="1"/>
    <col min="11281" max="11281" width="10.85546875" style="23" customWidth="1"/>
    <col min="11282" max="11282" width="13.42578125" style="23" customWidth="1"/>
    <col min="11283" max="11515" width="9.140625" style="23"/>
    <col min="11516" max="11517" width="0.42578125" style="23" customWidth="1"/>
    <col min="11518" max="11518" width="1.85546875" style="23" customWidth="1"/>
    <col min="11519" max="11519" width="0.85546875" style="23" customWidth="1"/>
    <col min="11520" max="11520" width="26.28515625" style="23" customWidth="1"/>
    <col min="11521" max="11521" width="10.42578125" style="23" customWidth="1"/>
    <col min="11522" max="11523" width="10.28515625" style="23" customWidth="1"/>
    <col min="11524" max="11524" width="10.85546875" style="23" customWidth="1"/>
    <col min="11525" max="11525" width="10.140625" style="23" customWidth="1"/>
    <col min="11526" max="11527" width="10.42578125" style="23" customWidth="1"/>
    <col min="11528" max="11532" width="0" style="23" hidden="1" customWidth="1"/>
    <col min="11533" max="11533" width="10.42578125" style="23" customWidth="1"/>
    <col min="11534" max="11534" width="10.28515625" style="23" customWidth="1"/>
    <col min="11535" max="11535" width="10" style="23" customWidth="1"/>
    <col min="11536" max="11536" width="11" style="23" customWidth="1"/>
    <col min="11537" max="11537" width="10.85546875" style="23" customWidth="1"/>
    <col min="11538" max="11538" width="13.42578125" style="23" customWidth="1"/>
    <col min="11539" max="11771" width="9.140625" style="23"/>
    <col min="11772" max="11773" width="0.42578125" style="23" customWidth="1"/>
    <col min="11774" max="11774" width="1.85546875" style="23" customWidth="1"/>
    <col min="11775" max="11775" width="0.85546875" style="23" customWidth="1"/>
    <col min="11776" max="11776" width="26.28515625" style="23" customWidth="1"/>
    <col min="11777" max="11777" width="10.42578125" style="23" customWidth="1"/>
    <col min="11778" max="11779" width="10.28515625" style="23" customWidth="1"/>
    <col min="11780" max="11780" width="10.85546875" style="23" customWidth="1"/>
    <col min="11781" max="11781" width="10.140625" style="23" customWidth="1"/>
    <col min="11782" max="11783" width="10.42578125" style="23" customWidth="1"/>
    <col min="11784" max="11788" width="0" style="23" hidden="1" customWidth="1"/>
    <col min="11789" max="11789" width="10.42578125" style="23" customWidth="1"/>
    <col min="11790" max="11790" width="10.28515625" style="23" customWidth="1"/>
    <col min="11791" max="11791" width="10" style="23" customWidth="1"/>
    <col min="11792" max="11792" width="11" style="23" customWidth="1"/>
    <col min="11793" max="11793" width="10.85546875" style="23" customWidth="1"/>
    <col min="11794" max="11794" width="13.42578125" style="23" customWidth="1"/>
    <col min="11795" max="12027" width="9.140625" style="23"/>
    <col min="12028" max="12029" width="0.42578125" style="23" customWidth="1"/>
    <col min="12030" max="12030" width="1.85546875" style="23" customWidth="1"/>
    <col min="12031" max="12031" width="0.85546875" style="23" customWidth="1"/>
    <col min="12032" max="12032" width="26.28515625" style="23" customWidth="1"/>
    <col min="12033" max="12033" width="10.42578125" style="23" customWidth="1"/>
    <col min="12034" max="12035" width="10.28515625" style="23" customWidth="1"/>
    <col min="12036" max="12036" width="10.85546875" style="23" customWidth="1"/>
    <col min="12037" max="12037" width="10.140625" style="23" customWidth="1"/>
    <col min="12038" max="12039" width="10.42578125" style="23" customWidth="1"/>
    <col min="12040" max="12044" width="0" style="23" hidden="1" customWidth="1"/>
    <col min="12045" max="12045" width="10.42578125" style="23" customWidth="1"/>
    <col min="12046" max="12046" width="10.28515625" style="23" customWidth="1"/>
    <col min="12047" max="12047" width="10" style="23" customWidth="1"/>
    <col min="12048" max="12048" width="11" style="23" customWidth="1"/>
    <col min="12049" max="12049" width="10.85546875" style="23" customWidth="1"/>
    <col min="12050" max="12050" width="13.42578125" style="23" customWidth="1"/>
    <col min="12051" max="12283" width="9.140625" style="23"/>
    <col min="12284" max="12285" width="0.42578125" style="23" customWidth="1"/>
    <col min="12286" max="12286" width="1.85546875" style="23" customWidth="1"/>
    <col min="12287" max="12287" width="0.85546875" style="23" customWidth="1"/>
    <col min="12288" max="12288" width="26.28515625" style="23" customWidth="1"/>
    <col min="12289" max="12289" width="10.42578125" style="23" customWidth="1"/>
    <col min="12290" max="12291" width="10.28515625" style="23" customWidth="1"/>
    <col min="12292" max="12292" width="10.85546875" style="23" customWidth="1"/>
    <col min="12293" max="12293" width="10.140625" style="23" customWidth="1"/>
    <col min="12294" max="12295" width="10.42578125" style="23" customWidth="1"/>
    <col min="12296" max="12300" width="0" style="23" hidden="1" customWidth="1"/>
    <col min="12301" max="12301" width="10.42578125" style="23" customWidth="1"/>
    <col min="12302" max="12302" width="10.28515625" style="23" customWidth="1"/>
    <col min="12303" max="12303" width="10" style="23" customWidth="1"/>
    <col min="12304" max="12304" width="11" style="23" customWidth="1"/>
    <col min="12305" max="12305" width="10.85546875" style="23" customWidth="1"/>
    <col min="12306" max="12306" width="13.42578125" style="23" customWidth="1"/>
    <col min="12307" max="12539" width="9.140625" style="23"/>
    <col min="12540" max="12541" width="0.42578125" style="23" customWidth="1"/>
    <col min="12542" max="12542" width="1.85546875" style="23" customWidth="1"/>
    <col min="12543" max="12543" width="0.85546875" style="23" customWidth="1"/>
    <col min="12544" max="12544" width="26.28515625" style="23" customWidth="1"/>
    <col min="12545" max="12545" width="10.42578125" style="23" customWidth="1"/>
    <col min="12546" max="12547" width="10.28515625" style="23" customWidth="1"/>
    <col min="12548" max="12548" width="10.85546875" style="23" customWidth="1"/>
    <col min="12549" max="12549" width="10.140625" style="23" customWidth="1"/>
    <col min="12550" max="12551" width="10.42578125" style="23" customWidth="1"/>
    <col min="12552" max="12556" width="0" style="23" hidden="1" customWidth="1"/>
    <col min="12557" max="12557" width="10.42578125" style="23" customWidth="1"/>
    <col min="12558" max="12558" width="10.28515625" style="23" customWidth="1"/>
    <col min="12559" max="12559" width="10" style="23" customWidth="1"/>
    <col min="12560" max="12560" width="11" style="23" customWidth="1"/>
    <col min="12561" max="12561" width="10.85546875" style="23" customWidth="1"/>
    <col min="12562" max="12562" width="13.42578125" style="23" customWidth="1"/>
    <col min="12563" max="12795" width="9.140625" style="23"/>
    <col min="12796" max="12797" width="0.42578125" style="23" customWidth="1"/>
    <col min="12798" max="12798" width="1.85546875" style="23" customWidth="1"/>
    <col min="12799" max="12799" width="0.85546875" style="23" customWidth="1"/>
    <col min="12800" max="12800" width="26.28515625" style="23" customWidth="1"/>
    <col min="12801" max="12801" width="10.42578125" style="23" customWidth="1"/>
    <col min="12802" max="12803" width="10.28515625" style="23" customWidth="1"/>
    <col min="12804" max="12804" width="10.85546875" style="23" customWidth="1"/>
    <col min="12805" max="12805" width="10.140625" style="23" customWidth="1"/>
    <col min="12806" max="12807" width="10.42578125" style="23" customWidth="1"/>
    <col min="12808" max="12812" width="0" style="23" hidden="1" customWidth="1"/>
    <col min="12813" max="12813" width="10.42578125" style="23" customWidth="1"/>
    <col min="12814" max="12814" width="10.28515625" style="23" customWidth="1"/>
    <col min="12815" max="12815" width="10" style="23" customWidth="1"/>
    <col min="12816" max="12816" width="11" style="23" customWidth="1"/>
    <col min="12817" max="12817" width="10.85546875" style="23" customWidth="1"/>
    <col min="12818" max="12818" width="13.42578125" style="23" customWidth="1"/>
    <col min="12819" max="13051" width="9.140625" style="23"/>
    <col min="13052" max="13053" width="0.42578125" style="23" customWidth="1"/>
    <col min="13054" max="13054" width="1.85546875" style="23" customWidth="1"/>
    <col min="13055" max="13055" width="0.85546875" style="23" customWidth="1"/>
    <col min="13056" max="13056" width="26.28515625" style="23" customWidth="1"/>
    <col min="13057" max="13057" width="10.42578125" style="23" customWidth="1"/>
    <col min="13058" max="13059" width="10.28515625" style="23" customWidth="1"/>
    <col min="13060" max="13060" width="10.85546875" style="23" customWidth="1"/>
    <col min="13061" max="13061" width="10.140625" style="23" customWidth="1"/>
    <col min="13062" max="13063" width="10.42578125" style="23" customWidth="1"/>
    <col min="13064" max="13068" width="0" style="23" hidden="1" customWidth="1"/>
    <col min="13069" max="13069" width="10.42578125" style="23" customWidth="1"/>
    <col min="13070" max="13070" width="10.28515625" style="23" customWidth="1"/>
    <col min="13071" max="13071" width="10" style="23" customWidth="1"/>
    <col min="13072" max="13072" width="11" style="23" customWidth="1"/>
    <col min="13073" max="13073" width="10.85546875" style="23" customWidth="1"/>
    <col min="13074" max="13074" width="13.42578125" style="23" customWidth="1"/>
    <col min="13075" max="13307" width="9.140625" style="23"/>
    <col min="13308" max="13309" width="0.42578125" style="23" customWidth="1"/>
    <col min="13310" max="13310" width="1.85546875" style="23" customWidth="1"/>
    <col min="13311" max="13311" width="0.85546875" style="23" customWidth="1"/>
    <col min="13312" max="13312" width="26.28515625" style="23" customWidth="1"/>
    <col min="13313" max="13313" width="10.42578125" style="23" customWidth="1"/>
    <col min="13314" max="13315" width="10.28515625" style="23" customWidth="1"/>
    <col min="13316" max="13316" width="10.85546875" style="23" customWidth="1"/>
    <col min="13317" max="13317" width="10.140625" style="23" customWidth="1"/>
    <col min="13318" max="13319" width="10.42578125" style="23" customWidth="1"/>
    <col min="13320" max="13324" width="0" style="23" hidden="1" customWidth="1"/>
    <col min="13325" max="13325" width="10.42578125" style="23" customWidth="1"/>
    <col min="13326" max="13326" width="10.28515625" style="23" customWidth="1"/>
    <col min="13327" max="13327" width="10" style="23" customWidth="1"/>
    <col min="13328" max="13328" width="11" style="23" customWidth="1"/>
    <col min="13329" max="13329" width="10.85546875" style="23" customWidth="1"/>
    <col min="13330" max="13330" width="13.42578125" style="23" customWidth="1"/>
    <col min="13331" max="13563" width="9.140625" style="23"/>
    <col min="13564" max="13565" width="0.42578125" style="23" customWidth="1"/>
    <col min="13566" max="13566" width="1.85546875" style="23" customWidth="1"/>
    <col min="13567" max="13567" width="0.85546875" style="23" customWidth="1"/>
    <col min="13568" max="13568" width="26.28515625" style="23" customWidth="1"/>
    <col min="13569" max="13569" width="10.42578125" style="23" customWidth="1"/>
    <col min="13570" max="13571" width="10.28515625" style="23" customWidth="1"/>
    <col min="13572" max="13572" width="10.85546875" style="23" customWidth="1"/>
    <col min="13573" max="13573" width="10.140625" style="23" customWidth="1"/>
    <col min="13574" max="13575" width="10.42578125" style="23" customWidth="1"/>
    <col min="13576" max="13580" width="0" style="23" hidden="1" customWidth="1"/>
    <col min="13581" max="13581" width="10.42578125" style="23" customWidth="1"/>
    <col min="13582" max="13582" width="10.28515625" style="23" customWidth="1"/>
    <col min="13583" max="13583" width="10" style="23" customWidth="1"/>
    <col min="13584" max="13584" width="11" style="23" customWidth="1"/>
    <col min="13585" max="13585" width="10.85546875" style="23" customWidth="1"/>
    <col min="13586" max="13586" width="13.42578125" style="23" customWidth="1"/>
    <col min="13587" max="13819" width="9.140625" style="23"/>
    <col min="13820" max="13821" width="0.42578125" style="23" customWidth="1"/>
    <col min="13822" max="13822" width="1.85546875" style="23" customWidth="1"/>
    <col min="13823" max="13823" width="0.85546875" style="23" customWidth="1"/>
    <col min="13824" max="13824" width="26.28515625" style="23" customWidth="1"/>
    <col min="13825" max="13825" width="10.42578125" style="23" customWidth="1"/>
    <col min="13826" max="13827" width="10.28515625" style="23" customWidth="1"/>
    <col min="13828" max="13828" width="10.85546875" style="23" customWidth="1"/>
    <col min="13829" max="13829" width="10.140625" style="23" customWidth="1"/>
    <col min="13830" max="13831" width="10.42578125" style="23" customWidth="1"/>
    <col min="13832" max="13836" width="0" style="23" hidden="1" customWidth="1"/>
    <col min="13837" max="13837" width="10.42578125" style="23" customWidth="1"/>
    <col min="13838" max="13838" width="10.28515625" style="23" customWidth="1"/>
    <col min="13839" max="13839" width="10" style="23" customWidth="1"/>
    <col min="13840" max="13840" width="11" style="23" customWidth="1"/>
    <col min="13841" max="13841" width="10.85546875" style="23" customWidth="1"/>
    <col min="13842" max="13842" width="13.42578125" style="23" customWidth="1"/>
    <col min="13843" max="14075" width="9.140625" style="23"/>
    <col min="14076" max="14077" width="0.42578125" style="23" customWidth="1"/>
    <col min="14078" max="14078" width="1.85546875" style="23" customWidth="1"/>
    <col min="14079" max="14079" width="0.85546875" style="23" customWidth="1"/>
    <col min="14080" max="14080" width="26.28515625" style="23" customWidth="1"/>
    <col min="14081" max="14081" width="10.42578125" style="23" customWidth="1"/>
    <col min="14082" max="14083" width="10.28515625" style="23" customWidth="1"/>
    <col min="14084" max="14084" width="10.85546875" style="23" customWidth="1"/>
    <col min="14085" max="14085" width="10.140625" style="23" customWidth="1"/>
    <col min="14086" max="14087" width="10.42578125" style="23" customWidth="1"/>
    <col min="14088" max="14092" width="0" style="23" hidden="1" customWidth="1"/>
    <col min="14093" max="14093" width="10.42578125" style="23" customWidth="1"/>
    <col min="14094" max="14094" width="10.28515625" style="23" customWidth="1"/>
    <col min="14095" max="14095" width="10" style="23" customWidth="1"/>
    <col min="14096" max="14096" width="11" style="23" customWidth="1"/>
    <col min="14097" max="14097" width="10.85546875" style="23" customWidth="1"/>
    <col min="14098" max="14098" width="13.42578125" style="23" customWidth="1"/>
    <col min="14099" max="14331" width="9.140625" style="23"/>
    <col min="14332" max="14333" width="0.42578125" style="23" customWidth="1"/>
    <col min="14334" max="14334" width="1.85546875" style="23" customWidth="1"/>
    <col min="14335" max="14335" width="0.85546875" style="23" customWidth="1"/>
    <col min="14336" max="14336" width="26.28515625" style="23" customWidth="1"/>
    <col min="14337" max="14337" width="10.42578125" style="23" customWidth="1"/>
    <col min="14338" max="14339" width="10.28515625" style="23" customWidth="1"/>
    <col min="14340" max="14340" width="10.85546875" style="23" customWidth="1"/>
    <col min="14341" max="14341" width="10.140625" style="23" customWidth="1"/>
    <col min="14342" max="14343" width="10.42578125" style="23" customWidth="1"/>
    <col min="14344" max="14348" width="0" style="23" hidden="1" customWidth="1"/>
    <col min="14349" max="14349" width="10.42578125" style="23" customWidth="1"/>
    <col min="14350" max="14350" width="10.28515625" style="23" customWidth="1"/>
    <col min="14351" max="14351" width="10" style="23" customWidth="1"/>
    <col min="14352" max="14352" width="11" style="23" customWidth="1"/>
    <col min="14353" max="14353" width="10.85546875" style="23" customWidth="1"/>
    <col min="14354" max="14354" width="13.42578125" style="23" customWidth="1"/>
    <col min="14355" max="14587" width="9.140625" style="23"/>
    <col min="14588" max="14589" width="0.42578125" style="23" customWidth="1"/>
    <col min="14590" max="14590" width="1.85546875" style="23" customWidth="1"/>
    <col min="14591" max="14591" width="0.85546875" style="23" customWidth="1"/>
    <col min="14592" max="14592" width="26.28515625" style="23" customWidth="1"/>
    <col min="14593" max="14593" width="10.42578125" style="23" customWidth="1"/>
    <col min="14594" max="14595" width="10.28515625" style="23" customWidth="1"/>
    <col min="14596" max="14596" width="10.85546875" style="23" customWidth="1"/>
    <col min="14597" max="14597" width="10.140625" style="23" customWidth="1"/>
    <col min="14598" max="14599" width="10.42578125" style="23" customWidth="1"/>
    <col min="14600" max="14604" width="0" style="23" hidden="1" customWidth="1"/>
    <col min="14605" max="14605" width="10.42578125" style="23" customWidth="1"/>
    <col min="14606" max="14606" width="10.28515625" style="23" customWidth="1"/>
    <col min="14607" max="14607" width="10" style="23" customWidth="1"/>
    <col min="14608" max="14608" width="11" style="23" customWidth="1"/>
    <col min="14609" max="14609" width="10.85546875" style="23" customWidth="1"/>
    <col min="14610" max="14610" width="13.42578125" style="23" customWidth="1"/>
    <col min="14611" max="14843" width="9.140625" style="23"/>
    <col min="14844" max="14845" width="0.42578125" style="23" customWidth="1"/>
    <col min="14846" max="14846" width="1.85546875" style="23" customWidth="1"/>
    <col min="14847" max="14847" width="0.85546875" style="23" customWidth="1"/>
    <col min="14848" max="14848" width="26.28515625" style="23" customWidth="1"/>
    <col min="14849" max="14849" width="10.42578125" style="23" customWidth="1"/>
    <col min="14850" max="14851" width="10.28515625" style="23" customWidth="1"/>
    <col min="14852" max="14852" width="10.85546875" style="23" customWidth="1"/>
    <col min="14853" max="14853" width="10.140625" style="23" customWidth="1"/>
    <col min="14854" max="14855" width="10.42578125" style="23" customWidth="1"/>
    <col min="14856" max="14860" width="0" style="23" hidden="1" customWidth="1"/>
    <col min="14861" max="14861" width="10.42578125" style="23" customWidth="1"/>
    <col min="14862" max="14862" width="10.28515625" style="23" customWidth="1"/>
    <col min="14863" max="14863" width="10" style="23" customWidth="1"/>
    <col min="14864" max="14864" width="11" style="23" customWidth="1"/>
    <col min="14865" max="14865" width="10.85546875" style="23" customWidth="1"/>
    <col min="14866" max="14866" width="13.42578125" style="23" customWidth="1"/>
    <col min="14867" max="15099" width="9.140625" style="23"/>
    <col min="15100" max="15101" width="0.42578125" style="23" customWidth="1"/>
    <col min="15102" max="15102" width="1.85546875" style="23" customWidth="1"/>
    <col min="15103" max="15103" width="0.85546875" style="23" customWidth="1"/>
    <col min="15104" max="15104" width="26.28515625" style="23" customWidth="1"/>
    <col min="15105" max="15105" width="10.42578125" style="23" customWidth="1"/>
    <col min="15106" max="15107" width="10.28515625" style="23" customWidth="1"/>
    <col min="15108" max="15108" width="10.85546875" style="23" customWidth="1"/>
    <col min="15109" max="15109" width="10.140625" style="23" customWidth="1"/>
    <col min="15110" max="15111" width="10.42578125" style="23" customWidth="1"/>
    <col min="15112" max="15116" width="0" style="23" hidden="1" customWidth="1"/>
    <col min="15117" max="15117" width="10.42578125" style="23" customWidth="1"/>
    <col min="15118" max="15118" width="10.28515625" style="23" customWidth="1"/>
    <col min="15119" max="15119" width="10" style="23" customWidth="1"/>
    <col min="15120" max="15120" width="11" style="23" customWidth="1"/>
    <col min="15121" max="15121" width="10.85546875" style="23" customWidth="1"/>
    <col min="15122" max="15122" width="13.42578125" style="23" customWidth="1"/>
    <col min="15123" max="15355" width="9.140625" style="23"/>
    <col min="15356" max="15357" width="0.42578125" style="23" customWidth="1"/>
    <col min="15358" max="15358" width="1.85546875" style="23" customWidth="1"/>
    <col min="15359" max="15359" width="0.85546875" style="23" customWidth="1"/>
    <col min="15360" max="15360" width="26.28515625" style="23" customWidth="1"/>
    <col min="15361" max="15361" width="10.42578125" style="23" customWidth="1"/>
    <col min="15362" max="15363" width="10.28515625" style="23" customWidth="1"/>
    <col min="15364" max="15364" width="10.85546875" style="23" customWidth="1"/>
    <col min="15365" max="15365" width="10.140625" style="23" customWidth="1"/>
    <col min="15366" max="15367" width="10.42578125" style="23" customWidth="1"/>
    <col min="15368" max="15372" width="0" style="23" hidden="1" customWidth="1"/>
    <col min="15373" max="15373" width="10.42578125" style="23" customWidth="1"/>
    <col min="15374" max="15374" width="10.28515625" style="23" customWidth="1"/>
    <col min="15375" max="15375" width="10" style="23" customWidth="1"/>
    <col min="15376" max="15376" width="11" style="23" customWidth="1"/>
    <col min="15377" max="15377" width="10.85546875" style="23" customWidth="1"/>
    <col min="15378" max="15378" width="13.42578125" style="23" customWidth="1"/>
    <col min="15379" max="15611" width="9.140625" style="23"/>
    <col min="15612" max="15613" width="0.42578125" style="23" customWidth="1"/>
    <col min="15614" max="15614" width="1.85546875" style="23" customWidth="1"/>
    <col min="15615" max="15615" width="0.85546875" style="23" customWidth="1"/>
    <col min="15616" max="15616" width="26.28515625" style="23" customWidth="1"/>
    <col min="15617" max="15617" width="10.42578125" style="23" customWidth="1"/>
    <col min="15618" max="15619" width="10.28515625" style="23" customWidth="1"/>
    <col min="15620" max="15620" width="10.85546875" style="23" customWidth="1"/>
    <col min="15621" max="15621" width="10.140625" style="23" customWidth="1"/>
    <col min="15622" max="15623" width="10.42578125" style="23" customWidth="1"/>
    <col min="15624" max="15628" width="0" style="23" hidden="1" customWidth="1"/>
    <col min="15629" max="15629" width="10.42578125" style="23" customWidth="1"/>
    <col min="15630" max="15630" width="10.28515625" style="23" customWidth="1"/>
    <col min="15631" max="15631" width="10" style="23" customWidth="1"/>
    <col min="15632" max="15632" width="11" style="23" customWidth="1"/>
    <col min="15633" max="15633" width="10.85546875" style="23" customWidth="1"/>
    <col min="15634" max="15634" width="13.42578125" style="23" customWidth="1"/>
    <col min="15635" max="15867" width="9.140625" style="23"/>
    <col min="15868" max="15869" width="0.42578125" style="23" customWidth="1"/>
    <col min="15870" max="15870" width="1.85546875" style="23" customWidth="1"/>
    <col min="15871" max="15871" width="0.85546875" style="23" customWidth="1"/>
    <col min="15872" max="15872" width="26.28515625" style="23" customWidth="1"/>
    <col min="15873" max="15873" width="10.42578125" style="23" customWidth="1"/>
    <col min="15874" max="15875" width="10.28515625" style="23" customWidth="1"/>
    <col min="15876" max="15876" width="10.85546875" style="23" customWidth="1"/>
    <col min="15877" max="15877" width="10.140625" style="23" customWidth="1"/>
    <col min="15878" max="15879" width="10.42578125" style="23" customWidth="1"/>
    <col min="15880" max="15884" width="0" style="23" hidden="1" customWidth="1"/>
    <col min="15885" max="15885" width="10.42578125" style="23" customWidth="1"/>
    <col min="15886" max="15886" width="10.28515625" style="23" customWidth="1"/>
    <col min="15887" max="15887" width="10" style="23" customWidth="1"/>
    <col min="15888" max="15888" width="11" style="23" customWidth="1"/>
    <col min="15889" max="15889" width="10.85546875" style="23" customWidth="1"/>
    <col min="15890" max="15890" width="13.42578125" style="23" customWidth="1"/>
    <col min="15891" max="16123" width="9.140625" style="23"/>
    <col min="16124" max="16125" width="0.42578125" style="23" customWidth="1"/>
    <col min="16126" max="16126" width="1.85546875" style="23" customWidth="1"/>
    <col min="16127" max="16127" width="0.85546875" style="23" customWidth="1"/>
    <col min="16128" max="16128" width="26.28515625" style="23" customWidth="1"/>
    <col min="16129" max="16129" width="10.42578125" style="23" customWidth="1"/>
    <col min="16130" max="16131" width="10.28515625" style="23" customWidth="1"/>
    <col min="16132" max="16132" width="10.85546875" style="23" customWidth="1"/>
    <col min="16133" max="16133" width="10.140625" style="23" customWidth="1"/>
    <col min="16134" max="16135" width="10.42578125" style="23" customWidth="1"/>
    <col min="16136" max="16140" width="0" style="23" hidden="1" customWidth="1"/>
    <col min="16141" max="16141" width="10.42578125" style="23" customWidth="1"/>
    <col min="16142" max="16142" width="10.28515625" style="23" customWidth="1"/>
    <col min="16143" max="16143" width="10" style="23" customWidth="1"/>
    <col min="16144" max="16144" width="11" style="23" customWidth="1"/>
    <col min="16145" max="16145" width="10.85546875" style="23" customWidth="1"/>
    <col min="16146" max="16146" width="13.42578125" style="23" customWidth="1"/>
    <col min="16147" max="16384" width="9.140625" style="23"/>
  </cols>
  <sheetData>
    <row r="1" spans="1:18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15" x14ac:dyDescent="0.25">
      <c r="A2" s="96" t="s">
        <v>220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8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8" ht="23.25" customHeight="1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8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8" ht="15" x14ac:dyDescent="0.25">
      <c r="A7" s="27" t="s">
        <v>57</v>
      </c>
      <c r="B7" s="27"/>
      <c r="C7" s="27"/>
      <c r="D7" s="27"/>
      <c r="E7" s="27"/>
      <c r="F7" s="6">
        <f t="shared" ref="F7:Q7" si="0">+F9+F63</f>
        <v>2191471.8429999994</v>
      </c>
      <c r="G7" s="6">
        <f t="shared" si="0"/>
        <v>2214536.0939999996</v>
      </c>
      <c r="H7" s="6">
        <f t="shared" si="0"/>
        <v>2227354.5609999998</v>
      </c>
      <c r="I7" s="6">
        <f t="shared" si="0"/>
        <v>2230974.8560000001</v>
      </c>
      <c r="J7" s="6">
        <f t="shared" si="0"/>
        <v>2197693.2066000002</v>
      </c>
      <c r="K7" s="6">
        <f t="shared" si="0"/>
        <v>2168342.2209999999</v>
      </c>
      <c r="L7" s="6">
        <f t="shared" si="0"/>
        <v>2164744.929</v>
      </c>
      <c r="M7" s="6">
        <f t="shared" si="0"/>
        <v>2209636.8855000003</v>
      </c>
      <c r="N7" s="6">
        <f t="shared" si="0"/>
        <v>2248439.5369999995</v>
      </c>
      <c r="O7" s="6">
        <f t="shared" si="0"/>
        <v>2251681.0885999999</v>
      </c>
      <c r="P7" s="6">
        <f t="shared" si="0"/>
        <v>2223997.4460000005</v>
      </c>
      <c r="Q7" s="6">
        <f t="shared" si="0"/>
        <v>2243625.645</v>
      </c>
    </row>
    <row r="8" spans="1:18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8" ht="15" x14ac:dyDescent="0.25">
      <c r="B9" s="27" t="s">
        <v>51</v>
      </c>
      <c r="C9" s="27"/>
      <c r="D9" s="27"/>
      <c r="E9" s="27"/>
      <c r="F9" s="8">
        <f t="shared" ref="F9:Q9" si="1">+F10+F28+F45+F50+F57+F59+F61</f>
        <v>2119515.6509999996</v>
      </c>
      <c r="G9" s="8">
        <f t="shared" si="1"/>
        <v>2142585.8049999997</v>
      </c>
      <c r="H9" s="8">
        <f t="shared" si="1"/>
        <v>2155409.3669999996</v>
      </c>
      <c r="I9" s="8">
        <f t="shared" si="1"/>
        <v>2159106.531</v>
      </c>
      <c r="J9" s="8">
        <f t="shared" si="1"/>
        <v>2125829.7156000002</v>
      </c>
      <c r="K9" s="8">
        <f t="shared" si="1"/>
        <v>2096484.3529999999</v>
      </c>
      <c r="L9" s="8">
        <f t="shared" si="1"/>
        <v>2092890.1510000001</v>
      </c>
      <c r="M9" s="8">
        <f t="shared" si="1"/>
        <v>2144786.0075000003</v>
      </c>
      <c r="N9" s="8">
        <f t="shared" si="1"/>
        <v>2183593.7759999996</v>
      </c>
      <c r="O9" s="8">
        <f t="shared" si="1"/>
        <v>2186842.2936</v>
      </c>
      <c r="P9" s="8">
        <f t="shared" si="1"/>
        <v>2159162.5280000004</v>
      </c>
      <c r="Q9" s="8">
        <f t="shared" si="1"/>
        <v>2178793.645</v>
      </c>
      <c r="R9" s="8"/>
    </row>
    <row r="10" spans="1:18" ht="15" x14ac:dyDescent="0.25">
      <c r="B10" s="27"/>
      <c r="C10" s="27" t="s">
        <v>24</v>
      </c>
      <c r="D10" s="27"/>
      <c r="E10" s="27" t="s">
        <v>55</v>
      </c>
      <c r="F10" s="8">
        <f t="shared" ref="F10:Q10" si="2">+F11+F17</f>
        <v>1509458.5639999998</v>
      </c>
      <c r="G10" s="8">
        <f t="shared" si="2"/>
        <v>1421837.7119999998</v>
      </c>
      <c r="H10" s="8">
        <f t="shared" si="2"/>
        <v>1397710.9539999999</v>
      </c>
      <c r="I10" s="8">
        <f t="shared" si="2"/>
        <v>1377395.936</v>
      </c>
      <c r="J10" s="8">
        <f t="shared" si="2"/>
        <v>1331996.4665999999</v>
      </c>
      <c r="K10" s="8">
        <f t="shared" si="2"/>
        <v>1323689.436</v>
      </c>
      <c r="L10" s="8">
        <f t="shared" si="2"/>
        <v>1322342.963</v>
      </c>
      <c r="M10" s="8">
        <f t="shared" si="2"/>
        <v>1317667.7320000001</v>
      </c>
      <c r="N10" s="8">
        <f t="shared" si="2"/>
        <v>1356406.6609999998</v>
      </c>
      <c r="O10" s="8">
        <f t="shared" si="2"/>
        <v>1359688.5186000001</v>
      </c>
      <c r="P10" s="8">
        <f t="shared" si="2"/>
        <v>1337292.6570000001</v>
      </c>
      <c r="Q10" s="8">
        <f t="shared" si="2"/>
        <v>1356962.0469999998</v>
      </c>
    </row>
    <row r="11" spans="1:18" ht="15" x14ac:dyDescent="0.25">
      <c r="B11" s="29"/>
      <c r="C11" s="29"/>
      <c r="D11" s="29" t="s">
        <v>52</v>
      </c>
      <c r="E11" s="29"/>
      <c r="F11" s="8">
        <f t="shared" ref="F11:Q11" si="3">SUM(F13:F16)</f>
        <v>649139.6</v>
      </c>
      <c r="G11" s="8">
        <f t="shared" si="3"/>
        <v>635870.69999999995</v>
      </c>
      <c r="H11" s="8">
        <f t="shared" si="3"/>
        <v>628136.89999999991</v>
      </c>
      <c r="I11" s="8">
        <f t="shared" si="3"/>
        <v>616115.30000000005</v>
      </c>
      <c r="J11" s="8">
        <f t="shared" si="3"/>
        <v>587854</v>
      </c>
      <c r="K11" s="8">
        <f t="shared" si="3"/>
        <v>581358</v>
      </c>
      <c r="L11" s="8">
        <f t="shared" si="3"/>
        <v>595086.4</v>
      </c>
      <c r="M11" s="8">
        <f t="shared" si="3"/>
        <v>594567.30000000005</v>
      </c>
      <c r="N11" s="8">
        <f t="shared" si="3"/>
        <v>618570.19999999995</v>
      </c>
      <c r="O11" s="8">
        <f t="shared" si="3"/>
        <v>611192.80000000005</v>
      </c>
      <c r="P11" s="8">
        <f t="shared" si="3"/>
        <v>598768</v>
      </c>
      <c r="Q11" s="8">
        <f t="shared" si="3"/>
        <v>614124.6</v>
      </c>
    </row>
    <row r="12" spans="1:18" ht="15" x14ac:dyDescent="0.25">
      <c r="A12" s="29"/>
      <c r="B12" s="29"/>
      <c r="C12" s="29"/>
      <c r="D12" s="29"/>
      <c r="E12" s="2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8" x14ac:dyDescent="0.2">
      <c r="E13" s="23" t="s">
        <v>12</v>
      </c>
      <c r="F13" s="30">
        <v>102584.5</v>
      </c>
      <c r="G13" s="30">
        <v>112992</v>
      </c>
      <c r="H13" s="30">
        <v>129816.8</v>
      </c>
      <c r="I13" s="30">
        <v>126812</v>
      </c>
      <c r="J13" s="30">
        <v>140366.20000000001</v>
      </c>
      <c r="K13" s="30">
        <v>135890.4</v>
      </c>
      <c r="L13" s="30">
        <v>149505.1</v>
      </c>
      <c r="M13" s="30">
        <v>139447.70000000001</v>
      </c>
      <c r="N13" s="30">
        <v>142592.29999999999</v>
      </c>
      <c r="O13" s="30">
        <v>133470.79999999999</v>
      </c>
      <c r="P13" s="30">
        <v>127029.7</v>
      </c>
      <c r="Q13" s="30">
        <v>124050.5</v>
      </c>
    </row>
    <row r="14" spans="1:18" x14ac:dyDescent="0.2">
      <c r="E14" s="23" t="s">
        <v>44</v>
      </c>
      <c r="F14" s="30">
        <v>152492.29999999999</v>
      </c>
      <c r="G14" s="30">
        <v>144739</v>
      </c>
      <c r="H14" s="30">
        <v>127105.5</v>
      </c>
      <c r="I14" s="30">
        <v>127491.9</v>
      </c>
      <c r="J14" s="30">
        <v>99574.6</v>
      </c>
      <c r="K14" s="30">
        <v>99579.5</v>
      </c>
      <c r="L14" s="30">
        <v>98783.1</v>
      </c>
      <c r="M14" s="30">
        <v>97239.4</v>
      </c>
      <c r="N14" s="30">
        <v>100034.9</v>
      </c>
      <c r="O14" s="30">
        <v>91532.6</v>
      </c>
      <c r="P14" s="30">
        <v>91923.7</v>
      </c>
      <c r="Q14" s="30">
        <v>94507.4</v>
      </c>
    </row>
    <row r="15" spans="1:18" x14ac:dyDescent="0.2">
      <c r="E15" s="23" t="s">
        <v>45</v>
      </c>
      <c r="F15" s="30">
        <v>394062.8</v>
      </c>
      <c r="G15" s="30">
        <v>378139.7</v>
      </c>
      <c r="H15" s="30">
        <v>371214.6</v>
      </c>
      <c r="I15" s="30">
        <v>361811.4</v>
      </c>
      <c r="J15" s="30">
        <v>347913.2</v>
      </c>
      <c r="K15" s="30">
        <v>345888.1</v>
      </c>
      <c r="L15" s="30">
        <v>346798.2</v>
      </c>
      <c r="M15" s="30">
        <v>357880.2</v>
      </c>
      <c r="N15" s="30">
        <v>375943</v>
      </c>
      <c r="O15" s="30">
        <v>386189.4</v>
      </c>
      <c r="P15" s="30">
        <v>379814.6</v>
      </c>
      <c r="Q15" s="30">
        <v>395566.7</v>
      </c>
    </row>
    <row r="16" spans="1:18" x14ac:dyDescent="0.2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x14ac:dyDescent="0.25">
      <c r="B17" s="29"/>
      <c r="C17" s="29"/>
      <c r="D17" s="29" t="s">
        <v>50</v>
      </c>
      <c r="E17" s="29"/>
      <c r="F17" s="8">
        <f t="shared" ref="F17:Q17" si="4">SUM(F18:F26)</f>
        <v>860318.96399999992</v>
      </c>
      <c r="G17" s="8">
        <f t="shared" si="4"/>
        <v>785967.01199999999</v>
      </c>
      <c r="H17" s="8">
        <f t="shared" si="4"/>
        <v>769574.054</v>
      </c>
      <c r="I17" s="8">
        <f t="shared" si="4"/>
        <v>761280.63599999994</v>
      </c>
      <c r="J17" s="8">
        <f t="shared" si="4"/>
        <v>744142.46659999993</v>
      </c>
      <c r="K17" s="8">
        <f t="shared" si="4"/>
        <v>742331.43599999999</v>
      </c>
      <c r="L17" s="8">
        <f t="shared" si="4"/>
        <v>727256.56300000008</v>
      </c>
      <c r="M17" s="8">
        <f t="shared" si="4"/>
        <v>723100.43200000003</v>
      </c>
      <c r="N17" s="8">
        <f t="shared" si="4"/>
        <v>737836.46100000001</v>
      </c>
      <c r="O17" s="8">
        <f t="shared" si="4"/>
        <v>748495.71859999991</v>
      </c>
      <c r="P17" s="8">
        <f t="shared" si="4"/>
        <v>738524.65700000001</v>
      </c>
      <c r="Q17" s="8">
        <f t="shared" si="4"/>
        <v>742837.44699999993</v>
      </c>
    </row>
    <row r="18" spans="1:17" x14ac:dyDescent="0.2">
      <c r="E18" s="23" t="s">
        <v>13</v>
      </c>
      <c r="F18" s="30">
        <v>39357.599999999999</v>
      </c>
      <c r="G18" s="30">
        <v>21821.420999999998</v>
      </c>
      <c r="H18" s="30">
        <v>21821.420999999998</v>
      </c>
      <c r="I18" s="30">
        <v>21821.420999999998</v>
      </c>
      <c r="J18" s="30">
        <v>21821.420999999998</v>
      </c>
      <c r="K18" s="30">
        <v>21821.420999999998</v>
      </c>
      <c r="L18" s="30">
        <v>21821.420999999998</v>
      </c>
      <c r="M18" s="30">
        <v>21821.420999999998</v>
      </c>
      <c r="N18" s="30">
        <v>21821.420999999998</v>
      </c>
      <c r="O18" s="30">
        <v>21821.420999999998</v>
      </c>
      <c r="P18" s="30">
        <v>21821.420999999998</v>
      </c>
      <c r="Q18" s="30">
        <v>21821.420999999998</v>
      </c>
    </row>
    <row r="19" spans="1:17" x14ac:dyDescent="0.2">
      <c r="E19" s="23" t="s">
        <v>22</v>
      </c>
      <c r="F19" s="30">
        <v>71765.153000000006</v>
      </c>
      <c r="G19" s="30">
        <v>66988.722999999998</v>
      </c>
      <c r="H19" s="30">
        <v>52948.538999999997</v>
      </c>
      <c r="I19" s="30">
        <v>52948.538999999997</v>
      </c>
      <c r="J19" s="30">
        <v>52948.539599999996</v>
      </c>
      <c r="K19" s="30">
        <v>52948.538999999997</v>
      </c>
      <c r="L19" s="30">
        <v>52948.538999999997</v>
      </c>
      <c r="M19" s="30">
        <v>52948.538999999997</v>
      </c>
      <c r="N19" s="30">
        <v>52948.538999999997</v>
      </c>
      <c r="O19" s="30">
        <v>52948.539599999996</v>
      </c>
      <c r="P19" s="30">
        <v>40171.902000000002</v>
      </c>
      <c r="Q19" s="30">
        <v>40171.902000000002</v>
      </c>
    </row>
    <row r="20" spans="1:17" x14ac:dyDescent="0.2">
      <c r="E20" s="23" t="s">
        <v>23</v>
      </c>
      <c r="F20" s="30">
        <v>153564.04699999999</v>
      </c>
      <c r="G20" s="30">
        <v>143832.15599999999</v>
      </c>
      <c r="H20" s="30">
        <v>143832.15599999999</v>
      </c>
      <c r="I20" s="30">
        <v>143832.15599999999</v>
      </c>
      <c r="J20" s="30">
        <v>131102.39600000001</v>
      </c>
      <c r="K20" s="30">
        <v>131102.39600000001</v>
      </c>
      <c r="L20" s="30">
        <v>131102.39600000001</v>
      </c>
      <c r="M20" s="30">
        <v>125458.257</v>
      </c>
      <c r="N20" s="30">
        <v>125458.257</v>
      </c>
      <c r="O20" s="30">
        <v>125458.257</v>
      </c>
      <c r="P20" s="30">
        <v>117604.539</v>
      </c>
      <c r="Q20" s="30">
        <v>124815.439</v>
      </c>
    </row>
    <row r="21" spans="1:17" x14ac:dyDescent="0.2">
      <c r="E21" s="23" t="s">
        <v>14</v>
      </c>
      <c r="F21" s="30">
        <v>188123.682</v>
      </c>
      <c r="G21" s="30">
        <v>161559.38699999999</v>
      </c>
      <c r="H21" s="30">
        <v>161559.38699999999</v>
      </c>
      <c r="I21" s="30">
        <v>155447.76699999999</v>
      </c>
      <c r="J21" s="30">
        <v>155447.76699999999</v>
      </c>
      <c r="K21" s="30">
        <v>155447.76699999999</v>
      </c>
      <c r="L21" s="30">
        <v>141027.70499999999</v>
      </c>
      <c r="M21" s="30">
        <v>141027.70499999999</v>
      </c>
      <c r="N21" s="30">
        <v>141027.70499999999</v>
      </c>
      <c r="O21" s="30">
        <v>133786.86199999999</v>
      </c>
      <c r="P21" s="30">
        <v>133786.86199999999</v>
      </c>
      <c r="Q21" s="30">
        <v>133786.86199999999</v>
      </c>
    </row>
    <row r="22" spans="1:17" x14ac:dyDescent="0.2">
      <c r="E22" s="23" t="s">
        <v>15</v>
      </c>
      <c r="F22" s="30">
        <v>126764.41800000001</v>
      </c>
      <c r="G22" s="30">
        <v>116994.023</v>
      </c>
      <c r="H22" s="30">
        <v>114641.299</v>
      </c>
      <c r="I22" s="30">
        <v>112459.451</v>
      </c>
      <c r="J22" s="30">
        <v>110282.08100000001</v>
      </c>
      <c r="K22" s="30">
        <v>108471.001</v>
      </c>
      <c r="L22" s="30">
        <v>107816.19</v>
      </c>
      <c r="M22" s="30">
        <v>104879.348</v>
      </c>
      <c r="N22" s="30">
        <v>110154.177</v>
      </c>
      <c r="O22" s="30">
        <v>118472.077</v>
      </c>
      <c r="P22" s="30">
        <v>124630.477</v>
      </c>
      <c r="Q22" s="30">
        <v>121312.367</v>
      </c>
    </row>
    <row r="23" spans="1:17" x14ac:dyDescent="0.2">
      <c r="E23" s="23" t="s">
        <v>20</v>
      </c>
      <c r="F23" s="30">
        <v>175327.70300000001</v>
      </c>
      <c r="G23" s="30">
        <v>169354.94099999999</v>
      </c>
      <c r="H23" s="30">
        <v>169354.94099999999</v>
      </c>
      <c r="I23" s="30">
        <v>169354.94099999999</v>
      </c>
      <c r="J23" s="30">
        <v>167123.951</v>
      </c>
      <c r="K23" s="30">
        <v>167123.951</v>
      </c>
      <c r="L23" s="30">
        <v>167123.951</v>
      </c>
      <c r="M23" s="30">
        <v>171548.851</v>
      </c>
      <c r="N23" s="30">
        <v>173076.05100000001</v>
      </c>
      <c r="O23" s="30">
        <v>181717.65100000001</v>
      </c>
      <c r="P23" s="30">
        <v>175048.845</v>
      </c>
      <c r="Q23" s="30">
        <v>175073.64499999999</v>
      </c>
    </row>
    <row r="24" spans="1:17" x14ac:dyDescent="0.2">
      <c r="E24" s="23" t="s">
        <v>46</v>
      </c>
      <c r="F24" s="30">
        <v>75675.210999999996</v>
      </c>
      <c r="G24" s="30">
        <v>75675.210999999996</v>
      </c>
      <c r="H24" s="30">
        <v>75675.210999999996</v>
      </c>
      <c r="I24" s="30">
        <v>75675.210999999996</v>
      </c>
      <c r="J24" s="30">
        <v>75675.210999999996</v>
      </c>
      <c r="K24" s="30">
        <v>75675.210999999996</v>
      </c>
      <c r="L24" s="30">
        <v>75675.210999999996</v>
      </c>
      <c r="M24" s="30">
        <v>75675.210999999996</v>
      </c>
      <c r="N24" s="30">
        <v>83609.210999999996</v>
      </c>
      <c r="O24" s="30">
        <v>84549.811000000002</v>
      </c>
      <c r="P24" s="30">
        <v>84655.510999999999</v>
      </c>
      <c r="Q24" s="30">
        <v>84655.510999999999</v>
      </c>
    </row>
    <row r="25" spans="1:17" x14ac:dyDescent="0.2">
      <c r="E25" s="23" t="s">
        <v>47</v>
      </c>
      <c r="F25" s="30">
        <v>29644.1</v>
      </c>
      <c r="G25" s="30">
        <v>29644.1</v>
      </c>
      <c r="H25" s="30">
        <v>29644.1</v>
      </c>
      <c r="I25" s="30">
        <v>29644.1</v>
      </c>
      <c r="J25" s="30">
        <v>29644.1</v>
      </c>
      <c r="K25" s="30">
        <v>29644.1</v>
      </c>
      <c r="L25" s="30">
        <v>29644.1</v>
      </c>
      <c r="M25" s="30">
        <v>29644.1</v>
      </c>
      <c r="N25" s="30">
        <v>29644.1</v>
      </c>
      <c r="O25" s="30">
        <v>29644.1</v>
      </c>
      <c r="P25" s="30">
        <v>40708.1</v>
      </c>
      <c r="Q25" s="30">
        <v>41103.300000000003</v>
      </c>
    </row>
    <row r="26" spans="1:17" x14ac:dyDescent="0.2">
      <c r="E26" s="23" t="s">
        <v>53</v>
      </c>
      <c r="F26" s="30">
        <v>97.05</v>
      </c>
      <c r="G26" s="30">
        <v>97.05</v>
      </c>
      <c r="H26" s="30">
        <v>97</v>
      </c>
      <c r="I26" s="30">
        <v>97.05</v>
      </c>
      <c r="J26" s="30">
        <v>97</v>
      </c>
      <c r="K26" s="30">
        <v>97.05</v>
      </c>
      <c r="L26" s="30">
        <v>97.05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8" spans="1:17" ht="15" x14ac:dyDescent="0.25">
      <c r="B28" s="29"/>
      <c r="C28" s="29" t="s">
        <v>222</v>
      </c>
      <c r="D28" s="29"/>
      <c r="E28" s="29"/>
      <c r="F28" s="8">
        <f>+F29+F34+F39+F41</f>
        <v>219371.78499999997</v>
      </c>
      <c r="G28" s="8">
        <f t="shared" ref="G28:Q28" si="5">+G29+G34+G39+G41</f>
        <v>212476.329</v>
      </c>
      <c r="H28" s="8">
        <f t="shared" si="5"/>
        <v>212476.329</v>
      </c>
      <c r="I28" s="8">
        <f t="shared" si="5"/>
        <v>212476.329</v>
      </c>
      <c r="J28" s="8">
        <f t="shared" si="5"/>
        <v>212476.329</v>
      </c>
      <c r="K28" s="8">
        <f t="shared" si="5"/>
        <v>175371.91699999999</v>
      </c>
      <c r="L28" s="8">
        <f t="shared" si="5"/>
        <v>153756.08299999998</v>
      </c>
      <c r="M28" s="8">
        <f t="shared" si="5"/>
        <v>231409.88799999998</v>
      </c>
      <c r="N28" s="8">
        <f t="shared" si="5"/>
        <v>231409.88799999998</v>
      </c>
      <c r="O28" s="8">
        <f t="shared" si="5"/>
        <v>231409.88799999998</v>
      </c>
      <c r="P28" s="8">
        <f t="shared" si="5"/>
        <v>226119.88799999998</v>
      </c>
      <c r="Q28" s="8">
        <f t="shared" si="5"/>
        <v>226119.88799999998</v>
      </c>
    </row>
    <row r="29" spans="1:17" ht="15" x14ac:dyDescent="0.25">
      <c r="B29" s="29"/>
      <c r="C29" s="29"/>
      <c r="D29" s="29" t="s">
        <v>34</v>
      </c>
      <c r="E29" s="29"/>
      <c r="F29" s="8">
        <f t="shared" ref="F29:Q29" si="6">SUM(F31:F32)</f>
        <v>161966.16999999998</v>
      </c>
      <c r="G29" s="8">
        <f t="shared" si="6"/>
        <v>155070.71400000001</v>
      </c>
      <c r="H29" s="8">
        <f t="shared" si="6"/>
        <v>155070.71400000001</v>
      </c>
      <c r="I29" s="8">
        <f t="shared" si="6"/>
        <v>155070.71400000001</v>
      </c>
      <c r="J29" s="8">
        <f t="shared" si="6"/>
        <v>155070.71400000001</v>
      </c>
      <c r="K29" s="8">
        <f t="shared" si="6"/>
        <v>117966.302</v>
      </c>
      <c r="L29" s="8">
        <f t="shared" si="6"/>
        <v>96350.467999999993</v>
      </c>
      <c r="M29" s="8">
        <f t="shared" si="6"/>
        <v>174004.27299999999</v>
      </c>
      <c r="N29" s="8">
        <f t="shared" si="6"/>
        <v>174004.27299999999</v>
      </c>
      <c r="O29" s="8">
        <f t="shared" si="6"/>
        <v>174004.27299999999</v>
      </c>
      <c r="P29" s="8">
        <f t="shared" si="6"/>
        <v>174004.27299999999</v>
      </c>
      <c r="Q29" s="8">
        <f t="shared" si="6"/>
        <v>174004.27299999999</v>
      </c>
    </row>
    <row r="30" spans="1:17" ht="15" x14ac:dyDescent="0.25">
      <c r="A30" s="29"/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">
      <c r="E31" s="23" t="s">
        <v>28</v>
      </c>
      <c r="F31" s="30">
        <v>22218.67</v>
      </c>
      <c r="G31" s="30">
        <v>21615.833999999999</v>
      </c>
      <c r="H31" s="30">
        <v>21615.833999999999</v>
      </c>
      <c r="I31" s="30">
        <v>21615.833999999999</v>
      </c>
      <c r="J31" s="30">
        <v>21615.833999999999</v>
      </c>
      <c r="K31" s="30">
        <v>21615.833999999999</v>
      </c>
      <c r="L31" s="30">
        <v>0</v>
      </c>
      <c r="M31" s="30">
        <v>40981.735000000001</v>
      </c>
      <c r="N31" s="30">
        <v>40981.735000000001</v>
      </c>
      <c r="O31" s="30">
        <v>40981.735000000001</v>
      </c>
      <c r="P31" s="30">
        <v>40981.735000000001</v>
      </c>
      <c r="Q31" s="30">
        <v>40981.735000000001</v>
      </c>
    </row>
    <row r="32" spans="1:17" x14ac:dyDescent="0.2">
      <c r="E32" s="23" t="s">
        <v>27</v>
      </c>
      <c r="F32" s="30">
        <v>139747.5</v>
      </c>
      <c r="G32" s="30">
        <v>133454.88</v>
      </c>
      <c r="H32" s="30">
        <v>133454.88</v>
      </c>
      <c r="I32" s="30">
        <v>133454.88</v>
      </c>
      <c r="J32" s="30">
        <v>133454.88</v>
      </c>
      <c r="K32" s="30">
        <v>96350.467999999993</v>
      </c>
      <c r="L32" s="30">
        <v>96350.467999999993</v>
      </c>
      <c r="M32" s="30">
        <v>133022.538</v>
      </c>
      <c r="N32" s="30">
        <v>133022.538</v>
      </c>
      <c r="O32" s="30">
        <v>133022.538</v>
      </c>
      <c r="P32" s="30">
        <v>133022.538</v>
      </c>
      <c r="Q32" s="30">
        <v>133022.538</v>
      </c>
    </row>
    <row r="33" spans="1:17" x14ac:dyDescent="0.2"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5" x14ac:dyDescent="0.25">
      <c r="C34" s="29"/>
      <c r="D34" s="29" t="s">
        <v>35</v>
      </c>
      <c r="E34" s="29"/>
      <c r="F34" s="8">
        <f t="shared" ref="F34:Q34" si="7">SUM(F36:F37)</f>
        <v>37360</v>
      </c>
      <c r="G34" s="8">
        <f t="shared" si="7"/>
        <v>37360</v>
      </c>
      <c r="H34" s="8">
        <f t="shared" si="7"/>
        <v>37360</v>
      </c>
      <c r="I34" s="8">
        <f t="shared" si="7"/>
        <v>37360</v>
      </c>
      <c r="J34" s="8">
        <f t="shared" si="7"/>
        <v>37360</v>
      </c>
      <c r="K34" s="8">
        <f t="shared" si="7"/>
        <v>37360</v>
      </c>
      <c r="L34" s="8">
        <f t="shared" si="7"/>
        <v>37360</v>
      </c>
      <c r="M34" s="8">
        <f t="shared" si="7"/>
        <v>37360</v>
      </c>
      <c r="N34" s="8">
        <f t="shared" si="7"/>
        <v>37360</v>
      </c>
      <c r="O34" s="8">
        <f t="shared" si="7"/>
        <v>37360</v>
      </c>
      <c r="P34" s="8">
        <f t="shared" si="7"/>
        <v>32070</v>
      </c>
      <c r="Q34" s="8">
        <f t="shared" si="7"/>
        <v>32070</v>
      </c>
    </row>
    <row r="35" spans="1:17" ht="15" x14ac:dyDescent="0.25">
      <c r="A35" s="29"/>
      <c r="B35" s="29"/>
      <c r="C35" s="29"/>
      <c r="D35" s="29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x14ac:dyDescent="0.2">
      <c r="E36" s="23" t="s">
        <v>27</v>
      </c>
      <c r="F36" s="30">
        <v>30660</v>
      </c>
      <c r="G36" s="30">
        <v>30660</v>
      </c>
      <c r="H36" s="30">
        <v>30660</v>
      </c>
      <c r="I36" s="30">
        <v>30660</v>
      </c>
      <c r="J36" s="30">
        <v>30660</v>
      </c>
      <c r="K36" s="30">
        <v>30660</v>
      </c>
      <c r="L36" s="30">
        <v>30660</v>
      </c>
      <c r="M36" s="30">
        <v>30660</v>
      </c>
      <c r="N36" s="30">
        <v>30660</v>
      </c>
      <c r="O36" s="30">
        <v>30660</v>
      </c>
      <c r="P36" s="30">
        <v>25370</v>
      </c>
      <c r="Q36" s="30">
        <v>25370</v>
      </c>
    </row>
    <row r="37" spans="1:17" x14ac:dyDescent="0.2">
      <c r="E37" s="23" t="s">
        <v>26</v>
      </c>
      <c r="F37" s="30">
        <v>6700</v>
      </c>
      <c r="G37" s="30">
        <v>6700</v>
      </c>
      <c r="H37" s="30">
        <v>6700</v>
      </c>
      <c r="I37" s="30">
        <v>6700</v>
      </c>
      <c r="J37" s="30">
        <v>6700</v>
      </c>
      <c r="K37" s="30">
        <v>6700</v>
      </c>
      <c r="L37" s="30">
        <v>6700</v>
      </c>
      <c r="M37" s="30">
        <v>6700</v>
      </c>
      <c r="N37" s="30">
        <v>6700</v>
      </c>
      <c r="O37" s="30">
        <v>6700</v>
      </c>
      <c r="P37" s="30">
        <v>6700</v>
      </c>
      <c r="Q37" s="30">
        <v>6700</v>
      </c>
    </row>
    <row r="38" spans="1:17" x14ac:dyDescent="0.2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15" x14ac:dyDescent="0.25">
      <c r="B39" s="29"/>
      <c r="C39" s="29"/>
      <c r="D39" s="29" t="s">
        <v>176</v>
      </c>
      <c r="E39" s="29"/>
      <c r="F39" s="28">
        <v>16157.615</v>
      </c>
      <c r="G39" s="28">
        <v>16157.615</v>
      </c>
      <c r="H39" s="28">
        <v>16157.615</v>
      </c>
      <c r="I39" s="28">
        <v>16157.615</v>
      </c>
      <c r="J39" s="28">
        <v>16157.615</v>
      </c>
      <c r="K39" s="28">
        <v>16157.615</v>
      </c>
      <c r="L39" s="28">
        <v>16157.615</v>
      </c>
      <c r="M39" s="28">
        <v>16157.615</v>
      </c>
      <c r="N39" s="28">
        <v>16157.615</v>
      </c>
      <c r="O39" s="28">
        <v>16157.615</v>
      </c>
      <c r="P39" s="28">
        <v>16157.615</v>
      </c>
      <c r="Q39" s="28">
        <v>16157.615</v>
      </c>
    </row>
    <row r="40" spans="1:17" x14ac:dyDescent="0.2"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ht="15" x14ac:dyDescent="0.25">
      <c r="B41" s="29"/>
      <c r="C41" s="29"/>
      <c r="D41" s="29" t="s">
        <v>177</v>
      </c>
      <c r="E41" s="29"/>
      <c r="F41" s="8">
        <f t="shared" ref="F41:Q41" si="8">SUM(F43)</f>
        <v>3888</v>
      </c>
      <c r="G41" s="8">
        <f t="shared" si="8"/>
        <v>3888</v>
      </c>
      <c r="H41" s="8">
        <f t="shared" si="8"/>
        <v>3888</v>
      </c>
      <c r="I41" s="8">
        <f t="shared" si="8"/>
        <v>3888</v>
      </c>
      <c r="J41" s="8">
        <f t="shared" si="8"/>
        <v>3888</v>
      </c>
      <c r="K41" s="8">
        <f t="shared" si="8"/>
        <v>3888</v>
      </c>
      <c r="L41" s="8">
        <f t="shared" si="8"/>
        <v>3888</v>
      </c>
      <c r="M41" s="8">
        <f t="shared" si="8"/>
        <v>3888</v>
      </c>
      <c r="N41" s="8">
        <f t="shared" si="8"/>
        <v>3888</v>
      </c>
      <c r="O41" s="8">
        <f t="shared" si="8"/>
        <v>3888</v>
      </c>
      <c r="P41" s="8">
        <f t="shared" si="8"/>
        <v>3888</v>
      </c>
      <c r="Q41" s="8">
        <f t="shared" si="8"/>
        <v>3888</v>
      </c>
    </row>
    <row r="42" spans="1:17" ht="7.5" customHeight="1" x14ac:dyDescent="0.25">
      <c r="B42" s="29"/>
      <c r="C42" s="29"/>
      <c r="D42" s="29"/>
      <c r="E42" s="29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1:17" ht="15" x14ac:dyDescent="0.25">
      <c r="B43" s="29"/>
      <c r="C43" s="29"/>
      <c r="D43" s="29"/>
      <c r="E43" s="23" t="s">
        <v>28</v>
      </c>
      <c r="F43" s="28">
        <v>3888</v>
      </c>
      <c r="G43" s="28">
        <v>3888</v>
      </c>
      <c r="H43" s="28">
        <v>3888</v>
      </c>
      <c r="I43" s="28">
        <v>3888</v>
      </c>
      <c r="J43" s="28">
        <v>3888</v>
      </c>
      <c r="K43" s="28">
        <v>3888</v>
      </c>
      <c r="L43" s="28">
        <v>3888</v>
      </c>
      <c r="M43" s="28">
        <v>3888</v>
      </c>
      <c r="N43" s="28">
        <v>3888</v>
      </c>
      <c r="O43" s="28">
        <v>3888</v>
      </c>
      <c r="P43" s="28">
        <v>3888</v>
      </c>
      <c r="Q43" s="28">
        <v>3888</v>
      </c>
    </row>
    <row r="44" spans="1:17" ht="15" x14ac:dyDescent="0.25">
      <c r="B44" s="29"/>
      <c r="C44" s="29"/>
      <c r="D44" s="2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1:17" ht="15" x14ac:dyDescent="0.25">
      <c r="C45" s="31" t="s">
        <v>31</v>
      </c>
      <c r="D45" s="29" t="s">
        <v>206</v>
      </c>
      <c r="E45" s="29"/>
      <c r="F45" s="8">
        <f t="shared" ref="F45:Q45" si="9">SUM(F46:F48)</f>
        <v>67988</v>
      </c>
      <c r="G45" s="8">
        <f t="shared" si="9"/>
        <v>67988</v>
      </c>
      <c r="H45" s="8">
        <f t="shared" si="9"/>
        <v>67988</v>
      </c>
      <c r="I45" s="8">
        <f t="shared" si="9"/>
        <v>67988</v>
      </c>
      <c r="J45" s="8">
        <f t="shared" si="9"/>
        <v>67988</v>
      </c>
      <c r="K45" s="8">
        <f t="shared" si="9"/>
        <v>67988</v>
      </c>
      <c r="L45" s="8">
        <f t="shared" si="9"/>
        <v>67988</v>
      </c>
      <c r="M45" s="8">
        <f t="shared" si="9"/>
        <v>67988</v>
      </c>
      <c r="N45" s="8">
        <f t="shared" si="9"/>
        <v>67988</v>
      </c>
      <c r="O45" s="8">
        <f t="shared" si="9"/>
        <v>67988</v>
      </c>
      <c r="P45" s="8">
        <f t="shared" si="9"/>
        <v>67988</v>
      </c>
      <c r="Q45" s="8">
        <f t="shared" si="9"/>
        <v>67988</v>
      </c>
    </row>
    <row r="46" spans="1:17" ht="15" x14ac:dyDescent="0.25">
      <c r="C46" s="31"/>
      <c r="D46" s="29"/>
      <c r="E46" s="23" t="s">
        <v>39</v>
      </c>
      <c r="F46" s="30">
        <v>7662.5</v>
      </c>
      <c r="G46" s="30">
        <v>7662.5</v>
      </c>
      <c r="H46" s="30">
        <v>7662.5</v>
      </c>
      <c r="I46" s="30">
        <v>7662.5</v>
      </c>
      <c r="J46" s="30">
        <v>7662.5</v>
      </c>
      <c r="K46" s="30">
        <v>7662.5</v>
      </c>
      <c r="L46" s="30">
        <v>7662.5</v>
      </c>
      <c r="M46" s="30">
        <v>7662.5</v>
      </c>
      <c r="N46" s="30">
        <v>7662.5</v>
      </c>
      <c r="O46" s="30">
        <v>7662.5</v>
      </c>
      <c r="P46" s="30">
        <v>7662.5</v>
      </c>
      <c r="Q46" s="30">
        <v>7662.5</v>
      </c>
    </row>
    <row r="47" spans="1:17" ht="15" x14ac:dyDescent="0.25">
      <c r="C47" s="31"/>
      <c r="D47" s="29"/>
      <c r="E47" s="23" t="s">
        <v>40</v>
      </c>
      <c r="F47" s="30">
        <v>25325.5</v>
      </c>
      <c r="G47" s="30">
        <v>25325.5</v>
      </c>
      <c r="H47" s="30">
        <v>25325.5</v>
      </c>
      <c r="I47" s="30">
        <v>25325.5</v>
      </c>
      <c r="J47" s="30">
        <v>25325.5</v>
      </c>
      <c r="K47" s="30">
        <v>25325.5</v>
      </c>
      <c r="L47" s="30">
        <v>25325.5</v>
      </c>
      <c r="M47" s="30">
        <v>25325.5</v>
      </c>
      <c r="N47" s="30">
        <v>25325.5</v>
      </c>
      <c r="O47" s="30">
        <v>25325.5</v>
      </c>
      <c r="P47" s="30">
        <v>25325.5</v>
      </c>
      <c r="Q47" s="30">
        <v>25325.5</v>
      </c>
    </row>
    <row r="48" spans="1:17" ht="15" x14ac:dyDescent="0.25">
      <c r="D48" s="29"/>
      <c r="E48" s="23" t="s">
        <v>48</v>
      </c>
      <c r="F48" s="30">
        <v>35000</v>
      </c>
      <c r="G48" s="30">
        <v>35000</v>
      </c>
      <c r="H48" s="30">
        <v>35000</v>
      </c>
      <c r="I48" s="30">
        <v>35000</v>
      </c>
      <c r="J48" s="30">
        <v>35000</v>
      </c>
      <c r="K48" s="30">
        <v>35000</v>
      </c>
      <c r="L48" s="30">
        <v>35000</v>
      </c>
      <c r="M48" s="30">
        <v>35000</v>
      </c>
      <c r="N48" s="30">
        <v>35000</v>
      </c>
      <c r="O48" s="30">
        <v>35000</v>
      </c>
      <c r="P48" s="30">
        <v>35000</v>
      </c>
      <c r="Q48" s="30">
        <v>35000</v>
      </c>
    </row>
    <row r="49" spans="1:17" ht="15" x14ac:dyDescent="0.25">
      <c r="C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17" ht="15" x14ac:dyDescent="0.25">
      <c r="C50" s="31" t="s">
        <v>32</v>
      </c>
      <c r="D50" s="29" t="s">
        <v>186</v>
      </c>
      <c r="F50" s="8">
        <f t="shared" ref="F50:L50" si="10">SUM(F52:F55)</f>
        <v>234654.72399999999</v>
      </c>
      <c r="G50" s="8">
        <f t="shared" si="10"/>
        <v>353673.96799999999</v>
      </c>
      <c r="H50" s="8">
        <f t="shared" si="10"/>
        <v>390664.16800000001</v>
      </c>
      <c r="I50" s="8">
        <f t="shared" si="10"/>
        <v>414941.16800000001</v>
      </c>
      <c r="J50" s="8">
        <f t="shared" si="10"/>
        <v>427052.86799999996</v>
      </c>
      <c r="K50" s="8">
        <f t="shared" si="10"/>
        <v>443156.96799999999</v>
      </c>
      <c r="L50" s="8">
        <f t="shared" si="10"/>
        <v>465824.96799999999</v>
      </c>
      <c r="M50" s="8">
        <f>SUM(M52:M55)</f>
        <v>466352.46800000005</v>
      </c>
      <c r="N50" s="8">
        <f>SUM(N52:N55)</f>
        <v>466352.46800000005</v>
      </c>
      <c r="O50" s="8">
        <f>SUM(O52:O55)</f>
        <v>466352.46800000005</v>
      </c>
      <c r="P50" s="8">
        <f>SUM(P52:P55)</f>
        <v>466352.46800000005</v>
      </c>
      <c r="Q50" s="8">
        <f>SUM(Q52:Q55)</f>
        <v>466352.46800000005</v>
      </c>
    </row>
    <row r="51" spans="1:17" ht="15" x14ac:dyDescent="0.25">
      <c r="C51" s="31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15" x14ac:dyDescent="0.25">
      <c r="C52" s="31"/>
      <c r="E52" s="23" t="s">
        <v>41</v>
      </c>
      <c r="F52" s="30">
        <v>86788.183999999994</v>
      </c>
      <c r="G52" s="30">
        <v>160152.367</v>
      </c>
      <c r="H52" s="30">
        <v>177120.66699999999</v>
      </c>
      <c r="I52" s="30">
        <v>196261.967</v>
      </c>
      <c r="J52" s="30">
        <v>203130.367</v>
      </c>
      <c r="K52" s="30">
        <v>209234.467</v>
      </c>
      <c r="L52" s="30">
        <v>209361.06700000001</v>
      </c>
      <c r="M52" s="30">
        <v>209878.06700000001</v>
      </c>
      <c r="N52" s="30">
        <v>209878.06700000001</v>
      </c>
      <c r="O52" s="30">
        <v>209878.06700000001</v>
      </c>
      <c r="P52" s="30">
        <v>209878.06700000001</v>
      </c>
      <c r="Q52" s="30">
        <v>209878.06700000001</v>
      </c>
    </row>
    <row r="53" spans="1:17" ht="15" x14ac:dyDescent="0.25">
      <c r="C53" s="31"/>
      <c r="E53" s="23" t="s">
        <v>42</v>
      </c>
      <c r="F53" s="30">
        <v>39912.381000000001</v>
      </c>
      <c r="G53" s="30">
        <v>78346.042000000001</v>
      </c>
      <c r="H53" s="30">
        <v>91367.941999999995</v>
      </c>
      <c r="I53" s="30">
        <v>96309.241999999998</v>
      </c>
      <c r="J53" s="30">
        <v>101552.542</v>
      </c>
      <c r="K53" s="30">
        <v>101552.542</v>
      </c>
      <c r="L53" s="30">
        <v>122468.342</v>
      </c>
      <c r="M53" s="30">
        <v>122474.942</v>
      </c>
      <c r="N53" s="30">
        <v>122474.942</v>
      </c>
      <c r="O53" s="30">
        <v>122474.942</v>
      </c>
      <c r="P53" s="30">
        <v>122474.942</v>
      </c>
      <c r="Q53" s="30">
        <v>122474.942</v>
      </c>
    </row>
    <row r="54" spans="1:17" ht="15" x14ac:dyDescent="0.25">
      <c r="C54" s="31"/>
      <c r="E54" s="23" t="s">
        <v>43</v>
      </c>
      <c r="F54" s="30">
        <v>35872.712</v>
      </c>
      <c r="G54" s="30">
        <v>43094.112000000001</v>
      </c>
      <c r="H54" s="30">
        <v>43094.112000000001</v>
      </c>
      <c r="I54" s="30">
        <v>43288.512000000002</v>
      </c>
      <c r="J54" s="30">
        <v>43288.512000000002</v>
      </c>
      <c r="K54" s="30">
        <v>48288.512000000002</v>
      </c>
      <c r="L54" s="30">
        <v>49706.712</v>
      </c>
      <c r="M54" s="30">
        <v>49710.612000000001</v>
      </c>
      <c r="N54" s="30">
        <v>49710.612000000001</v>
      </c>
      <c r="O54" s="30">
        <v>49710.612000000001</v>
      </c>
      <c r="P54" s="30">
        <v>49710.612000000001</v>
      </c>
      <c r="Q54" s="30">
        <v>49710.612000000001</v>
      </c>
    </row>
    <row r="55" spans="1:17" ht="15" x14ac:dyDescent="0.25">
      <c r="A55" s="29"/>
      <c r="B55" s="29"/>
      <c r="C55" s="29"/>
      <c r="E55" s="23" t="s">
        <v>54</v>
      </c>
      <c r="F55" s="30">
        <v>72081.447</v>
      </c>
      <c r="G55" s="30">
        <v>72081.447</v>
      </c>
      <c r="H55" s="30">
        <v>79081.447</v>
      </c>
      <c r="I55" s="30">
        <v>79081.447</v>
      </c>
      <c r="J55" s="30">
        <v>79081.447</v>
      </c>
      <c r="K55" s="30">
        <v>84081.447</v>
      </c>
      <c r="L55" s="30">
        <v>84288.846999999994</v>
      </c>
      <c r="M55" s="30">
        <v>84288.846999999994</v>
      </c>
      <c r="N55" s="30">
        <v>84288.846999999994</v>
      </c>
      <c r="O55" s="30">
        <v>84288.846999999994</v>
      </c>
      <c r="P55" s="30">
        <v>84288.846999999994</v>
      </c>
      <c r="Q55" s="30">
        <v>84288.846999999994</v>
      </c>
    </row>
    <row r="56" spans="1:17" ht="15" x14ac:dyDescent="0.25">
      <c r="A56" s="29"/>
      <c r="B56" s="29"/>
      <c r="C56" s="2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15" x14ac:dyDescent="0.25">
      <c r="A57" s="29"/>
      <c r="B57" s="29"/>
      <c r="C57" s="29" t="s">
        <v>198</v>
      </c>
      <c r="D57" s="29"/>
      <c r="E57" s="29"/>
      <c r="F57" s="28">
        <f>77228.958-97.05</f>
        <v>77131.907999999996</v>
      </c>
      <c r="G57" s="28">
        <f>75482.74-97.05</f>
        <v>75385.69</v>
      </c>
      <c r="H57" s="28">
        <f>75482.74-97.05</f>
        <v>75385.69</v>
      </c>
      <c r="I57" s="28">
        <f>75482.74-97.05</f>
        <v>75385.69</v>
      </c>
      <c r="J57" s="28">
        <f>75482.74-97.05</f>
        <v>75385.69</v>
      </c>
      <c r="K57" s="28">
        <f>75482.74-97.05</f>
        <v>75385.69</v>
      </c>
      <c r="L57" s="28">
        <f>72256.33-97.05</f>
        <v>72159.28</v>
      </c>
      <c r="M57" s="28">
        <f>50622.33-97.05</f>
        <v>50525.279999999999</v>
      </c>
      <c r="N57" s="28">
        <f>50622.33-97.05</f>
        <v>50525.279999999999</v>
      </c>
      <c r="O57" s="28">
        <f>50622.33-97.05</f>
        <v>50525.279999999999</v>
      </c>
      <c r="P57" s="28">
        <f>50622-97.05</f>
        <v>50524.95</v>
      </c>
      <c r="Q57" s="28">
        <f>50622.331-97.05</f>
        <v>50525.280999999995</v>
      </c>
    </row>
    <row r="58" spans="1:17" ht="15" x14ac:dyDescent="0.25">
      <c r="A58" s="29"/>
      <c r="B58" s="29"/>
      <c r="C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15" x14ac:dyDescent="0.25">
      <c r="A59" s="29"/>
      <c r="B59" s="29"/>
      <c r="C59" s="29" t="s">
        <v>207</v>
      </c>
      <c r="D59" s="29"/>
      <c r="E59" s="29"/>
      <c r="F59" s="28">
        <v>336.99700000000001</v>
      </c>
      <c r="G59" s="28">
        <v>330.85500000000002</v>
      </c>
      <c r="H59" s="28">
        <v>309.94900000000001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</row>
    <row r="60" spans="1:17" ht="15" x14ac:dyDescent="0.25">
      <c r="A60" s="29"/>
      <c r="B60" s="29"/>
      <c r="C60" s="29"/>
      <c r="D60" s="29"/>
      <c r="E60" s="29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ht="15" x14ac:dyDescent="0.25">
      <c r="A61" s="29"/>
      <c r="B61" s="29"/>
      <c r="C61" s="29" t="s">
        <v>208</v>
      </c>
      <c r="D61" s="29"/>
      <c r="E61" s="29"/>
      <c r="F61" s="28">
        <v>10573.673000000001</v>
      </c>
      <c r="G61" s="28">
        <v>10893.251</v>
      </c>
      <c r="H61" s="28">
        <v>10874.277</v>
      </c>
      <c r="I61" s="28">
        <v>10919.407999999999</v>
      </c>
      <c r="J61" s="28">
        <v>10930.361999999999</v>
      </c>
      <c r="K61" s="28">
        <v>10892.342000000001</v>
      </c>
      <c r="L61" s="28">
        <v>10818.857</v>
      </c>
      <c r="M61" s="28">
        <v>10842.639499999999</v>
      </c>
      <c r="N61" s="28">
        <v>10911.478999999999</v>
      </c>
      <c r="O61" s="28">
        <v>10878.138999999999</v>
      </c>
      <c r="P61" s="28">
        <v>10884.565000000001</v>
      </c>
      <c r="Q61" s="28">
        <v>10845.960999999999</v>
      </c>
    </row>
    <row r="62" spans="1:17" ht="15" x14ac:dyDescent="0.25">
      <c r="A62" s="29"/>
      <c r="B62" s="29"/>
      <c r="C62" s="29"/>
      <c r="D62" s="29"/>
      <c r="E62" s="29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ht="15" x14ac:dyDescent="0.25">
      <c r="A63" s="29" t="s">
        <v>49</v>
      </c>
      <c r="B63" s="29"/>
      <c r="C63" s="29"/>
      <c r="D63" s="29"/>
      <c r="E63" s="29"/>
      <c r="F63" s="28">
        <v>71956.191999999995</v>
      </c>
      <c r="G63" s="28">
        <v>71950.289000000004</v>
      </c>
      <c r="H63" s="28">
        <v>71945.194000000003</v>
      </c>
      <c r="I63" s="28">
        <v>71868.324999999997</v>
      </c>
      <c r="J63" s="28">
        <v>71863.490999999995</v>
      </c>
      <c r="K63" s="28">
        <v>71857.868000000002</v>
      </c>
      <c r="L63" s="28">
        <v>71854.778000000006</v>
      </c>
      <c r="M63" s="28">
        <v>64850.877999999997</v>
      </c>
      <c r="N63" s="28">
        <v>64845.760999999999</v>
      </c>
      <c r="O63" s="28">
        <v>64838.794999999998</v>
      </c>
      <c r="P63" s="28">
        <v>64834.917999999998</v>
      </c>
      <c r="Q63" s="28">
        <v>64832</v>
      </c>
    </row>
    <row r="64" spans="1:17" x14ac:dyDescent="0.2">
      <c r="F64" s="32"/>
      <c r="G64" s="33"/>
      <c r="H64" s="32"/>
      <c r="I64" s="32"/>
      <c r="J64" s="32"/>
      <c r="K64" s="32"/>
      <c r="L64" s="32"/>
    </row>
    <row r="65" spans="1:12" x14ac:dyDescent="0.2">
      <c r="F65" s="32"/>
      <c r="G65" s="33"/>
      <c r="H65" s="32"/>
      <c r="I65" s="32"/>
      <c r="J65" s="32"/>
      <c r="K65" s="32"/>
      <c r="L65" s="32"/>
    </row>
    <row r="66" spans="1:12" ht="15" x14ac:dyDescent="0.25">
      <c r="A66" s="29"/>
      <c r="B66" s="65"/>
      <c r="C66" s="65"/>
      <c r="D66" s="65"/>
      <c r="E66" s="23" t="s">
        <v>29</v>
      </c>
      <c r="F66" s="65"/>
      <c r="G66" s="65"/>
      <c r="H66" s="65"/>
      <c r="I66" s="65"/>
      <c r="J66" s="65"/>
      <c r="K66" s="65"/>
      <c r="L66" s="65"/>
    </row>
    <row r="67" spans="1:12" x14ac:dyDescent="0.2">
      <c r="B67" s="66"/>
      <c r="C67" s="66"/>
      <c r="D67" s="66"/>
      <c r="E67" s="32" t="s">
        <v>30</v>
      </c>
      <c r="F67" s="66"/>
      <c r="G67" s="66"/>
      <c r="H67" s="66"/>
      <c r="I67" s="66"/>
      <c r="J67" s="66"/>
      <c r="K67" s="66"/>
      <c r="L67" s="66"/>
    </row>
    <row r="68" spans="1:12" ht="15" x14ac:dyDescent="0.25">
      <c r="A68" s="29"/>
      <c r="B68" s="65"/>
      <c r="C68" s="65"/>
      <c r="D68" s="65"/>
      <c r="E68" s="67"/>
      <c r="F68" s="65"/>
      <c r="G68" s="65"/>
      <c r="H68" s="65"/>
      <c r="I68" s="65"/>
      <c r="J68" s="65"/>
      <c r="K68" s="65"/>
      <c r="L68" s="65"/>
    </row>
    <row r="69" spans="1:12" x14ac:dyDescent="0.2">
      <c r="A69" s="34"/>
      <c r="B69" s="35" t="s">
        <v>21</v>
      </c>
      <c r="C69" s="35"/>
      <c r="D69" s="35"/>
      <c r="E69" s="35"/>
      <c r="F69" s="35"/>
      <c r="G69" s="37"/>
    </row>
    <row r="71" spans="1:12" x14ac:dyDescent="0.2">
      <c r="A71" s="35"/>
      <c r="B71" s="35"/>
      <c r="C71" s="35"/>
    </row>
    <row r="72" spans="1:12" x14ac:dyDescent="0.2">
      <c r="A72" s="36"/>
      <c r="B72" s="35"/>
      <c r="C72" s="35"/>
    </row>
  </sheetData>
  <mergeCells count="4">
    <mergeCell ref="A5:E5"/>
    <mergeCell ref="A1:Q1"/>
    <mergeCell ref="A2:Q2"/>
    <mergeCell ref="A3:Q3"/>
  </mergeCells>
  <printOptions horizontalCentered="1"/>
  <pageMargins left="0" right="0" top="0.60236220500000004" bottom="0.59055118110236204" header="0.511811023622047" footer="0.511811023622047"/>
  <pageSetup paperSize="9" scale="6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C8F91-2611-4E10-8DC5-FC50BE9FC332}">
  <sheetPr>
    <pageSetUpPr fitToPage="1"/>
  </sheetPr>
  <dimension ref="A1:U74"/>
  <sheetViews>
    <sheetView zoomScaleNormal="100" zoomScaleSheetLayoutView="100" workbookViewId="0">
      <pane xSplit="6" ySplit="7" topLeftCell="O8" activePane="bottomRight" state="frozen"/>
      <selection activeCell="B1" sqref="B1"/>
      <selection pane="topRight" activeCell="F1" sqref="F1"/>
      <selection pane="bottomLeft" activeCell="B8" sqref="B8"/>
      <selection pane="bottomRight" activeCell="J12" sqref="J12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7.7109375" style="2" customWidth="1"/>
    <col min="7" max="7" width="12.28515625" style="2" customWidth="1"/>
    <col min="8" max="8" width="11.28515625" style="2" bestFit="1" customWidth="1"/>
    <col min="9" max="9" width="11.28515625" style="2" customWidth="1"/>
    <col min="10" max="18" width="11.28515625" style="2" bestFit="1" customWidth="1"/>
    <col min="19" max="19" width="9.140625" style="2"/>
    <col min="20" max="20" width="10.140625" style="2" bestFit="1" customWidth="1"/>
    <col min="21" max="21" width="11.28515625" style="2" bestFit="1" customWidth="1"/>
    <col min="22" max="16384" width="9.140625" style="2"/>
  </cols>
  <sheetData>
    <row r="1" spans="1:21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21" ht="15" x14ac:dyDescent="0.2">
      <c r="A2" s="83" t="s">
        <v>229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1" ht="6" customHeight="1" x14ac:dyDescent="0.2"/>
    <row r="5" spans="1:21" ht="6" customHeight="1" x14ac:dyDescent="0.2"/>
    <row r="6" spans="1:21" s="3" customFormat="1" x14ac:dyDescent="0.2">
      <c r="A6" s="80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80</v>
      </c>
      <c r="M6" s="80" t="s">
        <v>5</v>
      </c>
      <c r="N6" s="80" t="s">
        <v>6</v>
      </c>
      <c r="O6" s="80" t="s">
        <v>81</v>
      </c>
      <c r="P6" s="80" t="s">
        <v>7</v>
      </c>
      <c r="Q6" s="80" t="s">
        <v>8</v>
      </c>
      <c r="R6" s="80" t="s">
        <v>9</v>
      </c>
    </row>
    <row r="7" spans="1:21" ht="10.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21" ht="7.5" customHeight="1" thickTop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ht="15" x14ac:dyDescent="0.25">
      <c r="A9" s="5" t="s">
        <v>97</v>
      </c>
      <c r="B9" s="5"/>
      <c r="C9" s="5"/>
      <c r="D9" s="5"/>
      <c r="E9" s="5"/>
      <c r="F9" s="5"/>
      <c r="G9" s="8">
        <f t="shared" ref="G9" si="0">G11+G64</f>
        <v>10162026.300000001</v>
      </c>
      <c r="H9" s="8">
        <f t="shared" ref="H9:R9" si="1">H11+H64</f>
        <v>10576540</v>
      </c>
      <c r="I9" s="8">
        <f t="shared" si="1"/>
        <v>10277333</v>
      </c>
      <c r="J9" s="8">
        <f t="shared" si="1"/>
        <v>10308339</v>
      </c>
      <c r="K9" s="8">
        <f t="shared" si="1"/>
        <v>10442687</v>
      </c>
      <c r="L9" s="8">
        <f t="shared" si="1"/>
        <v>10572959</v>
      </c>
      <c r="M9" s="8">
        <f t="shared" si="1"/>
        <v>10752994.199999999</v>
      </c>
      <c r="N9" s="8">
        <f t="shared" si="1"/>
        <v>10791453.199999999</v>
      </c>
      <c r="O9" s="8">
        <f t="shared" si="1"/>
        <v>10936102.300000001</v>
      </c>
      <c r="P9" s="8">
        <f t="shared" si="1"/>
        <v>10889680.800000001</v>
      </c>
      <c r="Q9" s="8">
        <f t="shared" si="1"/>
        <v>10921506.199999999</v>
      </c>
      <c r="R9" s="8">
        <f t="shared" si="1"/>
        <v>10930259.4</v>
      </c>
      <c r="U9" s="16"/>
    </row>
    <row r="10" spans="1:21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1" ht="15" x14ac:dyDescent="0.25">
      <c r="B11" s="5" t="s">
        <v>89</v>
      </c>
      <c r="C11" s="5"/>
      <c r="D11" s="5"/>
      <c r="E11" s="5"/>
      <c r="F11" s="5"/>
      <c r="G11" s="8">
        <f t="shared" ref="G11:H11" si="2">G13+G21</f>
        <v>10162026.300000001</v>
      </c>
      <c r="H11" s="8">
        <f t="shared" si="2"/>
        <v>10576540</v>
      </c>
      <c r="I11" s="8">
        <f t="shared" ref="I11:R11" si="3">I13+I21</f>
        <v>10277333</v>
      </c>
      <c r="J11" s="8">
        <f t="shared" si="3"/>
        <v>10308339</v>
      </c>
      <c r="K11" s="8">
        <f t="shared" si="3"/>
        <v>10442687</v>
      </c>
      <c r="L11" s="8">
        <f t="shared" si="3"/>
        <v>10572959</v>
      </c>
      <c r="M11" s="8">
        <f t="shared" si="3"/>
        <v>10752994.199999999</v>
      </c>
      <c r="N11" s="8">
        <f t="shared" si="3"/>
        <v>10791453.199999999</v>
      </c>
      <c r="O11" s="8">
        <f t="shared" si="3"/>
        <v>10936102.300000001</v>
      </c>
      <c r="P11" s="8">
        <f t="shared" si="3"/>
        <v>10889680.800000001</v>
      </c>
      <c r="Q11" s="8">
        <f t="shared" si="3"/>
        <v>10921506.199999999</v>
      </c>
      <c r="R11" s="8">
        <f t="shared" si="3"/>
        <v>10930259.4</v>
      </c>
      <c r="U11" s="16"/>
    </row>
    <row r="12" spans="1:21" ht="15" x14ac:dyDescent="0.25">
      <c r="B12" s="5"/>
      <c r="C12" s="5"/>
      <c r="D12" s="5"/>
      <c r="E12" s="5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1" ht="15" x14ac:dyDescent="0.25">
      <c r="B13" s="9"/>
      <c r="C13" s="9" t="s">
        <v>90</v>
      </c>
      <c r="F13" s="9"/>
      <c r="G13" s="8">
        <f t="shared" ref="G13:H13" si="4">SUM(G14:G19)</f>
        <v>541397.30000000005</v>
      </c>
      <c r="H13" s="8">
        <f t="shared" si="4"/>
        <v>555217</v>
      </c>
      <c r="I13" s="8">
        <f t="shared" ref="I13:R13" si="5">SUM(I14:I19)</f>
        <v>591612</v>
      </c>
      <c r="J13" s="8">
        <f t="shared" si="5"/>
        <v>606728</v>
      </c>
      <c r="K13" s="8">
        <f t="shared" si="5"/>
        <v>616728</v>
      </c>
      <c r="L13" s="8">
        <f t="shared" si="5"/>
        <v>638976</v>
      </c>
      <c r="M13" s="8">
        <f t="shared" si="5"/>
        <v>664564</v>
      </c>
      <c r="N13" s="8">
        <f t="shared" si="5"/>
        <v>691609</v>
      </c>
      <c r="O13" s="8">
        <f t="shared" si="5"/>
        <v>716809</v>
      </c>
      <c r="P13" s="8">
        <f t="shared" si="5"/>
        <v>739273</v>
      </c>
      <c r="Q13" s="8">
        <f t="shared" si="5"/>
        <v>758153</v>
      </c>
      <c r="R13" s="8">
        <f t="shared" si="5"/>
        <v>754168</v>
      </c>
      <c r="U13" s="16"/>
    </row>
    <row r="14" spans="1:21" x14ac:dyDescent="0.2">
      <c r="F14" s="2" t="s">
        <v>76</v>
      </c>
      <c r="G14" s="10">
        <v>174568.3</v>
      </c>
      <c r="H14" s="10">
        <v>174568</v>
      </c>
      <c r="I14" s="10">
        <v>174568</v>
      </c>
      <c r="J14" s="10">
        <v>174568</v>
      </c>
      <c r="K14" s="10">
        <v>174568</v>
      </c>
      <c r="L14" s="10">
        <v>174568</v>
      </c>
      <c r="M14" s="10">
        <v>174568</v>
      </c>
      <c r="N14" s="10">
        <v>174568</v>
      </c>
      <c r="O14" s="10">
        <v>174568</v>
      </c>
      <c r="P14" s="10">
        <v>174568</v>
      </c>
      <c r="Q14" s="10">
        <v>174568</v>
      </c>
      <c r="R14" s="10">
        <v>174568</v>
      </c>
    </row>
    <row r="15" spans="1:21" x14ac:dyDescent="0.2">
      <c r="F15" s="11" t="s">
        <v>104</v>
      </c>
      <c r="G15" s="10">
        <v>44200</v>
      </c>
      <c r="H15" s="10">
        <v>50700</v>
      </c>
      <c r="I15" s="10">
        <v>66500</v>
      </c>
      <c r="J15" s="10">
        <v>64500</v>
      </c>
      <c r="K15" s="10">
        <v>65000</v>
      </c>
      <c r="L15" s="10">
        <v>65000</v>
      </c>
      <c r="M15" s="10">
        <v>72500</v>
      </c>
      <c r="N15" s="10">
        <v>78500</v>
      </c>
      <c r="O15" s="10">
        <v>84500</v>
      </c>
      <c r="P15" s="10">
        <v>84500</v>
      </c>
      <c r="Q15" s="10">
        <v>85600</v>
      </c>
      <c r="R15" s="10">
        <v>74600</v>
      </c>
    </row>
    <row r="16" spans="1:21" x14ac:dyDescent="0.2">
      <c r="F16" s="11" t="s">
        <v>105</v>
      </c>
      <c r="G16" s="10">
        <v>101910</v>
      </c>
      <c r="H16" s="10">
        <v>104730</v>
      </c>
      <c r="I16" s="10">
        <v>104730</v>
      </c>
      <c r="J16" s="10">
        <v>108800</v>
      </c>
      <c r="K16" s="10">
        <v>116300</v>
      </c>
      <c r="L16" s="10">
        <v>133800</v>
      </c>
      <c r="M16" s="10">
        <v>139900</v>
      </c>
      <c r="N16" s="10">
        <v>151300</v>
      </c>
      <c r="O16" s="10">
        <v>162500</v>
      </c>
      <c r="P16" s="10">
        <v>170000</v>
      </c>
      <c r="Q16" s="10">
        <v>174500</v>
      </c>
      <c r="R16" s="10">
        <v>169500</v>
      </c>
    </row>
    <row r="17" spans="2:21" x14ac:dyDescent="0.2">
      <c r="F17" s="11" t="s">
        <v>106</v>
      </c>
      <c r="G17" s="10">
        <v>220719</v>
      </c>
      <c r="H17" s="10">
        <v>222719</v>
      </c>
      <c r="I17" s="10">
        <v>223314</v>
      </c>
      <c r="J17" s="10">
        <v>226360</v>
      </c>
      <c r="K17" s="10">
        <v>228360</v>
      </c>
      <c r="L17" s="10">
        <v>233108</v>
      </c>
      <c r="M17" s="10">
        <v>245096</v>
      </c>
      <c r="N17" s="10">
        <v>254741</v>
      </c>
      <c r="O17" s="10">
        <v>262741</v>
      </c>
      <c r="P17" s="10">
        <v>277705</v>
      </c>
      <c r="Q17" s="10">
        <v>290985</v>
      </c>
      <c r="R17" s="10">
        <v>303000</v>
      </c>
    </row>
    <row r="18" spans="2:21" hidden="1" x14ac:dyDescent="0.2">
      <c r="F18" s="2" t="s">
        <v>98</v>
      </c>
      <c r="G18" s="10">
        <v>0</v>
      </c>
      <c r="H18" s="10">
        <v>0</v>
      </c>
      <c r="I18" s="10">
        <v>0</v>
      </c>
      <c r="J18" s="10"/>
      <c r="K18" s="10"/>
      <c r="L18" s="10"/>
      <c r="M18" s="10"/>
      <c r="N18" s="10"/>
      <c r="O18" s="10"/>
      <c r="P18" s="10"/>
      <c r="Q18" s="10"/>
      <c r="R18" s="10"/>
    </row>
    <row r="19" spans="2:21" x14ac:dyDescent="0.2">
      <c r="F19" s="2" t="s">
        <v>99</v>
      </c>
      <c r="G19" s="10">
        <v>0</v>
      </c>
      <c r="H19" s="10">
        <v>2500</v>
      </c>
      <c r="I19" s="10">
        <v>22500</v>
      </c>
      <c r="J19" s="10">
        <v>32500</v>
      </c>
      <c r="K19" s="10">
        <v>32500</v>
      </c>
      <c r="L19" s="10">
        <v>32500</v>
      </c>
      <c r="M19" s="10">
        <v>32500</v>
      </c>
      <c r="N19" s="10">
        <v>32500</v>
      </c>
      <c r="O19" s="10">
        <v>32500</v>
      </c>
      <c r="P19" s="10">
        <v>32500</v>
      </c>
      <c r="Q19" s="10">
        <v>32500</v>
      </c>
      <c r="R19" s="10">
        <v>32500</v>
      </c>
    </row>
    <row r="20" spans="2:21" x14ac:dyDescent="0.2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21" ht="15" x14ac:dyDescent="0.25">
      <c r="B21" s="9"/>
      <c r="C21" s="9" t="s">
        <v>88</v>
      </c>
      <c r="F21" s="9"/>
      <c r="G21" s="12">
        <f t="shared" ref="G21:H21" si="6">G22+G34</f>
        <v>9620629</v>
      </c>
      <c r="H21" s="12">
        <f t="shared" si="6"/>
        <v>10021323</v>
      </c>
      <c r="I21" s="12">
        <f t="shared" ref="I21:R21" si="7">I22+I34</f>
        <v>9685721</v>
      </c>
      <c r="J21" s="12">
        <f t="shared" si="7"/>
        <v>9701611</v>
      </c>
      <c r="K21" s="12">
        <f t="shared" si="7"/>
        <v>9825959</v>
      </c>
      <c r="L21" s="12">
        <f t="shared" si="7"/>
        <v>9933983</v>
      </c>
      <c r="M21" s="12">
        <f t="shared" si="7"/>
        <v>10088430.199999999</v>
      </c>
      <c r="N21" s="12">
        <f t="shared" si="7"/>
        <v>10099844.199999999</v>
      </c>
      <c r="O21" s="12">
        <f t="shared" si="7"/>
        <v>10219293.300000001</v>
      </c>
      <c r="P21" s="12">
        <f t="shared" si="7"/>
        <v>10150407.800000001</v>
      </c>
      <c r="Q21" s="12">
        <f t="shared" si="7"/>
        <v>10163353.199999999</v>
      </c>
      <c r="R21" s="12">
        <f t="shared" si="7"/>
        <v>10176091.4</v>
      </c>
      <c r="U21" s="16"/>
    </row>
    <row r="22" spans="2:21" ht="15" x14ac:dyDescent="0.25">
      <c r="B22" s="9"/>
      <c r="C22" s="9"/>
      <c r="D22" s="9" t="s">
        <v>91</v>
      </c>
      <c r="E22" s="9"/>
      <c r="G22" s="12">
        <f t="shared" ref="G22:H22" si="8">SUM(G23:G32)</f>
        <v>5054491</v>
      </c>
      <c r="H22" s="12">
        <f t="shared" si="8"/>
        <v>5114491</v>
      </c>
      <c r="I22" s="12">
        <f t="shared" ref="I22:R22" si="9">SUM(I23:I32)</f>
        <v>5234491</v>
      </c>
      <c r="J22" s="12">
        <f t="shared" si="9"/>
        <v>5246652</v>
      </c>
      <c r="K22" s="12">
        <f t="shared" si="9"/>
        <v>5340897</v>
      </c>
      <c r="L22" s="12">
        <f>SUM(L23:L32)</f>
        <v>5418638</v>
      </c>
      <c r="M22" s="12">
        <f t="shared" si="9"/>
        <v>5533638</v>
      </c>
      <c r="N22" s="12">
        <f t="shared" si="9"/>
        <v>5641198</v>
      </c>
      <c r="O22" s="12">
        <f t="shared" si="9"/>
        <v>5761198</v>
      </c>
      <c r="P22" s="12">
        <f t="shared" si="9"/>
        <v>5686197.5999999996</v>
      </c>
      <c r="Q22" s="12">
        <f t="shared" si="9"/>
        <v>5713101</v>
      </c>
      <c r="R22" s="12">
        <f t="shared" si="9"/>
        <v>5728100.9000000004</v>
      </c>
      <c r="U22" s="16"/>
    </row>
    <row r="23" spans="2:21" x14ac:dyDescent="0.2">
      <c r="F23" s="2" t="s">
        <v>22</v>
      </c>
      <c r="G23" s="10">
        <v>121283</v>
      </c>
      <c r="H23" s="10">
        <v>151283</v>
      </c>
      <c r="I23" s="10">
        <v>151283</v>
      </c>
      <c r="J23" s="10">
        <v>151283</v>
      </c>
      <c r="K23" s="10">
        <v>181283</v>
      </c>
      <c r="L23" s="10">
        <v>181283</v>
      </c>
      <c r="M23" s="10">
        <v>181283</v>
      </c>
      <c r="N23" s="10">
        <v>181283</v>
      </c>
      <c r="O23" s="10">
        <v>181283</v>
      </c>
      <c r="P23" s="10">
        <v>181283</v>
      </c>
      <c r="Q23" s="10">
        <v>181283</v>
      </c>
      <c r="R23" s="10">
        <v>181283</v>
      </c>
    </row>
    <row r="24" spans="2:21" x14ac:dyDescent="0.2">
      <c r="F24" s="2" t="s">
        <v>146</v>
      </c>
      <c r="G24" s="10">
        <v>45000</v>
      </c>
      <c r="H24" s="10">
        <v>45000</v>
      </c>
      <c r="I24" s="10">
        <v>45000</v>
      </c>
      <c r="J24" s="10">
        <v>45000</v>
      </c>
      <c r="K24" s="10">
        <v>45000</v>
      </c>
      <c r="L24" s="10">
        <v>45000</v>
      </c>
      <c r="M24" s="10">
        <v>45000</v>
      </c>
      <c r="N24" s="10">
        <v>45000</v>
      </c>
      <c r="O24" s="10">
        <v>45000</v>
      </c>
      <c r="P24" s="10">
        <v>45000</v>
      </c>
      <c r="Q24" s="10">
        <v>45000</v>
      </c>
      <c r="R24" s="10">
        <v>45000</v>
      </c>
    </row>
    <row r="25" spans="2:21" x14ac:dyDescent="0.2">
      <c r="F25" s="2" t="s">
        <v>14</v>
      </c>
      <c r="G25" s="10">
        <v>432188</v>
      </c>
      <c r="H25" s="10">
        <v>432188</v>
      </c>
      <c r="I25" s="10">
        <v>432188</v>
      </c>
      <c r="J25" s="10">
        <v>432188</v>
      </c>
      <c r="K25" s="10">
        <v>432188</v>
      </c>
      <c r="L25" s="10">
        <v>432188</v>
      </c>
      <c r="M25" s="10">
        <v>432188</v>
      </c>
      <c r="N25" s="10">
        <v>432188</v>
      </c>
      <c r="O25" s="10">
        <v>432188</v>
      </c>
      <c r="P25" s="10">
        <v>312188</v>
      </c>
      <c r="Q25" s="10">
        <v>312188</v>
      </c>
      <c r="R25" s="10">
        <v>312188</v>
      </c>
    </row>
    <row r="26" spans="2:21" x14ac:dyDescent="0.2">
      <c r="F26" s="2" t="s">
        <v>15</v>
      </c>
      <c r="G26" s="10">
        <v>1395722</v>
      </c>
      <c r="H26" s="10">
        <v>1395722</v>
      </c>
      <c r="I26" s="10">
        <v>1455722</v>
      </c>
      <c r="J26" s="10">
        <v>1430625</v>
      </c>
      <c r="K26" s="10">
        <v>1430625</v>
      </c>
      <c r="L26" s="10">
        <v>1430625</v>
      </c>
      <c r="M26" s="10">
        <v>1460625</v>
      </c>
      <c r="N26" s="10">
        <v>1490625</v>
      </c>
      <c r="O26" s="10">
        <v>1520625</v>
      </c>
      <c r="P26" s="10">
        <v>1535625</v>
      </c>
      <c r="Q26" s="10">
        <v>1550625</v>
      </c>
      <c r="R26" s="10">
        <v>1550625</v>
      </c>
    </row>
    <row r="27" spans="2:21" x14ac:dyDescent="0.2">
      <c r="F27" s="2" t="s">
        <v>20</v>
      </c>
      <c r="G27" s="10">
        <v>1886835</v>
      </c>
      <c r="H27" s="10">
        <v>1886835</v>
      </c>
      <c r="I27" s="10">
        <v>1916835</v>
      </c>
      <c r="J27" s="10">
        <v>1937460</v>
      </c>
      <c r="K27" s="10">
        <v>1967460</v>
      </c>
      <c r="L27" s="10">
        <v>1993685</v>
      </c>
      <c r="M27" s="10">
        <v>2053685</v>
      </c>
      <c r="N27" s="10">
        <v>2053685</v>
      </c>
      <c r="O27" s="10">
        <v>2088685</v>
      </c>
      <c r="P27" s="10">
        <v>2118685</v>
      </c>
      <c r="Q27" s="10">
        <v>2118685</v>
      </c>
      <c r="R27" s="10">
        <v>2133685</v>
      </c>
    </row>
    <row r="28" spans="2:21" x14ac:dyDescent="0.2">
      <c r="F28" s="2" t="s">
        <v>223</v>
      </c>
      <c r="G28" s="10">
        <v>44475</v>
      </c>
      <c r="H28" s="10">
        <v>44475</v>
      </c>
      <c r="I28" s="10">
        <v>44475</v>
      </c>
      <c r="J28" s="10">
        <v>44475</v>
      </c>
      <c r="K28" s="10">
        <v>44475</v>
      </c>
      <c r="L28" s="10">
        <v>44475</v>
      </c>
      <c r="M28" s="10">
        <v>44475</v>
      </c>
      <c r="N28" s="10">
        <v>44475</v>
      </c>
      <c r="O28" s="10">
        <v>44475</v>
      </c>
      <c r="P28" s="10">
        <v>44475</v>
      </c>
      <c r="Q28" s="10">
        <v>44475</v>
      </c>
      <c r="R28" s="10">
        <v>44475</v>
      </c>
    </row>
    <row r="29" spans="2:21" x14ac:dyDescent="0.2">
      <c r="F29" s="2" t="s">
        <v>224</v>
      </c>
      <c r="G29" s="10">
        <v>30000</v>
      </c>
      <c r="H29" s="10">
        <v>30000</v>
      </c>
      <c r="I29" s="10">
        <v>30000</v>
      </c>
      <c r="J29" s="10">
        <v>30000</v>
      </c>
      <c r="K29" s="10">
        <v>30000</v>
      </c>
      <c r="L29" s="10">
        <v>30000</v>
      </c>
      <c r="M29" s="10">
        <v>30000</v>
      </c>
      <c r="N29" s="10">
        <v>30000</v>
      </c>
      <c r="O29" s="10">
        <v>30000</v>
      </c>
      <c r="P29" s="10">
        <v>30000</v>
      </c>
      <c r="Q29" s="10">
        <v>30000</v>
      </c>
      <c r="R29" s="10">
        <v>30000</v>
      </c>
    </row>
    <row r="30" spans="2:21" x14ac:dyDescent="0.2">
      <c r="F30" s="2" t="s">
        <v>46</v>
      </c>
      <c r="G30" s="10">
        <v>661770</v>
      </c>
      <c r="H30" s="10">
        <v>691770</v>
      </c>
      <c r="I30" s="10">
        <v>721770</v>
      </c>
      <c r="J30" s="10">
        <v>738403</v>
      </c>
      <c r="K30" s="10">
        <v>772648</v>
      </c>
      <c r="L30" s="10">
        <v>824164</v>
      </c>
      <c r="M30" s="10">
        <v>849164</v>
      </c>
      <c r="N30" s="10">
        <v>926724</v>
      </c>
      <c r="O30" s="10">
        <v>981724</v>
      </c>
      <c r="P30" s="10">
        <v>981723.6</v>
      </c>
      <c r="Q30" s="10">
        <v>993627</v>
      </c>
      <c r="R30" s="10">
        <v>993626.9</v>
      </c>
    </row>
    <row r="31" spans="2:21" x14ac:dyDescent="0.2">
      <c r="F31" s="2" t="s">
        <v>47</v>
      </c>
      <c r="G31" s="10">
        <v>437121</v>
      </c>
      <c r="H31" s="10">
        <v>437121</v>
      </c>
      <c r="I31" s="10">
        <v>437121</v>
      </c>
      <c r="J31" s="10">
        <v>437121</v>
      </c>
      <c r="K31" s="10">
        <v>437121</v>
      </c>
      <c r="L31" s="10">
        <v>437121</v>
      </c>
      <c r="M31" s="10">
        <v>437121</v>
      </c>
      <c r="N31" s="10">
        <v>437121</v>
      </c>
      <c r="O31" s="10">
        <v>437121</v>
      </c>
      <c r="P31" s="10">
        <v>437121</v>
      </c>
      <c r="Q31" s="10">
        <v>437121</v>
      </c>
      <c r="R31" s="10">
        <v>437121</v>
      </c>
    </row>
    <row r="32" spans="2:21" x14ac:dyDescent="0.2">
      <c r="F32" s="2" t="s">
        <v>53</v>
      </c>
      <c r="G32" s="10">
        <v>97</v>
      </c>
      <c r="H32" s="10">
        <v>97</v>
      </c>
      <c r="I32" s="10">
        <v>97</v>
      </c>
      <c r="J32" s="10">
        <v>97</v>
      </c>
      <c r="K32" s="10">
        <v>97</v>
      </c>
      <c r="L32" s="10">
        <v>97</v>
      </c>
      <c r="M32" s="10">
        <v>97</v>
      </c>
      <c r="N32" s="10">
        <v>97</v>
      </c>
      <c r="O32" s="10">
        <v>97</v>
      </c>
      <c r="P32" s="10">
        <v>97</v>
      </c>
      <c r="Q32" s="10">
        <v>97</v>
      </c>
      <c r="R32" s="10">
        <v>97</v>
      </c>
    </row>
    <row r="33" spans="1:21" x14ac:dyDescent="0.2"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1" ht="15" x14ac:dyDescent="0.25">
      <c r="B34" s="9"/>
      <c r="D34" s="9" t="s">
        <v>92</v>
      </c>
      <c r="E34" s="9"/>
      <c r="G34" s="8">
        <f t="shared" ref="G34:R34" si="10">G35+G44+G49+G51+G53+G56+G61</f>
        <v>4566138</v>
      </c>
      <c r="H34" s="8">
        <f t="shared" si="10"/>
        <v>4906832</v>
      </c>
      <c r="I34" s="8">
        <f t="shared" si="10"/>
        <v>4451230</v>
      </c>
      <c r="J34" s="8">
        <f t="shared" si="10"/>
        <v>4454959</v>
      </c>
      <c r="K34" s="8">
        <f t="shared" si="10"/>
        <v>4485062</v>
      </c>
      <c r="L34" s="8">
        <f t="shared" si="10"/>
        <v>4515345</v>
      </c>
      <c r="M34" s="8">
        <f t="shared" si="10"/>
        <v>4554792.2</v>
      </c>
      <c r="N34" s="8">
        <f t="shared" si="10"/>
        <v>4458646.2</v>
      </c>
      <c r="O34" s="8">
        <f t="shared" si="10"/>
        <v>4458095.3</v>
      </c>
      <c r="P34" s="8">
        <f t="shared" si="10"/>
        <v>4464210.2</v>
      </c>
      <c r="Q34" s="8">
        <f t="shared" si="10"/>
        <v>4450252.2</v>
      </c>
      <c r="R34" s="8">
        <f t="shared" si="10"/>
        <v>4447990.5</v>
      </c>
      <c r="U34" s="16"/>
    </row>
    <row r="35" spans="1:21" ht="15" x14ac:dyDescent="0.25">
      <c r="B35" s="9"/>
      <c r="C35" s="9"/>
      <c r="E35" s="9" t="s">
        <v>34</v>
      </c>
      <c r="G35" s="12">
        <f t="shared" ref="G35" si="11">SUM(G36:G42)</f>
        <v>3245361</v>
      </c>
      <c r="H35" s="12">
        <f t="shared" ref="H35:R35" si="12">SUM(H36:H43)</f>
        <v>3586773</v>
      </c>
      <c r="I35" s="12">
        <f t="shared" si="12"/>
        <v>3130984</v>
      </c>
      <c r="J35" s="12">
        <f t="shared" si="12"/>
        <v>3130984</v>
      </c>
      <c r="K35" s="12">
        <f t="shared" si="12"/>
        <v>3130984</v>
      </c>
      <c r="L35" s="12">
        <f t="shared" si="12"/>
        <v>3130984</v>
      </c>
      <c r="M35" s="12">
        <f t="shared" si="12"/>
        <v>3130983.2</v>
      </c>
      <c r="N35" s="12">
        <f t="shared" si="12"/>
        <v>3130983.2</v>
      </c>
      <c r="O35" s="12">
        <f t="shared" si="12"/>
        <v>3130983.2</v>
      </c>
      <c r="P35" s="12">
        <f t="shared" si="12"/>
        <v>3130983.2</v>
      </c>
      <c r="Q35" s="12">
        <f t="shared" si="12"/>
        <v>3130983.2</v>
      </c>
      <c r="R35" s="12">
        <f t="shared" si="12"/>
        <v>3130983.2</v>
      </c>
      <c r="U35" s="16"/>
    </row>
    <row r="36" spans="1:21" x14ac:dyDescent="0.2">
      <c r="F36" s="2" t="s">
        <v>68</v>
      </c>
      <c r="G36" s="16">
        <v>463322</v>
      </c>
      <c r="H36" s="10">
        <v>266536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</row>
    <row r="37" spans="1:21" x14ac:dyDescent="0.2">
      <c r="F37" s="2" t="s">
        <v>27</v>
      </c>
      <c r="G37" s="16">
        <v>1210056</v>
      </c>
      <c r="H37" s="16">
        <v>1748254</v>
      </c>
      <c r="I37" s="16">
        <v>1559001</v>
      </c>
      <c r="J37" s="16">
        <v>1559001</v>
      </c>
      <c r="K37" s="16">
        <v>1559001</v>
      </c>
      <c r="L37" s="16">
        <v>1559001</v>
      </c>
      <c r="M37" s="16">
        <v>1559000.9</v>
      </c>
      <c r="N37" s="16">
        <v>1559000.9</v>
      </c>
      <c r="O37" s="16">
        <v>1559000.9</v>
      </c>
      <c r="P37" s="16">
        <v>1559000.9</v>
      </c>
      <c r="Q37" s="16">
        <v>1559000.9</v>
      </c>
      <c r="R37" s="16">
        <v>1559000.9</v>
      </c>
      <c r="U37" s="16"/>
    </row>
    <row r="38" spans="1:21" x14ac:dyDescent="0.2">
      <c r="F38" s="2" t="s">
        <v>145</v>
      </c>
      <c r="G38" s="16">
        <v>1064238</v>
      </c>
      <c r="H38" s="16">
        <v>1064238</v>
      </c>
      <c r="I38" s="16">
        <v>1064238</v>
      </c>
      <c r="J38" s="16">
        <v>1064238</v>
      </c>
      <c r="K38" s="16">
        <v>1064238</v>
      </c>
      <c r="L38" s="16">
        <v>1064238</v>
      </c>
      <c r="M38" s="16">
        <v>1064237.6000000001</v>
      </c>
      <c r="N38" s="16">
        <v>1064237.6000000001</v>
      </c>
      <c r="O38" s="16">
        <v>1064237.6000000001</v>
      </c>
      <c r="P38" s="16">
        <v>1064237.6000000001</v>
      </c>
      <c r="Q38" s="16">
        <v>1064237.6000000001</v>
      </c>
      <c r="R38" s="16">
        <v>1064237.6000000001</v>
      </c>
      <c r="U38" s="16"/>
    </row>
    <row r="39" spans="1:21" x14ac:dyDescent="0.2">
      <c r="F39" s="2" t="s">
        <v>67</v>
      </c>
      <c r="G39" s="16">
        <v>100126</v>
      </c>
      <c r="H39" s="16">
        <v>100126</v>
      </c>
      <c r="I39" s="16">
        <v>100126</v>
      </c>
      <c r="J39" s="16">
        <v>100126</v>
      </c>
      <c r="K39" s="16">
        <v>100126</v>
      </c>
      <c r="L39" s="16">
        <v>100126</v>
      </c>
      <c r="M39" s="16">
        <v>100125.7</v>
      </c>
      <c r="N39" s="16">
        <v>100125.7</v>
      </c>
      <c r="O39" s="16">
        <v>100125.7</v>
      </c>
      <c r="P39" s="16">
        <v>100125.7</v>
      </c>
      <c r="Q39" s="16">
        <v>100125.7</v>
      </c>
      <c r="R39" s="16">
        <v>100125.7</v>
      </c>
      <c r="U39" s="16"/>
    </row>
    <row r="40" spans="1:21" x14ac:dyDescent="0.2">
      <c r="F40" s="2" t="s">
        <v>66</v>
      </c>
      <c r="G40" s="10">
        <v>95805</v>
      </c>
      <c r="H40" s="10">
        <v>95805</v>
      </c>
      <c r="I40" s="10">
        <v>95805</v>
      </c>
      <c r="J40" s="10">
        <v>95805</v>
      </c>
      <c r="K40" s="10">
        <v>95805</v>
      </c>
      <c r="L40" s="10">
        <v>95805</v>
      </c>
      <c r="M40" s="10">
        <v>95805</v>
      </c>
      <c r="N40" s="10">
        <v>95805</v>
      </c>
      <c r="O40" s="10">
        <v>95805</v>
      </c>
      <c r="P40" s="10">
        <v>95805</v>
      </c>
      <c r="Q40" s="10">
        <v>95805</v>
      </c>
      <c r="R40" s="10">
        <v>95805</v>
      </c>
      <c r="U40" s="16"/>
    </row>
    <row r="41" spans="1:21" x14ac:dyDescent="0.2">
      <c r="F41" s="2" t="s">
        <v>72</v>
      </c>
      <c r="G41" s="10">
        <v>132682</v>
      </c>
      <c r="H41" s="10">
        <v>132682</v>
      </c>
      <c r="I41" s="10">
        <v>132682</v>
      </c>
      <c r="J41" s="10">
        <v>132682</v>
      </c>
      <c r="K41" s="10">
        <v>132682</v>
      </c>
      <c r="L41" s="10">
        <v>132682</v>
      </c>
      <c r="M41" s="10">
        <v>132682</v>
      </c>
      <c r="N41" s="10">
        <v>132682</v>
      </c>
      <c r="O41" s="10">
        <v>132682</v>
      </c>
      <c r="P41" s="10">
        <v>132682</v>
      </c>
      <c r="Q41" s="10">
        <v>132682</v>
      </c>
      <c r="R41" s="10">
        <v>132682</v>
      </c>
      <c r="U41" s="16"/>
    </row>
    <row r="42" spans="1:21" x14ac:dyDescent="0.2">
      <c r="F42" s="2" t="s">
        <v>73</v>
      </c>
      <c r="G42" s="10">
        <v>179132</v>
      </c>
      <c r="H42" s="10">
        <v>179132</v>
      </c>
      <c r="I42" s="10">
        <v>179132</v>
      </c>
      <c r="J42" s="10">
        <v>179132</v>
      </c>
      <c r="K42" s="10">
        <v>179132</v>
      </c>
      <c r="L42" s="10">
        <v>179132</v>
      </c>
      <c r="M42" s="10">
        <v>179132</v>
      </c>
      <c r="N42" s="10">
        <v>179132</v>
      </c>
      <c r="O42" s="10">
        <v>179132</v>
      </c>
      <c r="P42" s="10">
        <v>179132</v>
      </c>
      <c r="Q42" s="10">
        <v>179132</v>
      </c>
      <c r="R42" s="10">
        <v>179132</v>
      </c>
      <c r="U42" s="16"/>
    </row>
    <row r="43" spans="1:21" x14ac:dyDescent="0.2"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21" ht="15" x14ac:dyDescent="0.25">
      <c r="C44" s="13"/>
      <c r="D44" s="9"/>
      <c r="E44" s="9" t="s">
        <v>93</v>
      </c>
      <c r="G44" s="12">
        <f t="shared" ref="G44:H44" si="13">SUM(G45:G47)</f>
        <v>1089748</v>
      </c>
      <c r="H44" s="12">
        <f t="shared" si="13"/>
        <v>1089748</v>
      </c>
      <c r="I44" s="12">
        <f t="shared" ref="I44:R44" si="14">SUM(I45:I47)</f>
        <v>1089748</v>
      </c>
      <c r="J44" s="12">
        <f t="shared" si="14"/>
        <v>1089748</v>
      </c>
      <c r="K44" s="12">
        <f t="shared" si="14"/>
        <v>1117224</v>
      </c>
      <c r="L44" s="12">
        <f t="shared" si="14"/>
        <v>1147224</v>
      </c>
      <c r="M44" s="12">
        <f t="shared" si="14"/>
        <v>1187224</v>
      </c>
      <c r="N44" s="12">
        <f t="shared" si="14"/>
        <v>1097748</v>
      </c>
      <c r="O44" s="12">
        <f t="shared" si="14"/>
        <v>1097748</v>
      </c>
      <c r="P44" s="12">
        <f t="shared" si="14"/>
        <v>1097748</v>
      </c>
      <c r="Q44" s="12">
        <f t="shared" si="14"/>
        <v>1097748</v>
      </c>
      <c r="R44" s="12">
        <f t="shared" si="14"/>
        <v>1097748</v>
      </c>
      <c r="U44" s="16"/>
    </row>
    <row r="45" spans="1:21" ht="15" x14ac:dyDescent="0.25">
      <c r="A45" s="9"/>
      <c r="B45" s="9"/>
      <c r="C45" s="9"/>
      <c r="F45" s="2" t="s">
        <v>62</v>
      </c>
      <c r="G45" s="10">
        <v>408136</v>
      </c>
      <c r="H45" s="10">
        <v>408136</v>
      </c>
      <c r="I45" s="10">
        <v>408136</v>
      </c>
      <c r="J45" s="10">
        <v>408136</v>
      </c>
      <c r="K45" s="10">
        <v>408136</v>
      </c>
      <c r="L45" s="10">
        <v>408136</v>
      </c>
      <c r="M45" s="10">
        <v>408136</v>
      </c>
      <c r="N45" s="10">
        <v>288660</v>
      </c>
      <c r="O45" s="10">
        <v>288660</v>
      </c>
      <c r="P45" s="10">
        <v>288660</v>
      </c>
      <c r="Q45" s="10">
        <v>288660</v>
      </c>
      <c r="R45" s="10">
        <v>288660</v>
      </c>
    </row>
    <row r="46" spans="1:21" ht="15" x14ac:dyDescent="0.25">
      <c r="A46" s="9"/>
      <c r="B46" s="9"/>
      <c r="C46" s="9"/>
      <c r="F46" s="2" t="s">
        <v>16</v>
      </c>
      <c r="G46" s="10">
        <v>255837</v>
      </c>
      <c r="H46" s="10">
        <v>255837</v>
      </c>
      <c r="I46" s="10">
        <v>255837</v>
      </c>
      <c r="J46" s="10">
        <v>255837</v>
      </c>
      <c r="K46" s="10">
        <v>283313</v>
      </c>
      <c r="L46" s="10">
        <v>313313</v>
      </c>
      <c r="M46" s="10">
        <v>353313</v>
      </c>
      <c r="N46" s="10">
        <v>383313</v>
      </c>
      <c r="O46" s="10">
        <v>383313</v>
      </c>
      <c r="P46" s="10">
        <v>383313</v>
      </c>
      <c r="Q46" s="10">
        <v>383313</v>
      </c>
      <c r="R46" s="10">
        <v>383313</v>
      </c>
    </row>
    <row r="47" spans="1:21" ht="15" x14ac:dyDescent="0.25">
      <c r="A47" s="9"/>
      <c r="B47" s="9"/>
      <c r="C47" s="9"/>
      <c r="F47" s="2" t="s">
        <v>19</v>
      </c>
      <c r="G47" s="10">
        <v>425775</v>
      </c>
      <c r="H47" s="10">
        <v>425775</v>
      </c>
      <c r="I47" s="10">
        <v>425775</v>
      </c>
      <c r="J47" s="10">
        <v>425775</v>
      </c>
      <c r="K47" s="10">
        <v>425775</v>
      </c>
      <c r="L47" s="10">
        <v>425775</v>
      </c>
      <c r="M47" s="10">
        <v>425775</v>
      </c>
      <c r="N47" s="10">
        <v>425775</v>
      </c>
      <c r="O47" s="10">
        <v>425775</v>
      </c>
      <c r="P47" s="10">
        <v>425775</v>
      </c>
      <c r="Q47" s="10">
        <v>425775</v>
      </c>
      <c r="R47" s="10">
        <v>425775</v>
      </c>
    </row>
    <row r="48" spans="1:21" ht="15" x14ac:dyDescent="0.25">
      <c r="A48" s="9"/>
      <c r="B48" s="9"/>
      <c r="C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21" ht="15" x14ac:dyDescent="0.25">
      <c r="A49" s="9"/>
      <c r="B49" s="9"/>
      <c r="D49" s="9"/>
      <c r="E49" s="9" t="s">
        <v>94</v>
      </c>
      <c r="F49" s="9"/>
      <c r="G49" s="14">
        <v>50000</v>
      </c>
      <c r="H49" s="14">
        <v>50000</v>
      </c>
      <c r="I49" s="14">
        <v>50000</v>
      </c>
      <c r="J49" s="14">
        <v>50000</v>
      </c>
      <c r="K49" s="14">
        <v>50000</v>
      </c>
      <c r="L49" s="14">
        <v>50000</v>
      </c>
      <c r="M49" s="14">
        <v>50000</v>
      </c>
      <c r="N49" s="14">
        <v>50000</v>
      </c>
      <c r="O49" s="14">
        <v>50000</v>
      </c>
      <c r="P49" s="14">
        <v>50000</v>
      </c>
      <c r="Q49" s="14">
        <v>50000</v>
      </c>
      <c r="R49" s="14">
        <v>50000</v>
      </c>
      <c r="U49" s="16"/>
    </row>
    <row r="50" spans="1:21" ht="15" x14ac:dyDescent="0.25">
      <c r="A50" s="9"/>
      <c r="B50" s="9"/>
      <c r="C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21" ht="15" x14ac:dyDescent="0.25">
      <c r="A51" s="9"/>
      <c r="B51" s="9"/>
      <c r="D51" s="9"/>
      <c r="E51" s="9" t="s">
        <v>95</v>
      </c>
      <c r="F51" s="9"/>
      <c r="G51" s="14">
        <v>4982</v>
      </c>
      <c r="H51" s="14">
        <v>4917</v>
      </c>
      <c r="I51" s="14">
        <v>4859</v>
      </c>
      <c r="J51" s="14">
        <v>4810</v>
      </c>
      <c r="K51" s="14">
        <v>4750</v>
      </c>
      <c r="L51" s="14">
        <v>4651</v>
      </c>
      <c r="M51" s="14">
        <v>4583</v>
      </c>
      <c r="N51" s="14">
        <v>4507</v>
      </c>
      <c r="O51" s="14">
        <v>4419</v>
      </c>
      <c r="P51" s="14">
        <v>4306</v>
      </c>
      <c r="Q51" s="14">
        <v>4195</v>
      </c>
      <c r="R51" s="14">
        <v>4088.3</v>
      </c>
      <c r="U51" s="16"/>
    </row>
    <row r="52" spans="1:21" ht="15" x14ac:dyDescent="0.25">
      <c r="A52" s="9"/>
      <c r="B52" s="9"/>
      <c r="C52" s="9"/>
      <c r="D52" s="9"/>
      <c r="E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21" ht="15" x14ac:dyDescent="0.25">
      <c r="A53" s="9"/>
      <c r="B53" s="9"/>
      <c r="C53" s="13" t="s">
        <v>84</v>
      </c>
      <c r="D53" s="9"/>
      <c r="E53" s="9" t="s">
        <v>96</v>
      </c>
      <c r="G53" s="15">
        <f t="shared" ref="G53:R53" si="15">G54</f>
        <v>0</v>
      </c>
      <c r="H53" s="15">
        <f t="shared" si="15"/>
        <v>0</v>
      </c>
      <c r="I53" s="15">
        <f t="shared" si="15"/>
        <v>0</v>
      </c>
      <c r="J53" s="15">
        <f t="shared" si="15"/>
        <v>0</v>
      </c>
      <c r="K53" s="15">
        <f t="shared" si="15"/>
        <v>0</v>
      </c>
      <c r="L53" s="15">
        <f t="shared" si="15"/>
        <v>0</v>
      </c>
      <c r="M53" s="15">
        <f t="shared" si="15"/>
        <v>0</v>
      </c>
      <c r="N53" s="15">
        <f t="shared" si="15"/>
        <v>0</v>
      </c>
      <c r="O53" s="15">
        <f t="shared" si="15"/>
        <v>0</v>
      </c>
      <c r="P53" s="15">
        <f t="shared" si="15"/>
        <v>0</v>
      </c>
      <c r="Q53" s="15">
        <f t="shared" si="15"/>
        <v>0</v>
      </c>
      <c r="R53" s="15">
        <f t="shared" si="15"/>
        <v>0</v>
      </c>
    </row>
    <row r="54" spans="1:21" ht="15" hidden="1" x14ac:dyDescent="0.25">
      <c r="A54" s="9"/>
      <c r="B54" s="9"/>
      <c r="C54" s="13"/>
      <c r="D54" s="9"/>
      <c r="E54" s="9"/>
      <c r="F54" s="2" t="s">
        <v>79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</row>
    <row r="55" spans="1:21" ht="15" x14ac:dyDescent="0.25">
      <c r="A55" s="9"/>
      <c r="B55" s="9"/>
      <c r="C55" s="13"/>
      <c r="D55" s="9"/>
      <c r="E55" s="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21" ht="15" x14ac:dyDescent="0.25">
      <c r="A56" s="9"/>
      <c r="B56" s="9"/>
      <c r="C56" s="13"/>
      <c r="D56" s="9"/>
      <c r="E56" s="9" t="s">
        <v>143</v>
      </c>
      <c r="G56" s="14">
        <f t="shared" ref="G56:H56" si="16">SUM(G57:G59)</f>
        <v>161047</v>
      </c>
      <c r="H56" s="14">
        <f t="shared" si="16"/>
        <v>160394</v>
      </c>
      <c r="I56" s="14">
        <f t="shared" ref="I56:R56" si="17">SUM(I57:I59)</f>
        <v>160639</v>
      </c>
      <c r="J56" s="14">
        <f t="shared" si="17"/>
        <v>164417</v>
      </c>
      <c r="K56" s="14">
        <f t="shared" si="17"/>
        <v>167104</v>
      </c>
      <c r="L56" s="14">
        <f t="shared" si="17"/>
        <v>167486</v>
      </c>
      <c r="M56" s="14">
        <f t="shared" si="17"/>
        <v>167002</v>
      </c>
      <c r="N56" s="14">
        <f t="shared" si="17"/>
        <v>160408</v>
      </c>
      <c r="O56" s="14">
        <f t="shared" si="17"/>
        <v>159945.1</v>
      </c>
      <c r="P56" s="14">
        <f t="shared" si="17"/>
        <v>166173</v>
      </c>
      <c r="Q56" s="14">
        <f t="shared" si="17"/>
        <v>167326</v>
      </c>
      <c r="R56" s="14">
        <f t="shared" si="17"/>
        <v>165171</v>
      </c>
      <c r="U56" s="16"/>
    </row>
    <row r="57" spans="1:21" ht="15" x14ac:dyDescent="0.25">
      <c r="A57" s="9"/>
      <c r="B57" s="9"/>
      <c r="C57" s="13"/>
      <c r="D57" s="9"/>
      <c r="E57" s="9"/>
      <c r="F57" s="2" t="s">
        <v>141</v>
      </c>
      <c r="G57" s="10">
        <v>62816</v>
      </c>
      <c r="H57" s="10">
        <v>62562</v>
      </c>
      <c r="I57" s="10">
        <v>62657</v>
      </c>
      <c r="J57" s="10">
        <v>64131</v>
      </c>
      <c r="K57" s="10">
        <v>65179</v>
      </c>
      <c r="L57" s="10">
        <v>65328</v>
      </c>
      <c r="M57" s="10">
        <v>65139</v>
      </c>
      <c r="N57" s="10">
        <v>62567</v>
      </c>
      <c r="O57" s="10">
        <v>62386.6</v>
      </c>
      <c r="P57" s="10">
        <v>64816</v>
      </c>
      <c r="Q57" s="10">
        <v>65266</v>
      </c>
      <c r="R57" s="10">
        <v>64425</v>
      </c>
    </row>
    <row r="58" spans="1:21" ht="15" x14ac:dyDescent="0.25">
      <c r="A58" s="9"/>
      <c r="B58" s="9"/>
      <c r="C58" s="13"/>
      <c r="D58" s="9"/>
      <c r="E58" s="9"/>
      <c r="F58" s="2" t="s">
        <v>225</v>
      </c>
      <c r="G58" s="10">
        <v>71173</v>
      </c>
      <c r="H58" s="10">
        <v>70884</v>
      </c>
      <c r="I58" s="10">
        <v>70992</v>
      </c>
      <c r="J58" s="10">
        <v>72662</v>
      </c>
      <c r="K58" s="10">
        <v>73849</v>
      </c>
      <c r="L58" s="10">
        <v>74018</v>
      </c>
      <c r="M58" s="10">
        <v>73804</v>
      </c>
      <c r="N58" s="10">
        <v>70890</v>
      </c>
      <c r="O58" s="10">
        <v>70685.5</v>
      </c>
      <c r="P58" s="10">
        <v>73438</v>
      </c>
      <c r="Q58" s="10">
        <v>73947</v>
      </c>
      <c r="R58" s="10">
        <v>72995</v>
      </c>
    </row>
    <row r="59" spans="1:21" ht="15" x14ac:dyDescent="0.25">
      <c r="A59" s="9"/>
      <c r="B59" s="9"/>
      <c r="C59" s="13"/>
      <c r="D59" s="9"/>
      <c r="E59" s="9"/>
      <c r="F59" s="2" t="s">
        <v>144</v>
      </c>
      <c r="G59" s="10">
        <v>27058</v>
      </c>
      <c r="H59" s="10">
        <v>26948</v>
      </c>
      <c r="I59" s="10">
        <v>26990</v>
      </c>
      <c r="J59" s="10">
        <v>27624</v>
      </c>
      <c r="K59" s="10">
        <v>28076</v>
      </c>
      <c r="L59" s="10">
        <v>28140</v>
      </c>
      <c r="M59" s="10">
        <v>28059</v>
      </c>
      <c r="N59" s="10">
        <v>26951</v>
      </c>
      <c r="O59" s="10">
        <v>26873</v>
      </c>
      <c r="P59" s="10">
        <v>27919</v>
      </c>
      <c r="Q59" s="10">
        <v>28113</v>
      </c>
      <c r="R59" s="10">
        <v>27751</v>
      </c>
    </row>
    <row r="60" spans="1:21" ht="15" x14ac:dyDescent="0.25">
      <c r="A60" s="9"/>
      <c r="B60" s="9"/>
      <c r="C60" s="13"/>
      <c r="D60" s="9"/>
      <c r="E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21" s="9" customFormat="1" ht="15" x14ac:dyDescent="0.25">
      <c r="C61" s="13"/>
      <c r="E61" s="9" t="s">
        <v>226</v>
      </c>
      <c r="F61" s="9" t="s">
        <v>227</v>
      </c>
      <c r="G61" s="14">
        <f t="shared" ref="G61:R61" si="18">G62</f>
        <v>15000</v>
      </c>
      <c r="H61" s="14">
        <f t="shared" si="18"/>
        <v>15000</v>
      </c>
      <c r="I61" s="14">
        <f t="shared" si="18"/>
        <v>15000</v>
      </c>
      <c r="J61" s="14">
        <f t="shared" si="18"/>
        <v>15000</v>
      </c>
      <c r="K61" s="14">
        <f t="shared" si="18"/>
        <v>15000</v>
      </c>
      <c r="L61" s="14">
        <f t="shared" si="18"/>
        <v>15000</v>
      </c>
      <c r="M61" s="14">
        <f t="shared" si="18"/>
        <v>15000</v>
      </c>
      <c r="N61" s="14">
        <f t="shared" si="18"/>
        <v>15000</v>
      </c>
      <c r="O61" s="14">
        <f t="shared" si="18"/>
        <v>15000</v>
      </c>
      <c r="P61" s="14">
        <f t="shared" si="18"/>
        <v>15000</v>
      </c>
      <c r="Q61" s="14">
        <f t="shared" si="18"/>
        <v>0</v>
      </c>
      <c r="R61" s="14">
        <f t="shared" si="18"/>
        <v>0</v>
      </c>
      <c r="U61" s="16"/>
    </row>
    <row r="62" spans="1:21" ht="15" x14ac:dyDescent="0.25">
      <c r="A62" s="9"/>
      <c r="B62" s="9"/>
      <c r="C62" s="13"/>
      <c r="D62" s="9"/>
      <c r="E62" s="9"/>
      <c r="F62" s="2" t="s">
        <v>102</v>
      </c>
      <c r="G62" s="10">
        <v>15000</v>
      </c>
      <c r="H62" s="10">
        <v>15000</v>
      </c>
      <c r="I62" s="10">
        <v>15000</v>
      </c>
      <c r="J62" s="10">
        <v>15000</v>
      </c>
      <c r="K62" s="10">
        <v>15000</v>
      </c>
      <c r="L62" s="10">
        <v>15000</v>
      </c>
      <c r="M62" s="10">
        <v>15000</v>
      </c>
      <c r="N62" s="10">
        <v>15000</v>
      </c>
      <c r="O62" s="10">
        <v>15000</v>
      </c>
      <c r="P62" s="10">
        <v>15000</v>
      </c>
      <c r="Q62" s="10">
        <v>0</v>
      </c>
      <c r="R62" s="10">
        <v>0</v>
      </c>
    </row>
    <row r="63" spans="1:21" ht="15" x14ac:dyDescent="0.25">
      <c r="A63" s="9"/>
      <c r="B63" s="9"/>
      <c r="C63" s="13"/>
      <c r="D63" s="9"/>
      <c r="E63" s="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1" ht="15" x14ac:dyDescent="0.25">
      <c r="A64" s="9" t="s">
        <v>49</v>
      </c>
      <c r="B64" s="9"/>
      <c r="C64" s="9"/>
      <c r="D64" s="9"/>
      <c r="E64" s="9"/>
      <c r="F64" s="9"/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</row>
    <row r="65" spans="1:7" x14ac:dyDescent="0.2">
      <c r="G65" s="16"/>
    </row>
    <row r="66" spans="1:7" x14ac:dyDescent="0.2">
      <c r="G66" s="16" t="s">
        <v>84</v>
      </c>
    </row>
    <row r="67" spans="1:7" x14ac:dyDescent="0.2">
      <c r="G67" s="16"/>
    </row>
    <row r="68" spans="1:7" x14ac:dyDescent="0.2">
      <c r="A68" s="17"/>
      <c r="B68" s="78" t="s">
        <v>21</v>
      </c>
      <c r="C68" s="18"/>
      <c r="D68" s="18"/>
      <c r="E68" s="18"/>
      <c r="F68" s="18"/>
      <c r="G68" s="18"/>
    </row>
    <row r="69" spans="1:7" x14ac:dyDescent="0.2">
      <c r="B69" s="19"/>
      <c r="C69" s="19"/>
      <c r="D69" s="20"/>
      <c r="E69" s="20"/>
      <c r="G69" s="20"/>
    </row>
    <row r="70" spans="1:7" x14ac:dyDescent="0.2">
      <c r="B70" s="79"/>
      <c r="C70" s="79"/>
      <c r="D70" s="79"/>
      <c r="E70" s="79"/>
      <c r="F70" s="79"/>
    </row>
    <row r="71" spans="1:7" x14ac:dyDescent="0.2">
      <c r="A71" s="18"/>
      <c r="B71" s="18"/>
      <c r="C71" s="18"/>
    </row>
    <row r="72" spans="1:7" x14ac:dyDescent="0.2">
      <c r="A72" s="20"/>
      <c r="B72" s="18"/>
      <c r="C72" s="18"/>
    </row>
    <row r="74" spans="1:7" x14ac:dyDescent="0.2">
      <c r="F74" s="21" t="s">
        <v>71</v>
      </c>
    </row>
  </sheetData>
  <mergeCells count="17">
    <mergeCell ref="B70:F70"/>
    <mergeCell ref="A6:F7"/>
    <mergeCell ref="G6:G7"/>
    <mergeCell ref="A1:R1"/>
    <mergeCell ref="A2:R2"/>
    <mergeCell ref="A3:R3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H6:H7"/>
  </mergeCells>
  <printOptions horizontalCentered="1"/>
  <pageMargins left="0" right="0" top="0.51181102362204722" bottom="0.51181102362204722" header="0.31496062992125984" footer="0.31496062992125984"/>
  <pageSetup paperSize="9" scale="5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78"/>
  <sheetViews>
    <sheetView zoomScaleNormal="100" workbookViewId="0">
      <pane xSplit="5" ySplit="7" topLeftCell="F8" activePane="bottomRight" state="frozen"/>
      <selection pane="topRight" activeCell="F1" sqref="F1"/>
      <selection pane="bottomLeft" activeCell="A10" sqref="A10"/>
      <selection pane="bottomRight" activeCell="R16" sqref="R16"/>
    </sheetView>
  </sheetViews>
  <sheetFormatPr defaultColWidth="8.8554687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9" style="23" customWidth="1"/>
    <col min="6" max="6" width="10.140625" style="23" customWidth="1"/>
    <col min="7" max="7" width="11" style="23" customWidth="1"/>
    <col min="8" max="8" width="10.28515625" style="23" customWidth="1"/>
    <col min="9" max="9" width="10.42578125" style="23" customWidth="1"/>
    <col min="10" max="10" width="10.7109375" style="23" customWidth="1"/>
    <col min="11" max="11" width="10.28515625" style="23" customWidth="1"/>
    <col min="12" max="13" width="10.42578125" style="23" customWidth="1"/>
    <col min="14" max="14" width="10.85546875" style="23" customWidth="1"/>
    <col min="15" max="15" width="11" style="23" customWidth="1"/>
    <col min="16" max="16" width="10.28515625" style="23" customWidth="1"/>
    <col min="17" max="17" width="10.42578125" style="23" customWidth="1"/>
    <col min="18" max="18" width="13.42578125" style="23" customWidth="1"/>
    <col min="19" max="256" width="9.140625" style="23"/>
    <col min="257" max="258" width="0.42578125" style="23" customWidth="1"/>
    <col min="259" max="259" width="1.85546875" style="23" customWidth="1"/>
    <col min="260" max="260" width="0.85546875" style="23" customWidth="1"/>
    <col min="261" max="261" width="29" style="23" customWidth="1"/>
    <col min="262" max="262" width="10.140625" style="23" customWidth="1"/>
    <col min="263" max="263" width="11" style="23" customWidth="1"/>
    <col min="264" max="264" width="10.28515625" style="23" customWidth="1"/>
    <col min="265" max="265" width="10.42578125" style="23" customWidth="1"/>
    <col min="266" max="266" width="10.7109375" style="23" customWidth="1"/>
    <col min="267" max="267" width="10.28515625" style="23" customWidth="1"/>
    <col min="268" max="269" width="10.42578125" style="23" customWidth="1"/>
    <col min="270" max="270" width="10.85546875" style="23" customWidth="1"/>
    <col min="271" max="271" width="11" style="23" customWidth="1"/>
    <col min="272" max="272" width="10.28515625" style="23" customWidth="1"/>
    <col min="273" max="273" width="10.42578125" style="23" customWidth="1"/>
    <col min="274" max="274" width="13.42578125" style="23" customWidth="1"/>
    <col min="275" max="512" width="9.140625" style="23"/>
    <col min="513" max="514" width="0.42578125" style="23" customWidth="1"/>
    <col min="515" max="515" width="1.85546875" style="23" customWidth="1"/>
    <col min="516" max="516" width="0.85546875" style="23" customWidth="1"/>
    <col min="517" max="517" width="29" style="23" customWidth="1"/>
    <col min="518" max="518" width="10.140625" style="23" customWidth="1"/>
    <col min="519" max="519" width="11" style="23" customWidth="1"/>
    <col min="520" max="520" width="10.28515625" style="23" customWidth="1"/>
    <col min="521" max="521" width="10.42578125" style="23" customWidth="1"/>
    <col min="522" max="522" width="10.7109375" style="23" customWidth="1"/>
    <col min="523" max="523" width="10.28515625" style="23" customWidth="1"/>
    <col min="524" max="525" width="10.42578125" style="23" customWidth="1"/>
    <col min="526" max="526" width="10.85546875" style="23" customWidth="1"/>
    <col min="527" max="527" width="11" style="23" customWidth="1"/>
    <col min="528" max="528" width="10.28515625" style="23" customWidth="1"/>
    <col min="529" max="529" width="10.42578125" style="23" customWidth="1"/>
    <col min="530" max="530" width="13.42578125" style="23" customWidth="1"/>
    <col min="531" max="768" width="9.140625" style="23"/>
    <col min="769" max="770" width="0.42578125" style="23" customWidth="1"/>
    <col min="771" max="771" width="1.85546875" style="23" customWidth="1"/>
    <col min="772" max="772" width="0.85546875" style="23" customWidth="1"/>
    <col min="773" max="773" width="29" style="23" customWidth="1"/>
    <col min="774" max="774" width="10.140625" style="23" customWidth="1"/>
    <col min="775" max="775" width="11" style="23" customWidth="1"/>
    <col min="776" max="776" width="10.28515625" style="23" customWidth="1"/>
    <col min="777" max="777" width="10.42578125" style="23" customWidth="1"/>
    <col min="778" max="778" width="10.7109375" style="23" customWidth="1"/>
    <col min="779" max="779" width="10.28515625" style="23" customWidth="1"/>
    <col min="780" max="781" width="10.42578125" style="23" customWidth="1"/>
    <col min="782" max="782" width="10.85546875" style="23" customWidth="1"/>
    <col min="783" max="783" width="11" style="23" customWidth="1"/>
    <col min="784" max="784" width="10.28515625" style="23" customWidth="1"/>
    <col min="785" max="785" width="10.42578125" style="23" customWidth="1"/>
    <col min="786" max="786" width="13.42578125" style="23" customWidth="1"/>
    <col min="787" max="1024" width="9.140625" style="23"/>
    <col min="1025" max="1026" width="0.42578125" style="23" customWidth="1"/>
    <col min="1027" max="1027" width="1.85546875" style="23" customWidth="1"/>
    <col min="1028" max="1028" width="0.85546875" style="23" customWidth="1"/>
    <col min="1029" max="1029" width="29" style="23" customWidth="1"/>
    <col min="1030" max="1030" width="10.140625" style="23" customWidth="1"/>
    <col min="1031" max="1031" width="11" style="23" customWidth="1"/>
    <col min="1032" max="1032" width="10.28515625" style="23" customWidth="1"/>
    <col min="1033" max="1033" width="10.42578125" style="23" customWidth="1"/>
    <col min="1034" max="1034" width="10.7109375" style="23" customWidth="1"/>
    <col min="1035" max="1035" width="10.28515625" style="23" customWidth="1"/>
    <col min="1036" max="1037" width="10.42578125" style="23" customWidth="1"/>
    <col min="1038" max="1038" width="10.85546875" style="23" customWidth="1"/>
    <col min="1039" max="1039" width="11" style="23" customWidth="1"/>
    <col min="1040" max="1040" width="10.28515625" style="23" customWidth="1"/>
    <col min="1041" max="1041" width="10.42578125" style="23" customWidth="1"/>
    <col min="1042" max="1042" width="13.42578125" style="23" customWidth="1"/>
    <col min="1043" max="1280" width="9.140625" style="23"/>
    <col min="1281" max="1282" width="0.42578125" style="23" customWidth="1"/>
    <col min="1283" max="1283" width="1.85546875" style="23" customWidth="1"/>
    <col min="1284" max="1284" width="0.85546875" style="23" customWidth="1"/>
    <col min="1285" max="1285" width="29" style="23" customWidth="1"/>
    <col min="1286" max="1286" width="10.140625" style="23" customWidth="1"/>
    <col min="1287" max="1287" width="11" style="23" customWidth="1"/>
    <col min="1288" max="1288" width="10.28515625" style="23" customWidth="1"/>
    <col min="1289" max="1289" width="10.42578125" style="23" customWidth="1"/>
    <col min="1290" max="1290" width="10.7109375" style="23" customWidth="1"/>
    <col min="1291" max="1291" width="10.28515625" style="23" customWidth="1"/>
    <col min="1292" max="1293" width="10.42578125" style="23" customWidth="1"/>
    <col min="1294" max="1294" width="10.85546875" style="23" customWidth="1"/>
    <col min="1295" max="1295" width="11" style="23" customWidth="1"/>
    <col min="1296" max="1296" width="10.28515625" style="23" customWidth="1"/>
    <col min="1297" max="1297" width="10.42578125" style="23" customWidth="1"/>
    <col min="1298" max="1298" width="13.42578125" style="23" customWidth="1"/>
    <col min="1299" max="1536" width="9.140625" style="23"/>
    <col min="1537" max="1538" width="0.42578125" style="23" customWidth="1"/>
    <col min="1539" max="1539" width="1.85546875" style="23" customWidth="1"/>
    <col min="1540" max="1540" width="0.85546875" style="23" customWidth="1"/>
    <col min="1541" max="1541" width="29" style="23" customWidth="1"/>
    <col min="1542" max="1542" width="10.140625" style="23" customWidth="1"/>
    <col min="1543" max="1543" width="11" style="23" customWidth="1"/>
    <col min="1544" max="1544" width="10.28515625" style="23" customWidth="1"/>
    <col min="1545" max="1545" width="10.42578125" style="23" customWidth="1"/>
    <col min="1546" max="1546" width="10.7109375" style="23" customWidth="1"/>
    <col min="1547" max="1547" width="10.28515625" style="23" customWidth="1"/>
    <col min="1548" max="1549" width="10.42578125" style="23" customWidth="1"/>
    <col min="1550" max="1550" width="10.85546875" style="23" customWidth="1"/>
    <col min="1551" max="1551" width="11" style="23" customWidth="1"/>
    <col min="1552" max="1552" width="10.28515625" style="23" customWidth="1"/>
    <col min="1553" max="1553" width="10.42578125" style="23" customWidth="1"/>
    <col min="1554" max="1554" width="13.42578125" style="23" customWidth="1"/>
    <col min="1555" max="1792" width="9.140625" style="23"/>
    <col min="1793" max="1794" width="0.42578125" style="23" customWidth="1"/>
    <col min="1795" max="1795" width="1.85546875" style="23" customWidth="1"/>
    <col min="1796" max="1796" width="0.85546875" style="23" customWidth="1"/>
    <col min="1797" max="1797" width="29" style="23" customWidth="1"/>
    <col min="1798" max="1798" width="10.140625" style="23" customWidth="1"/>
    <col min="1799" max="1799" width="11" style="23" customWidth="1"/>
    <col min="1800" max="1800" width="10.28515625" style="23" customWidth="1"/>
    <col min="1801" max="1801" width="10.42578125" style="23" customWidth="1"/>
    <col min="1802" max="1802" width="10.7109375" style="23" customWidth="1"/>
    <col min="1803" max="1803" width="10.28515625" style="23" customWidth="1"/>
    <col min="1804" max="1805" width="10.42578125" style="23" customWidth="1"/>
    <col min="1806" max="1806" width="10.85546875" style="23" customWidth="1"/>
    <col min="1807" max="1807" width="11" style="23" customWidth="1"/>
    <col min="1808" max="1808" width="10.28515625" style="23" customWidth="1"/>
    <col min="1809" max="1809" width="10.42578125" style="23" customWidth="1"/>
    <col min="1810" max="1810" width="13.42578125" style="23" customWidth="1"/>
    <col min="1811" max="2048" width="9.140625" style="23"/>
    <col min="2049" max="2050" width="0.42578125" style="23" customWidth="1"/>
    <col min="2051" max="2051" width="1.85546875" style="23" customWidth="1"/>
    <col min="2052" max="2052" width="0.85546875" style="23" customWidth="1"/>
    <col min="2053" max="2053" width="29" style="23" customWidth="1"/>
    <col min="2054" max="2054" width="10.140625" style="23" customWidth="1"/>
    <col min="2055" max="2055" width="11" style="23" customWidth="1"/>
    <col min="2056" max="2056" width="10.28515625" style="23" customWidth="1"/>
    <col min="2057" max="2057" width="10.42578125" style="23" customWidth="1"/>
    <col min="2058" max="2058" width="10.7109375" style="23" customWidth="1"/>
    <col min="2059" max="2059" width="10.28515625" style="23" customWidth="1"/>
    <col min="2060" max="2061" width="10.42578125" style="23" customWidth="1"/>
    <col min="2062" max="2062" width="10.85546875" style="23" customWidth="1"/>
    <col min="2063" max="2063" width="11" style="23" customWidth="1"/>
    <col min="2064" max="2064" width="10.28515625" style="23" customWidth="1"/>
    <col min="2065" max="2065" width="10.42578125" style="23" customWidth="1"/>
    <col min="2066" max="2066" width="13.42578125" style="23" customWidth="1"/>
    <col min="2067" max="2304" width="9.140625" style="23"/>
    <col min="2305" max="2306" width="0.42578125" style="23" customWidth="1"/>
    <col min="2307" max="2307" width="1.85546875" style="23" customWidth="1"/>
    <col min="2308" max="2308" width="0.85546875" style="23" customWidth="1"/>
    <col min="2309" max="2309" width="29" style="23" customWidth="1"/>
    <col min="2310" max="2310" width="10.140625" style="23" customWidth="1"/>
    <col min="2311" max="2311" width="11" style="23" customWidth="1"/>
    <col min="2312" max="2312" width="10.28515625" style="23" customWidth="1"/>
    <col min="2313" max="2313" width="10.42578125" style="23" customWidth="1"/>
    <col min="2314" max="2314" width="10.7109375" style="23" customWidth="1"/>
    <col min="2315" max="2315" width="10.28515625" style="23" customWidth="1"/>
    <col min="2316" max="2317" width="10.42578125" style="23" customWidth="1"/>
    <col min="2318" max="2318" width="10.85546875" style="23" customWidth="1"/>
    <col min="2319" max="2319" width="11" style="23" customWidth="1"/>
    <col min="2320" max="2320" width="10.28515625" style="23" customWidth="1"/>
    <col min="2321" max="2321" width="10.42578125" style="23" customWidth="1"/>
    <col min="2322" max="2322" width="13.42578125" style="23" customWidth="1"/>
    <col min="2323" max="2560" width="9.140625" style="23"/>
    <col min="2561" max="2562" width="0.42578125" style="23" customWidth="1"/>
    <col min="2563" max="2563" width="1.85546875" style="23" customWidth="1"/>
    <col min="2564" max="2564" width="0.85546875" style="23" customWidth="1"/>
    <col min="2565" max="2565" width="29" style="23" customWidth="1"/>
    <col min="2566" max="2566" width="10.140625" style="23" customWidth="1"/>
    <col min="2567" max="2567" width="11" style="23" customWidth="1"/>
    <col min="2568" max="2568" width="10.28515625" style="23" customWidth="1"/>
    <col min="2569" max="2569" width="10.42578125" style="23" customWidth="1"/>
    <col min="2570" max="2570" width="10.7109375" style="23" customWidth="1"/>
    <col min="2571" max="2571" width="10.28515625" style="23" customWidth="1"/>
    <col min="2572" max="2573" width="10.42578125" style="23" customWidth="1"/>
    <col min="2574" max="2574" width="10.85546875" style="23" customWidth="1"/>
    <col min="2575" max="2575" width="11" style="23" customWidth="1"/>
    <col min="2576" max="2576" width="10.28515625" style="23" customWidth="1"/>
    <col min="2577" max="2577" width="10.42578125" style="23" customWidth="1"/>
    <col min="2578" max="2578" width="13.42578125" style="23" customWidth="1"/>
    <col min="2579" max="2816" width="9.140625" style="23"/>
    <col min="2817" max="2818" width="0.42578125" style="23" customWidth="1"/>
    <col min="2819" max="2819" width="1.85546875" style="23" customWidth="1"/>
    <col min="2820" max="2820" width="0.85546875" style="23" customWidth="1"/>
    <col min="2821" max="2821" width="29" style="23" customWidth="1"/>
    <col min="2822" max="2822" width="10.140625" style="23" customWidth="1"/>
    <col min="2823" max="2823" width="11" style="23" customWidth="1"/>
    <col min="2824" max="2824" width="10.28515625" style="23" customWidth="1"/>
    <col min="2825" max="2825" width="10.42578125" style="23" customWidth="1"/>
    <col min="2826" max="2826" width="10.7109375" style="23" customWidth="1"/>
    <col min="2827" max="2827" width="10.28515625" style="23" customWidth="1"/>
    <col min="2828" max="2829" width="10.42578125" style="23" customWidth="1"/>
    <col min="2830" max="2830" width="10.85546875" style="23" customWidth="1"/>
    <col min="2831" max="2831" width="11" style="23" customWidth="1"/>
    <col min="2832" max="2832" width="10.28515625" style="23" customWidth="1"/>
    <col min="2833" max="2833" width="10.42578125" style="23" customWidth="1"/>
    <col min="2834" max="2834" width="13.42578125" style="23" customWidth="1"/>
    <col min="2835" max="3072" width="9.140625" style="23"/>
    <col min="3073" max="3074" width="0.42578125" style="23" customWidth="1"/>
    <col min="3075" max="3075" width="1.85546875" style="23" customWidth="1"/>
    <col min="3076" max="3076" width="0.85546875" style="23" customWidth="1"/>
    <col min="3077" max="3077" width="29" style="23" customWidth="1"/>
    <col min="3078" max="3078" width="10.140625" style="23" customWidth="1"/>
    <col min="3079" max="3079" width="11" style="23" customWidth="1"/>
    <col min="3080" max="3080" width="10.28515625" style="23" customWidth="1"/>
    <col min="3081" max="3081" width="10.42578125" style="23" customWidth="1"/>
    <col min="3082" max="3082" width="10.7109375" style="23" customWidth="1"/>
    <col min="3083" max="3083" width="10.28515625" style="23" customWidth="1"/>
    <col min="3084" max="3085" width="10.42578125" style="23" customWidth="1"/>
    <col min="3086" max="3086" width="10.85546875" style="23" customWidth="1"/>
    <col min="3087" max="3087" width="11" style="23" customWidth="1"/>
    <col min="3088" max="3088" width="10.28515625" style="23" customWidth="1"/>
    <col min="3089" max="3089" width="10.42578125" style="23" customWidth="1"/>
    <col min="3090" max="3090" width="13.42578125" style="23" customWidth="1"/>
    <col min="3091" max="3328" width="9.140625" style="23"/>
    <col min="3329" max="3330" width="0.42578125" style="23" customWidth="1"/>
    <col min="3331" max="3331" width="1.85546875" style="23" customWidth="1"/>
    <col min="3332" max="3332" width="0.85546875" style="23" customWidth="1"/>
    <col min="3333" max="3333" width="29" style="23" customWidth="1"/>
    <col min="3334" max="3334" width="10.140625" style="23" customWidth="1"/>
    <col min="3335" max="3335" width="11" style="23" customWidth="1"/>
    <col min="3336" max="3336" width="10.28515625" style="23" customWidth="1"/>
    <col min="3337" max="3337" width="10.42578125" style="23" customWidth="1"/>
    <col min="3338" max="3338" width="10.7109375" style="23" customWidth="1"/>
    <col min="3339" max="3339" width="10.28515625" style="23" customWidth="1"/>
    <col min="3340" max="3341" width="10.42578125" style="23" customWidth="1"/>
    <col min="3342" max="3342" width="10.85546875" style="23" customWidth="1"/>
    <col min="3343" max="3343" width="11" style="23" customWidth="1"/>
    <col min="3344" max="3344" width="10.28515625" style="23" customWidth="1"/>
    <col min="3345" max="3345" width="10.42578125" style="23" customWidth="1"/>
    <col min="3346" max="3346" width="13.42578125" style="23" customWidth="1"/>
    <col min="3347" max="3584" width="9.140625" style="23"/>
    <col min="3585" max="3586" width="0.42578125" style="23" customWidth="1"/>
    <col min="3587" max="3587" width="1.85546875" style="23" customWidth="1"/>
    <col min="3588" max="3588" width="0.85546875" style="23" customWidth="1"/>
    <col min="3589" max="3589" width="29" style="23" customWidth="1"/>
    <col min="3590" max="3590" width="10.140625" style="23" customWidth="1"/>
    <col min="3591" max="3591" width="11" style="23" customWidth="1"/>
    <col min="3592" max="3592" width="10.28515625" style="23" customWidth="1"/>
    <col min="3593" max="3593" width="10.42578125" style="23" customWidth="1"/>
    <col min="3594" max="3594" width="10.7109375" style="23" customWidth="1"/>
    <col min="3595" max="3595" width="10.28515625" style="23" customWidth="1"/>
    <col min="3596" max="3597" width="10.42578125" style="23" customWidth="1"/>
    <col min="3598" max="3598" width="10.85546875" style="23" customWidth="1"/>
    <col min="3599" max="3599" width="11" style="23" customWidth="1"/>
    <col min="3600" max="3600" width="10.28515625" style="23" customWidth="1"/>
    <col min="3601" max="3601" width="10.42578125" style="23" customWidth="1"/>
    <col min="3602" max="3602" width="13.42578125" style="23" customWidth="1"/>
    <col min="3603" max="3840" width="9.140625" style="23"/>
    <col min="3841" max="3842" width="0.42578125" style="23" customWidth="1"/>
    <col min="3843" max="3843" width="1.85546875" style="23" customWidth="1"/>
    <col min="3844" max="3844" width="0.85546875" style="23" customWidth="1"/>
    <col min="3845" max="3845" width="29" style="23" customWidth="1"/>
    <col min="3846" max="3846" width="10.140625" style="23" customWidth="1"/>
    <col min="3847" max="3847" width="11" style="23" customWidth="1"/>
    <col min="3848" max="3848" width="10.28515625" style="23" customWidth="1"/>
    <col min="3849" max="3849" width="10.42578125" style="23" customWidth="1"/>
    <col min="3850" max="3850" width="10.7109375" style="23" customWidth="1"/>
    <col min="3851" max="3851" width="10.28515625" style="23" customWidth="1"/>
    <col min="3852" max="3853" width="10.42578125" style="23" customWidth="1"/>
    <col min="3854" max="3854" width="10.85546875" style="23" customWidth="1"/>
    <col min="3855" max="3855" width="11" style="23" customWidth="1"/>
    <col min="3856" max="3856" width="10.28515625" style="23" customWidth="1"/>
    <col min="3857" max="3857" width="10.42578125" style="23" customWidth="1"/>
    <col min="3858" max="3858" width="13.42578125" style="23" customWidth="1"/>
    <col min="3859" max="4096" width="9.140625" style="23"/>
    <col min="4097" max="4098" width="0.42578125" style="23" customWidth="1"/>
    <col min="4099" max="4099" width="1.85546875" style="23" customWidth="1"/>
    <col min="4100" max="4100" width="0.85546875" style="23" customWidth="1"/>
    <col min="4101" max="4101" width="29" style="23" customWidth="1"/>
    <col min="4102" max="4102" width="10.140625" style="23" customWidth="1"/>
    <col min="4103" max="4103" width="11" style="23" customWidth="1"/>
    <col min="4104" max="4104" width="10.28515625" style="23" customWidth="1"/>
    <col min="4105" max="4105" width="10.42578125" style="23" customWidth="1"/>
    <col min="4106" max="4106" width="10.7109375" style="23" customWidth="1"/>
    <col min="4107" max="4107" width="10.28515625" style="23" customWidth="1"/>
    <col min="4108" max="4109" width="10.42578125" style="23" customWidth="1"/>
    <col min="4110" max="4110" width="10.85546875" style="23" customWidth="1"/>
    <col min="4111" max="4111" width="11" style="23" customWidth="1"/>
    <col min="4112" max="4112" width="10.28515625" style="23" customWidth="1"/>
    <col min="4113" max="4113" width="10.42578125" style="23" customWidth="1"/>
    <col min="4114" max="4114" width="13.42578125" style="23" customWidth="1"/>
    <col min="4115" max="4352" width="9.140625" style="23"/>
    <col min="4353" max="4354" width="0.42578125" style="23" customWidth="1"/>
    <col min="4355" max="4355" width="1.85546875" style="23" customWidth="1"/>
    <col min="4356" max="4356" width="0.85546875" style="23" customWidth="1"/>
    <col min="4357" max="4357" width="29" style="23" customWidth="1"/>
    <col min="4358" max="4358" width="10.140625" style="23" customWidth="1"/>
    <col min="4359" max="4359" width="11" style="23" customWidth="1"/>
    <col min="4360" max="4360" width="10.28515625" style="23" customWidth="1"/>
    <col min="4361" max="4361" width="10.42578125" style="23" customWidth="1"/>
    <col min="4362" max="4362" width="10.7109375" style="23" customWidth="1"/>
    <col min="4363" max="4363" width="10.28515625" style="23" customWidth="1"/>
    <col min="4364" max="4365" width="10.42578125" style="23" customWidth="1"/>
    <col min="4366" max="4366" width="10.85546875" style="23" customWidth="1"/>
    <col min="4367" max="4367" width="11" style="23" customWidth="1"/>
    <col min="4368" max="4368" width="10.28515625" style="23" customWidth="1"/>
    <col min="4369" max="4369" width="10.42578125" style="23" customWidth="1"/>
    <col min="4370" max="4370" width="13.42578125" style="23" customWidth="1"/>
    <col min="4371" max="4608" width="9.140625" style="23"/>
    <col min="4609" max="4610" width="0.42578125" style="23" customWidth="1"/>
    <col min="4611" max="4611" width="1.85546875" style="23" customWidth="1"/>
    <col min="4612" max="4612" width="0.85546875" style="23" customWidth="1"/>
    <col min="4613" max="4613" width="29" style="23" customWidth="1"/>
    <col min="4614" max="4614" width="10.140625" style="23" customWidth="1"/>
    <col min="4615" max="4615" width="11" style="23" customWidth="1"/>
    <col min="4616" max="4616" width="10.28515625" style="23" customWidth="1"/>
    <col min="4617" max="4617" width="10.42578125" style="23" customWidth="1"/>
    <col min="4618" max="4618" width="10.7109375" style="23" customWidth="1"/>
    <col min="4619" max="4619" width="10.28515625" style="23" customWidth="1"/>
    <col min="4620" max="4621" width="10.42578125" style="23" customWidth="1"/>
    <col min="4622" max="4622" width="10.85546875" style="23" customWidth="1"/>
    <col min="4623" max="4623" width="11" style="23" customWidth="1"/>
    <col min="4624" max="4624" width="10.28515625" style="23" customWidth="1"/>
    <col min="4625" max="4625" width="10.42578125" style="23" customWidth="1"/>
    <col min="4626" max="4626" width="13.42578125" style="23" customWidth="1"/>
    <col min="4627" max="4864" width="9.140625" style="23"/>
    <col min="4865" max="4866" width="0.42578125" style="23" customWidth="1"/>
    <col min="4867" max="4867" width="1.85546875" style="23" customWidth="1"/>
    <col min="4868" max="4868" width="0.85546875" style="23" customWidth="1"/>
    <col min="4869" max="4869" width="29" style="23" customWidth="1"/>
    <col min="4870" max="4870" width="10.140625" style="23" customWidth="1"/>
    <col min="4871" max="4871" width="11" style="23" customWidth="1"/>
    <col min="4872" max="4872" width="10.28515625" style="23" customWidth="1"/>
    <col min="4873" max="4873" width="10.42578125" style="23" customWidth="1"/>
    <col min="4874" max="4874" width="10.7109375" style="23" customWidth="1"/>
    <col min="4875" max="4875" width="10.28515625" style="23" customWidth="1"/>
    <col min="4876" max="4877" width="10.42578125" style="23" customWidth="1"/>
    <col min="4878" max="4878" width="10.85546875" style="23" customWidth="1"/>
    <col min="4879" max="4879" width="11" style="23" customWidth="1"/>
    <col min="4880" max="4880" width="10.28515625" style="23" customWidth="1"/>
    <col min="4881" max="4881" width="10.42578125" style="23" customWidth="1"/>
    <col min="4882" max="4882" width="13.42578125" style="23" customWidth="1"/>
    <col min="4883" max="5120" width="9.140625" style="23"/>
    <col min="5121" max="5122" width="0.42578125" style="23" customWidth="1"/>
    <col min="5123" max="5123" width="1.85546875" style="23" customWidth="1"/>
    <col min="5124" max="5124" width="0.85546875" style="23" customWidth="1"/>
    <col min="5125" max="5125" width="29" style="23" customWidth="1"/>
    <col min="5126" max="5126" width="10.140625" style="23" customWidth="1"/>
    <col min="5127" max="5127" width="11" style="23" customWidth="1"/>
    <col min="5128" max="5128" width="10.28515625" style="23" customWidth="1"/>
    <col min="5129" max="5129" width="10.42578125" style="23" customWidth="1"/>
    <col min="5130" max="5130" width="10.7109375" style="23" customWidth="1"/>
    <col min="5131" max="5131" width="10.28515625" style="23" customWidth="1"/>
    <col min="5132" max="5133" width="10.42578125" style="23" customWidth="1"/>
    <col min="5134" max="5134" width="10.85546875" style="23" customWidth="1"/>
    <col min="5135" max="5135" width="11" style="23" customWidth="1"/>
    <col min="5136" max="5136" width="10.28515625" style="23" customWidth="1"/>
    <col min="5137" max="5137" width="10.42578125" style="23" customWidth="1"/>
    <col min="5138" max="5138" width="13.42578125" style="23" customWidth="1"/>
    <col min="5139" max="5376" width="9.140625" style="23"/>
    <col min="5377" max="5378" width="0.42578125" style="23" customWidth="1"/>
    <col min="5379" max="5379" width="1.85546875" style="23" customWidth="1"/>
    <col min="5380" max="5380" width="0.85546875" style="23" customWidth="1"/>
    <col min="5381" max="5381" width="29" style="23" customWidth="1"/>
    <col min="5382" max="5382" width="10.140625" style="23" customWidth="1"/>
    <col min="5383" max="5383" width="11" style="23" customWidth="1"/>
    <col min="5384" max="5384" width="10.28515625" style="23" customWidth="1"/>
    <col min="5385" max="5385" width="10.42578125" style="23" customWidth="1"/>
    <col min="5386" max="5386" width="10.7109375" style="23" customWidth="1"/>
    <col min="5387" max="5387" width="10.28515625" style="23" customWidth="1"/>
    <col min="5388" max="5389" width="10.42578125" style="23" customWidth="1"/>
    <col min="5390" max="5390" width="10.85546875" style="23" customWidth="1"/>
    <col min="5391" max="5391" width="11" style="23" customWidth="1"/>
    <col min="5392" max="5392" width="10.28515625" style="23" customWidth="1"/>
    <col min="5393" max="5393" width="10.42578125" style="23" customWidth="1"/>
    <col min="5394" max="5394" width="13.42578125" style="23" customWidth="1"/>
    <col min="5395" max="5632" width="9.140625" style="23"/>
    <col min="5633" max="5634" width="0.42578125" style="23" customWidth="1"/>
    <col min="5635" max="5635" width="1.85546875" style="23" customWidth="1"/>
    <col min="5636" max="5636" width="0.85546875" style="23" customWidth="1"/>
    <col min="5637" max="5637" width="29" style="23" customWidth="1"/>
    <col min="5638" max="5638" width="10.140625" style="23" customWidth="1"/>
    <col min="5639" max="5639" width="11" style="23" customWidth="1"/>
    <col min="5640" max="5640" width="10.28515625" style="23" customWidth="1"/>
    <col min="5641" max="5641" width="10.42578125" style="23" customWidth="1"/>
    <col min="5642" max="5642" width="10.7109375" style="23" customWidth="1"/>
    <col min="5643" max="5643" width="10.28515625" style="23" customWidth="1"/>
    <col min="5644" max="5645" width="10.42578125" style="23" customWidth="1"/>
    <col min="5646" max="5646" width="10.85546875" style="23" customWidth="1"/>
    <col min="5647" max="5647" width="11" style="23" customWidth="1"/>
    <col min="5648" max="5648" width="10.28515625" style="23" customWidth="1"/>
    <col min="5649" max="5649" width="10.42578125" style="23" customWidth="1"/>
    <col min="5650" max="5650" width="13.42578125" style="23" customWidth="1"/>
    <col min="5651" max="5888" width="9.140625" style="23"/>
    <col min="5889" max="5890" width="0.42578125" style="23" customWidth="1"/>
    <col min="5891" max="5891" width="1.85546875" style="23" customWidth="1"/>
    <col min="5892" max="5892" width="0.85546875" style="23" customWidth="1"/>
    <col min="5893" max="5893" width="29" style="23" customWidth="1"/>
    <col min="5894" max="5894" width="10.140625" style="23" customWidth="1"/>
    <col min="5895" max="5895" width="11" style="23" customWidth="1"/>
    <col min="5896" max="5896" width="10.28515625" style="23" customWidth="1"/>
    <col min="5897" max="5897" width="10.42578125" style="23" customWidth="1"/>
    <col min="5898" max="5898" width="10.7109375" style="23" customWidth="1"/>
    <col min="5899" max="5899" width="10.28515625" style="23" customWidth="1"/>
    <col min="5900" max="5901" width="10.42578125" style="23" customWidth="1"/>
    <col min="5902" max="5902" width="10.85546875" style="23" customWidth="1"/>
    <col min="5903" max="5903" width="11" style="23" customWidth="1"/>
    <col min="5904" max="5904" width="10.28515625" style="23" customWidth="1"/>
    <col min="5905" max="5905" width="10.42578125" style="23" customWidth="1"/>
    <col min="5906" max="5906" width="13.42578125" style="23" customWidth="1"/>
    <col min="5907" max="6144" width="9.140625" style="23"/>
    <col min="6145" max="6146" width="0.42578125" style="23" customWidth="1"/>
    <col min="6147" max="6147" width="1.85546875" style="23" customWidth="1"/>
    <col min="6148" max="6148" width="0.85546875" style="23" customWidth="1"/>
    <col min="6149" max="6149" width="29" style="23" customWidth="1"/>
    <col min="6150" max="6150" width="10.140625" style="23" customWidth="1"/>
    <col min="6151" max="6151" width="11" style="23" customWidth="1"/>
    <col min="6152" max="6152" width="10.28515625" style="23" customWidth="1"/>
    <col min="6153" max="6153" width="10.42578125" style="23" customWidth="1"/>
    <col min="6154" max="6154" width="10.7109375" style="23" customWidth="1"/>
    <col min="6155" max="6155" width="10.28515625" style="23" customWidth="1"/>
    <col min="6156" max="6157" width="10.42578125" style="23" customWidth="1"/>
    <col min="6158" max="6158" width="10.85546875" style="23" customWidth="1"/>
    <col min="6159" max="6159" width="11" style="23" customWidth="1"/>
    <col min="6160" max="6160" width="10.28515625" style="23" customWidth="1"/>
    <col min="6161" max="6161" width="10.42578125" style="23" customWidth="1"/>
    <col min="6162" max="6162" width="13.42578125" style="23" customWidth="1"/>
    <col min="6163" max="6400" width="9.140625" style="23"/>
    <col min="6401" max="6402" width="0.42578125" style="23" customWidth="1"/>
    <col min="6403" max="6403" width="1.85546875" style="23" customWidth="1"/>
    <col min="6404" max="6404" width="0.85546875" style="23" customWidth="1"/>
    <col min="6405" max="6405" width="29" style="23" customWidth="1"/>
    <col min="6406" max="6406" width="10.140625" style="23" customWidth="1"/>
    <col min="6407" max="6407" width="11" style="23" customWidth="1"/>
    <col min="6408" max="6408" width="10.28515625" style="23" customWidth="1"/>
    <col min="6409" max="6409" width="10.42578125" style="23" customWidth="1"/>
    <col min="6410" max="6410" width="10.7109375" style="23" customWidth="1"/>
    <col min="6411" max="6411" width="10.28515625" style="23" customWidth="1"/>
    <col min="6412" max="6413" width="10.42578125" style="23" customWidth="1"/>
    <col min="6414" max="6414" width="10.85546875" style="23" customWidth="1"/>
    <col min="6415" max="6415" width="11" style="23" customWidth="1"/>
    <col min="6416" max="6416" width="10.28515625" style="23" customWidth="1"/>
    <col min="6417" max="6417" width="10.42578125" style="23" customWidth="1"/>
    <col min="6418" max="6418" width="13.42578125" style="23" customWidth="1"/>
    <col min="6419" max="6656" width="9.140625" style="23"/>
    <col min="6657" max="6658" width="0.42578125" style="23" customWidth="1"/>
    <col min="6659" max="6659" width="1.85546875" style="23" customWidth="1"/>
    <col min="6660" max="6660" width="0.85546875" style="23" customWidth="1"/>
    <col min="6661" max="6661" width="29" style="23" customWidth="1"/>
    <col min="6662" max="6662" width="10.140625" style="23" customWidth="1"/>
    <col min="6663" max="6663" width="11" style="23" customWidth="1"/>
    <col min="6664" max="6664" width="10.28515625" style="23" customWidth="1"/>
    <col min="6665" max="6665" width="10.42578125" style="23" customWidth="1"/>
    <col min="6666" max="6666" width="10.7109375" style="23" customWidth="1"/>
    <col min="6667" max="6667" width="10.28515625" style="23" customWidth="1"/>
    <col min="6668" max="6669" width="10.42578125" style="23" customWidth="1"/>
    <col min="6670" max="6670" width="10.85546875" style="23" customWidth="1"/>
    <col min="6671" max="6671" width="11" style="23" customWidth="1"/>
    <col min="6672" max="6672" width="10.28515625" style="23" customWidth="1"/>
    <col min="6673" max="6673" width="10.42578125" style="23" customWidth="1"/>
    <col min="6674" max="6674" width="13.42578125" style="23" customWidth="1"/>
    <col min="6675" max="6912" width="9.140625" style="23"/>
    <col min="6913" max="6914" width="0.42578125" style="23" customWidth="1"/>
    <col min="6915" max="6915" width="1.85546875" style="23" customWidth="1"/>
    <col min="6916" max="6916" width="0.85546875" style="23" customWidth="1"/>
    <col min="6917" max="6917" width="29" style="23" customWidth="1"/>
    <col min="6918" max="6918" width="10.140625" style="23" customWidth="1"/>
    <col min="6919" max="6919" width="11" style="23" customWidth="1"/>
    <col min="6920" max="6920" width="10.28515625" style="23" customWidth="1"/>
    <col min="6921" max="6921" width="10.42578125" style="23" customWidth="1"/>
    <col min="6922" max="6922" width="10.7109375" style="23" customWidth="1"/>
    <col min="6923" max="6923" width="10.28515625" style="23" customWidth="1"/>
    <col min="6924" max="6925" width="10.42578125" style="23" customWidth="1"/>
    <col min="6926" max="6926" width="10.85546875" style="23" customWidth="1"/>
    <col min="6927" max="6927" width="11" style="23" customWidth="1"/>
    <col min="6928" max="6928" width="10.28515625" style="23" customWidth="1"/>
    <col min="6929" max="6929" width="10.42578125" style="23" customWidth="1"/>
    <col min="6930" max="6930" width="13.42578125" style="23" customWidth="1"/>
    <col min="6931" max="7168" width="9.140625" style="23"/>
    <col min="7169" max="7170" width="0.42578125" style="23" customWidth="1"/>
    <col min="7171" max="7171" width="1.85546875" style="23" customWidth="1"/>
    <col min="7172" max="7172" width="0.85546875" style="23" customWidth="1"/>
    <col min="7173" max="7173" width="29" style="23" customWidth="1"/>
    <col min="7174" max="7174" width="10.140625" style="23" customWidth="1"/>
    <col min="7175" max="7175" width="11" style="23" customWidth="1"/>
    <col min="7176" max="7176" width="10.28515625" style="23" customWidth="1"/>
    <col min="7177" max="7177" width="10.42578125" style="23" customWidth="1"/>
    <col min="7178" max="7178" width="10.7109375" style="23" customWidth="1"/>
    <col min="7179" max="7179" width="10.28515625" style="23" customWidth="1"/>
    <col min="7180" max="7181" width="10.42578125" style="23" customWidth="1"/>
    <col min="7182" max="7182" width="10.85546875" style="23" customWidth="1"/>
    <col min="7183" max="7183" width="11" style="23" customWidth="1"/>
    <col min="7184" max="7184" width="10.28515625" style="23" customWidth="1"/>
    <col min="7185" max="7185" width="10.42578125" style="23" customWidth="1"/>
    <col min="7186" max="7186" width="13.42578125" style="23" customWidth="1"/>
    <col min="7187" max="7424" width="9.140625" style="23"/>
    <col min="7425" max="7426" width="0.42578125" style="23" customWidth="1"/>
    <col min="7427" max="7427" width="1.85546875" style="23" customWidth="1"/>
    <col min="7428" max="7428" width="0.85546875" style="23" customWidth="1"/>
    <col min="7429" max="7429" width="29" style="23" customWidth="1"/>
    <col min="7430" max="7430" width="10.140625" style="23" customWidth="1"/>
    <col min="7431" max="7431" width="11" style="23" customWidth="1"/>
    <col min="7432" max="7432" width="10.28515625" style="23" customWidth="1"/>
    <col min="7433" max="7433" width="10.42578125" style="23" customWidth="1"/>
    <col min="7434" max="7434" width="10.7109375" style="23" customWidth="1"/>
    <col min="7435" max="7435" width="10.28515625" style="23" customWidth="1"/>
    <col min="7436" max="7437" width="10.42578125" style="23" customWidth="1"/>
    <col min="7438" max="7438" width="10.85546875" style="23" customWidth="1"/>
    <col min="7439" max="7439" width="11" style="23" customWidth="1"/>
    <col min="7440" max="7440" width="10.28515625" style="23" customWidth="1"/>
    <col min="7441" max="7441" width="10.42578125" style="23" customWidth="1"/>
    <col min="7442" max="7442" width="13.42578125" style="23" customWidth="1"/>
    <col min="7443" max="7680" width="9.140625" style="23"/>
    <col min="7681" max="7682" width="0.42578125" style="23" customWidth="1"/>
    <col min="7683" max="7683" width="1.85546875" style="23" customWidth="1"/>
    <col min="7684" max="7684" width="0.85546875" style="23" customWidth="1"/>
    <col min="7685" max="7685" width="29" style="23" customWidth="1"/>
    <col min="7686" max="7686" width="10.140625" style="23" customWidth="1"/>
    <col min="7687" max="7687" width="11" style="23" customWidth="1"/>
    <col min="7688" max="7688" width="10.28515625" style="23" customWidth="1"/>
    <col min="7689" max="7689" width="10.42578125" style="23" customWidth="1"/>
    <col min="7690" max="7690" width="10.7109375" style="23" customWidth="1"/>
    <col min="7691" max="7691" width="10.28515625" style="23" customWidth="1"/>
    <col min="7692" max="7693" width="10.42578125" style="23" customWidth="1"/>
    <col min="7694" max="7694" width="10.85546875" style="23" customWidth="1"/>
    <col min="7695" max="7695" width="11" style="23" customWidth="1"/>
    <col min="7696" max="7696" width="10.28515625" style="23" customWidth="1"/>
    <col min="7697" max="7697" width="10.42578125" style="23" customWidth="1"/>
    <col min="7698" max="7698" width="13.42578125" style="23" customWidth="1"/>
    <col min="7699" max="7936" width="9.140625" style="23"/>
    <col min="7937" max="7938" width="0.42578125" style="23" customWidth="1"/>
    <col min="7939" max="7939" width="1.85546875" style="23" customWidth="1"/>
    <col min="7940" max="7940" width="0.85546875" style="23" customWidth="1"/>
    <col min="7941" max="7941" width="29" style="23" customWidth="1"/>
    <col min="7942" max="7942" width="10.140625" style="23" customWidth="1"/>
    <col min="7943" max="7943" width="11" style="23" customWidth="1"/>
    <col min="7944" max="7944" width="10.28515625" style="23" customWidth="1"/>
    <col min="7945" max="7945" width="10.42578125" style="23" customWidth="1"/>
    <col min="7946" max="7946" width="10.7109375" style="23" customWidth="1"/>
    <col min="7947" max="7947" width="10.28515625" style="23" customWidth="1"/>
    <col min="7948" max="7949" width="10.42578125" style="23" customWidth="1"/>
    <col min="7950" max="7950" width="10.85546875" style="23" customWidth="1"/>
    <col min="7951" max="7951" width="11" style="23" customWidth="1"/>
    <col min="7952" max="7952" width="10.28515625" style="23" customWidth="1"/>
    <col min="7953" max="7953" width="10.42578125" style="23" customWidth="1"/>
    <col min="7954" max="7954" width="13.42578125" style="23" customWidth="1"/>
    <col min="7955" max="8192" width="9.140625" style="23"/>
    <col min="8193" max="8194" width="0.42578125" style="23" customWidth="1"/>
    <col min="8195" max="8195" width="1.85546875" style="23" customWidth="1"/>
    <col min="8196" max="8196" width="0.85546875" style="23" customWidth="1"/>
    <col min="8197" max="8197" width="29" style="23" customWidth="1"/>
    <col min="8198" max="8198" width="10.140625" style="23" customWidth="1"/>
    <col min="8199" max="8199" width="11" style="23" customWidth="1"/>
    <col min="8200" max="8200" width="10.28515625" style="23" customWidth="1"/>
    <col min="8201" max="8201" width="10.42578125" style="23" customWidth="1"/>
    <col min="8202" max="8202" width="10.7109375" style="23" customWidth="1"/>
    <col min="8203" max="8203" width="10.28515625" style="23" customWidth="1"/>
    <col min="8204" max="8205" width="10.42578125" style="23" customWidth="1"/>
    <col min="8206" max="8206" width="10.85546875" style="23" customWidth="1"/>
    <col min="8207" max="8207" width="11" style="23" customWidth="1"/>
    <col min="8208" max="8208" width="10.28515625" style="23" customWidth="1"/>
    <col min="8209" max="8209" width="10.42578125" style="23" customWidth="1"/>
    <col min="8210" max="8210" width="13.42578125" style="23" customWidth="1"/>
    <col min="8211" max="8448" width="9.140625" style="23"/>
    <col min="8449" max="8450" width="0.42578125" style="23" customWidth="1"/>
    <col min="8451" max="8451" width="1.85546875" style="23" customWidth="1"/>
    <col min="8452" max="8452" width="0.85546875" style="23" customWidth="1"/>
    <col min="8453" max="8453" width="29" style="23" customWidth="1"/>
    <col min="8454" max="8454" width="10.140625" style="23" customWidth="1"/>
    <col min="8455" max="8455" width="11" style="23" customWidth="1"/>
    <col min="8456" max="8456" width="10.28515625" style="23" customWidth="1"/>
    <col min="8457" max="8457" width="10.42578125" style="23" customWidth="1"/>
    <col min="8458" max="8458" width="10.7109375" style="23" customWidth="1"/>
    <col min="8459" max="8459" width="10.28515625" style="23" customWidth="1"/>
    <col min="8460" max="8461" width="10.42578125" style="23" customWidth="1"/>
    <col min="8462" max="8462" width="10.85546875" style="23" customWidth="1"/>
    <col min="8463" max="8463" width="11" style="23" customWidth="1"/>
    <col min="8464" max="8464" width="10.28515625" style="23" customWidth="1"/>
    <col min="8465" max="8465" width="10.42578125" style="23" customWidth="1"/>
    <col min="8466" max="8466" width="13.42578125" style="23" customWidth="1"/>
    <col min="8467" max="8704" width="9.140625" style="23"/>
    <col min="8705" max="8706" width="0.42578125" style="23" customWidth="1"/>
    <col min="8707" max="8707" width="1.85546875" style="23" customWidth="1"/>
    <col min="8708" max="8708" width="0.85546875" style="23" customWidth="1"/>
    <col min="8709" max="8709" width="29" style="23" customWidth="1"/>
    <col min="8710" max="8710" width="10.140625" style="23" customWidth="1"/>
    <col min="8711" max="8711" width="11" style="23" customWidth="1"/>
    <col min="8712" max="8712" width="10.28515625" style="23" customWidth="1"/>
    <col min="8713" max="8713" width="10.42578125" style="23" customWidth="1"/>
    <col min="8714" max="8714" width="10.7109375" style="23" customWidth="1"/>
    <col min="8715" max="8715" width="10.28515625" style="23" customWidth="1"/>
    <col min="8716" max="8717" width="10.42578125" style="23" customWidth="1"/>
    <col min="8718" max="8718" width="10.85546875" style="23" customWidth="1"/>
    <col min="8719" max="8719" width="11" style="23" customWidth="1"/>
    <col min="8720" max="8720" width="10.28515625" style="23" customWidth="1"/>
    <col min="8721" max="8721" width="10.42578125" style="23" customWidth="1"/>
    <col min="8722" max="8722" width="13.42578125" style="23" customWidth="1"/>
    <col min="8723" max="8960" width="9.140625" style="23"/>
    <col min="8961" max="8962" width="0.42578125" style="23" customWidth="1"/>
    <col min="8963" max="8963" width="1.85546875" style="23" customWidth="1"/>
    <col min="8964" max="8964" width="0.85546875" style="23" customWidth="1"/>
    <col min="8965" max="8965" width="29" style="23" customWidth="1"/>
    <col min="8966" max="8966" width="10.140625" style="23" customWidth="1"/>
    <col min="8967" max="8967" width="11" style="23" customWidth="1"/>
    <col min="8968" max="8968" width="10.28515625" style="23" customWidth="1"/>
    <col min="8969" max="8969" width="10.42578125" style="23" customWidth="1"/>
    <col min="8970" max="8970" width="10.7109375" style="23" customWidth="1"/>
    <col min="8971" max="8971" width="10.28515625" style="23" customWidth="1"/>
    <col min="8972" max="8973" width="10.42578125" style="23" customWidth="1"/>
    <col min="8974" max="8974" width="10.85546875" style="23" customWidth="1"/>
    <col min="8975" max="8975" width="11" style="23" customWidth="1"/>
    <col min="8976" max="8976" width="10.28515625" style="23" customWidth="1"/>
    <col min="8977" max="8977" width="10.42578125" style="23" customWidth="1"/>
    <col min="8978" max="8978" width="13.42578125" style="23" customWidth="1"/>
    <col min="8979" max="9216" width="9.140625" style="23"/>
    <col min="9217" max="9218" width="0.42578125" style="23" customWidth="1"/>
    <col min="9219" max="9219" width="1.85546875" style="23" customWidth="1"/>
    <col min="9220" max="9220" width="0.85546875" style="23" customWidth="1"/>
    <col min="9221" max="9221" width="29" style="23" customWidth="1"/>
    <col min="9222" max="9222" width="10.140625" style="23" customWidth="1"/>
    <col min="9223" max="9223" width="11" style="23" customWidth="1"/>
    <col min="9224" max="9224" width="10.28515625" style="23" customWidth="1"/>
    <col min="9225" max="9225" width="10.42578125" style="23" customWidth="1"/>
    <col min="9226" max="9226" width="10.7109375" style="23" customWidth="1"/>
    <col min="9227" max="9227" width="10.28515625" style="23" customWidth="1"/>
    <col min="9228" max="9229" width="10.42578125" style="23" customWidth="1"/>
    <col min="9230" max="9230" width="10.85546875" style="23" customWidth="1"/>
    <col min="9231" max="9231" width="11" style="23" customWidth="1"/>
    <col min="9232" max="9232" width="10.28515625" style="23" customWidth="1"/>
    <col min="9233" max="9233" width="10.42578125" style="23" customWidth="1"/>
    <col min="9234" max="9234" width="13.42578125" style="23" customWidth="1"/>
    <col min="9235" max="9472" width="9.140625" style="23"/>
    <col min="9473" max="9474" width="0.42578125" style="23" customWidth="1"/>
    <col min="9475" max="9475" width="1.85546875" style="23" customWidth="1"/>
    <col min="9476" max="9476" width="0.85546875" style="23" customWidth="1"/>
    <col min="9477" max="9477" width="29" style="23" customWidth="1"/>
    <col min="9478" max="9478" width="10.140625" style="23" customWidth="1"/>
    <col min="9479" max="9479" width="11" style="23" customWidth="1"/>
    <col min="9480" max="9480" width="10.28515625" style="23" customWidth="1"/>
    <col min="9481" max="9481" width="10.42578125" style="23" customWidth="1"/>
    <col min="9482" max="9482" width="10.7109375" style="23" customWidth="1"/>
    <col min="9483" max="9483" width="10.28515625" style="23" customWidth="1"/>
    <col min="9484" max="9485" width="10.42578125" style="23" customWidth="1"/>
    <col min="9486" max="9486" width="10.85546875" style="23" customWidth="1"/>
    <col min="9487" max="9487" width="11" style="23" customWidth="1"/>
    <col min="9488" max="9488" width="10.28515625" style="23" customWidth="1"/>
    <col min="9489" max="9489" width="10.42578125" style="23" customWidth="1"/>
    <col min="9490" max="9490" width="13.42578125" style="23" customWidth="1"/>
    <col min="9491" max="9728" width="9.140625" style="23"/>
    <col min="9729" max="9730" width="0.42578125" style="23" customWidth="1"/>
    <col min="9731" max="9731" width="1.85546875" style="23" customWidth="1"/>
    <col min="9732" max="9732" width="0.85546875" style="23" customWidth="1"/>
    <col min="9733" max="9733" width="29" style="23" customWidth="1"/>
    <col min="9734" max="9734" width="10.140625" style="23" customWidth="1"/>
    <col min="9735" max="9735" width="11" style="23" customWidth="1"/>
    <col min="9736" max="9736" width="10.28515625" style="23" customWidth="1"/>
    <col min="9737" max="9737" width="10.42578125" style="23" customWidth="1"/>
    <col min="9738" max="9738" width="10.7109375" style="23" customWidth="1"/>
    <col min="9739" max="9739" width="10.28515625" style="23" customWidth="1"/>
    <col min="9740" max="9741" width="10.42578125" style="23" customWidth="1"/>
    <col min="9742" max="9742" width="10.85546875" style="23" customWidth="1"/>
    <col min="9743" max="9743" width="11" style="23" customWidth="1"/>
    <col min="9744" max="9744" width="10.28515625" style="23" customWidth="1"/>
    <col min="9745" max="9745" width="10.42578125" style="23" customWidth="1"/>
    <col min="9746" max="9746" width="13.42578125" style="23" customWidth="1"/>
    <col min="9747" max="9984" width="9.140625" style="23"/>
    <col min="9985" max="9986" width="0.42578125" style="23" customWidth="1"/>
    <col min="9987" max="9987" width="1.85546875" style="23" customWidth="1"/>
    <col min="9988" max="9988" width="0.85546875" style="23" customWidth="1"/>
    <col min="9989" max="9989" width="29" style="23" customWidth="1"/>
    <col min="9990" max="9990" width="10.140625" style="23" customWidth="1"/>
    <col min="9991" max="9991" width="11" style="23" customWidth="1"/>
    <col min="9992" max="9992" width="10.28515625" style="23" customWidth="1"/>
    <col min="9993" max="9993" width="10.42578125" style="23" customWidth="1"/>
    <col min="9994" max="9994" width="10.7109375" style="23" customWidth="1"/>
    <col min="9995" max="9995" width="10.28515625" style="23" customWidth="1"/>
    <col min="9996" max="9997" width="10.42578125" style="23" customWidth="1"/>
    <col min="9998" max="9998" width="10.85546875" style="23" customWidth="1"/>
    <col min="9999" max="9999" width="11" style="23" customWidth="1"/>
    <col min="10000" max="10000" width="10.28515625" style="23" customWidth="1"/>
    <col min="10001" max="10001" width="10.42578125" style="23" customWidth="1"/>
    <col min="10002" max="10002" width="13.42578125" style="23" customWidth="1"/>
    <col min="10003" max="10240" width="9.140625" style="23"/>
    <col min="10241" max="10242" width="0.42578125" style="23" customWidth="1"/>
    <col min="10243" max="10243" width="1.85546875" style="23" customWidth="1"/>
    <col min="10244" max="10244" width="0.85546875" style="23" customWidth="1"/>
    <col min="10245" max="10245" width="29" style="23" customWidth="1"/>
    <col min="10246" max="10246" width="10.140625" style="23" customWidth="1"/>
    <col min="10247" max="10247" width="11" style="23" customWidth="1"/>
    <col min="10248" max="10248" width="10.28515625" style="23" customWidth="1"/>
    <col min="10249" max="10249" width="10.42578125" style="23" customWidth="1"/>
    <col min="10250" max="10250" width="10.7109375" style="23" customWidth="1"/>
    <col min="10251" max="10251" width="10.28515625" style="23" customWidth="1"/>
    <col min="10252" max="10253" width="10.42578125" style="23" customWidth="1"/>
    <col min="10254" max="10254" width="10.85546875" style="23" customWidth="1"/>
    <col min="10255" max="10255" width="11" style="23" customWidth="1"/>
    <col min="10256" max="10256" width="10.28515625" style="23" customWidth="1"/>
    <col min="10257" max="10257" width="10.42578125" style="23" customWidth="1"/>
    <col min="10258" max="10258" width="13.42578125" style="23" customWidth="1"/>
    <col min="10259" max="10496" width="9.140625" style="23"/>
    <col min="10497" max="10498" width="0.42578125" style="23" customWidth="1"/>
    <col min="10499" max="10499" width="1.85546875" style="23" customWidth="1"/>
    <col min="10500" max="10500" width="0.85546875" style="23" customWidth="1"/>
    <col min="10501" max="10501" width="29" style="23" customWidth="1"/>
    <col min="10502" max="10502" width="10.140625" style="23" customWidth="1"/>
    <col min="10503" max="10503" width="11" style="23" customWidth="1"/>
    <col min="10504" max="10504" width="10.28515625" style="23" customWidth="1"/>
    <col min="10505" max="10505" width="10.42578125" style="23" customWidth="1"/>
    <col min="10506" max="10506" width="10.7109375" style="23" customWidth="1"/>
    <col min="10507" max="10507" width="10.28515625" style="23" customWidth="1"/>
    <col min="10508" max="10509" width="10.42578125" style="23" customWidth="1"/>
    <col min="10510" max="10510" width="10.85546875" style="23" customWidth="1"/>
    <col min="10511" max="10511" width="11" style="23" customWidth="1"/>
    <col min="10512" max="10512" width="10.28515625" style="23" customWidth="1"/>
    <col min="10513" max="10513" width="10.42578125" style="23" customWidth="1"/>
    <col min="10514" max="10514" width="13.42578125" style="23" customWidth="1"/>
    <col min="10515" max="10752" width="9.140625" style="23"/>
    <col min="10753" max="10754" width="0.42578125" style="23" customWidth="1"/>
    <col min="10755" max="10755" width="1.85546875" style="23" customWidth="1"/>
    <col min="10756" max="10756" width="0.85546875" style="23" customWidth="1"/>
    <col min="10757" max="10757" width="29" style="23" customWidth="1"/>
    <col min="10758" max="10758" width="10.140625" style="23" customWidth="1"/>
    <col min="10759" max="10759" width="11" style="23" customWidth="1"/>
    <col min="10760" max="10760" width="10.28515625" style="23" customWidth="1"/>
    <col min="10761" max="10761" width="10.42578125" style="23" customWidth="1"/>
    <col min="10762" max="10762" width="10.7109375" style="23" customWidth="1"/>
    <col min="10763" max="10763" width="10.28515625" style="23" customWidth="1"/>
    <col min="10764" max="10765" width="10.42578125" style="23" customWidth="1"/>
    <col min="10766" max="10766" width="10.85546875" style="23" customWidth="1"/>
    <col min="10767" max="10767" width="11" style="23" customWidth="1"/>
    <col min="10768" max="10768" width="10.28515625" style="23" customWidth="1"/>
    <col min="10769" max="10769" width="10.42578125" style="23" customWidth="1"/>
    <col min="10770" max="10770" width="13.42578125" style="23" customWidth="1"/>
    <col min="10771" max="11008" width="9.140625" style="23"/>
    <col min="11009" max="11010" width="0.42578125" style="23" customWidth="1"/>
    <col min="11011" max="11011" width="1.85546875" style="23" customWidth="1"/>
    <col min="11012" max="11012" width="0.85546875" style="23" customWidth="1"/>
    <col min="11013" max="11013" width="29" style="23" customWidth="1"/>
    <col min="11014" max="11014" width="10.140625" style="23" customWidth="1"/>
    <col min="11015" max="11015" width="11" style="23" customWidth="1"/>
    <col min="11016" max="11016" width="10.28515625" style="23" customWidth="1"/>
    <col min="11017" max="11017" width="10.42578125" style="23" customWidth="1"/>
    <col min="11018" max="11018" width="10.7109375" style="23" customWidth="1"/>
    <col min="11019" max="11019" width="10.28515625" style="23" customWidth="1"/>
    <col min="11020" max="11021" width="10.42578125" style="23" customWidth="1"/>
    <col min="11022" max="11022" width="10.85546875" style="23" customWidth="1"/>
    <col min="11023" max="11023" width="11" style="23" customWidth="1"/>
    <col min="11024" max="11024" width="10.28515625" style="23" customWidth="1"/>
    <col min="11025" max="11025" width="10.42578125" style="23" customWidth="1"/>
    <col min="11026" max="11026" width="13.42578125" style="23" customWidth="1"/>
    <col min="11027" max="11264" width="9.140625" style="23"/>
    <col min="11265" max="11266" width="0.42578125" style="23" customWidth="1"/>
    <col min="11267" max="11267" width="1.85546875" style="23" customWidth="1"/>
    <col min="11268" max="11268" width="0.85546875" style="23" customWidth="1"/>
    <col min="11269" max="11269" width="29" style="23" customWidth="1"/>
    <col min="11270" max="11270" width="10.140625" style="23" customWidth="1"/>
    <col min="11271" max="11271" width="11" style="23" customWidth="1"/>
    <col min="11272" max="11272" width="10.28515625" style="23" customWidth="1"/>
    <col min="11273" max="11273" width="10.42578125" style="23" customWidth="1"/>
    <col min="11274" max="11274" width="10.7109375" style="23" customWidth="1"/>
    <col min="11275" max="11275" width="10.28515625" style="23" customWidth="1"/>
    <col min="11276" max="11277" width="10.42578125" style="23" customWidth="1"/>
    <col min="11278" max="11278" width="10.85546875" style="23" customWidth="1"/>
    <col min="11279" max="11279" width="11" style="23" customWidth="1"/>
    <col min="11280" max="11280" width="10.28515625" style="23" customWidth="1"/>
    <col min="11281" max="11281" width="10.42578125" style="23" customWidth="1"/>
    <col min="11282" max="11282" width="13.42578125" style="23" customWidth="1"/>
    <col min="11283" max="11520" width="9.140625" style="23"/>
    <col min="11521" max="11522" width="0.42578125" style="23" customWidth="1"/>
    <col min="11523" max="11523" width="1.85546875" style="23" customWidth="1"/>
    <col min="11524" max="11524" width="0.85546875" style="23" customWidth="1"/>
    <col min="11525" max="11525" width="29" style="23" customWidth="1"/>
    <col min="11526" max="11526" width="10.140625" style="23" customWidth="1"/>
    <col min="11527" max="11527" width="11" style="23" customWidth="1"/>
    <col min="11528" max="11528" width="10.28515625" style="23" customWidth="1"/>
    <col min="11529" max="11529" width="10.42578125" style="23" customWidth="1"/>
    <col min="11530" max="11530" width="10.7109375" style="23" customWidth="1"/>
    <col min="11531" max="11531" width="10.28515625" style="23" customWidth="1"/>
    <col min="11532" max="11533" width="10.42578125" style="23" customWidth="1"/>
    <col min="11534" max="11534" width="10.85546875" style="23" customWidth="1"/>
    <col min="11535" max="11535" width="11" style="23" customWidth="1"/>
    <col min="11536" max="11536" width="10.28515625" style="23" customWidth="1"/>
    <col min="11537" max="11537" width="10.42578125" style="23" customWidth="1"/>
    <col min="11538" max="11538" width="13.42578125" style="23" customWidth="1"/>
    <col min="11539" max="11776" width="9.140625" style="23"/>
    <col min="11777" max="11778" width="0.42578125" style="23" customWidth="1"/>
    <col min="11779" max="11779" width="1.85546875" style="23" customWidth="1"/>
    <col min="11780" max="11780" width="0.85546875" style="23" customWidth="1"/>
    <col min="11781" max="11781" width="29" style="23" customWidth="1"/>
    <col min="11782" max="11782" width="10.140625" style="23" customWidth="1"/>
    <col min="11783" max="11783" width="11" style="23" customWidth="1"/>
    <col min="11784" max="11784" width="10.28515625" style="23" customWidth="1"/>
    <col min="11785" max="11785" width="10.42578125" style="23" customWidth="1"/>
    <col min="11786" max="11786" width="10.7109375" style="23" customWidth="1"/>
    <col min="11787" max="11787" width="10.28515625" style="23" customWidth="1"/>
    <col min="11788" max="11789" width="10.42578125" style="23" customWidth="1"/>
    <col min="11790" max="11790" width="10.85546875" style="23" customWidth="1"/>
    <col min="11791" max="11791" width="11" style="23" customWidth="1"/>
    <col min="11792" max="11792" width="10.28515625" style="23" customWidth="1"/>
    <col min="11793" max="11793" width="10.42578125" style="23" customWidth="1"/>
    <col min="11794" max="11794" width="13.42578125" style="23" customWidth="1"/>
    <col min="11795" max="12032" width="9.140625" style="23"/>
    <col min="12033" max="12034" width="0.42578125" style="23" customWidth="1"/>
    <col min="12035" max="12035" width="1.85546875" style="23" customWidth="1"/>
    <col min="12036" max="12036" width="0.85546875" style="23" customWidth="1"/>
    <col min="12037" max="12037" width="29" style="23" customWidth="1"/>
    <col min="12038" max="12038" width="10.140625" style="23" customWidth="1"/>
    <col min="12039" max="12039" width="11" style="23" customWidth="1"/>
    <col min="12040" max="12040" width="10.28515625" style="23" customWidth="1"/>
    <col min="12041" max="12041" width="10.42578125" style="23" customWidth="1"/>
    <col min="12042" max="12042" width="10.7109375" style="23" customWidth="1"/>
    <col min="12043" max="12043" width="10.28515625" style="23" customWidth="1"/>
    <col min="12044" max="12045" width="10.42578125" style="23" customWidth="1"/>
    <col min="12046" max="12046" width="10.85546875" style="23" customWidth="1"/>
    <col min="12047" max="12047" width="11" style="23" customWidth="1"/>
    <col min="12048" max="12048" width="10.28515625" style="23" customWidth="1"/>
    <col min="12049" max="12049" width="10.42578125" style="23" customWidth="1"/>
    <col min="12050" max="12050" width="13.42578125" style="23" customWidth="1"/>
    <col min="12051" max="12288" width="9.140625" style="23"/>
    <col min="12289" max="12290" width="0.42578125" style="23" customWidth="1"/>
    <col min="12291" max="12291" width="1.85546875" style="23" customWidth="1"/>
    <col min="12292" max="12292" width="0.85546875" style="23" customWidth="1"/>
    <col min="12293" max="12293" width="29" style="23" customWidth="1"/>
    <col min="12294" max="12294" width="10.140625" style="23" customWidth="1"/>
    <col min="12295" max="12295" width="11" style="23" customWidth="1"/>
    <col min="12296" max="12296" width="10.28515625" style="23" customWidth="1"/>
    <col min="12297" max="12297" width="10.42578125" style="23" customWidth="1"/>
    <col min="12298" max="12298" width="10.7109375" style="23" customWidth="1"/>
    <col min="12299" max="12299" width="10.28515625" style="23" customWidth="1"/>
    <col min="12300" max="12301" width="10.42578125" style="23" customWidth="1"/>
    <col min="12302" max="12302" width="10.85546875" style="23" customWidth="1"/>
    <col min="12303" max="12303" width="11" style="23" customWidth="1"/>
    <col min="12304" max="12304" width="10.28515625" style="23" customWidth="1"/>
    <col min="12305" max="12305" width="10.42578125" style="23" customWidth="1"/>
    <col min="12306" max="12306" width="13.42578125" style="23" customWidth="1"/>
    <col min="12307" max="12544" width="9.140625" style="23"/>
    <col min="12545" max="12546" width="0.42578125" style="23" customWidth="1"/>
    <col min="12547" max="12547" width="1.85546875" style="23" customWidth="1"/>
    <col min="12548" max="12548" width="0.85546875" style="23" customWidth="1"/>
    <col min="12549" max="12549" width="29" style="23" customWidth="1"/>
    <col min="12550" max="12550" width="10.140625" style="23" customWidth="1"/>
    <col min="12551" max="12551" width="11" style="23" customWidth="1"/>
    <col min="12552" max="12552" width="10.28515625" style="23" customWidth="1"/>
    <col min="12553" max="12553" width="10.42578125" style="23" customWidth="1"/>
    <col min="12554" max="12554" width="10.7109375" style="23" customWidth="1"/>
    <col min="12555" max="12555" width="10.28515625" style="23" customWidth="1"/>
    <col min="12556" max="12557" width="10.42578125" style="23" customWidth="1"/>
    <col min="12558" max="12558" width="10.85546875" style="23" customWidth="1"/>
    <col min="12559" max="12559" width="11" style="23" customWidth="1"/>
    <col min="12560" max="12560" width="10.28515625" style="23" customWidth="1"/>
    <col min="12561" max="12561" width="10.42578125" style="23" customWidth="1"/>
    <col min="12562" max="12562" width="13.42578125" style="23" customWidth="1"/>
    <col min="12563" max="12800" width="9.140625" style="23"/>
    <col min="12801" max="12802" width="0.42578125" style="23" customWidth="1"/>
    <col min="12803" max="12803" width="1.85546875" style="23" customWidth="1"/>
    <col min="12804" max="12804" width="0.85546875" style="23" customWidth="1"/>
    <col min="12805" max="12805" width="29" style="23" customWidth="1"/>
    <col min="12806" max="12806" width="10.140625" style="23" customWidth="1"/>
    <col min="12807" max="12807" width="11" style="23" customWidth="1"/>
    <col min="12808" max="12808" width="10.28515625" style="23" customWidth="1"/>
    <col min="12809" max="12809" width="10.42578125" style="23" customWidth="1"/>
    <col min="12810" max="12810" width="10.7109375" style="23" customWidth="1"/>
    <col min="12811" max="12811" width="10.28515625" style="23" customWidth="1"/>
    <col min="12812" max="12813" width="10.42578125" style="23" customWidth="1"/>
    <col min="12814" max="12814" width="10.85546875" style="23" customWidth="1"/>
    <col min="12815" max="12815" width="11" style="23" customWidth="1"/>
    <col min="12816" max="12816" width="10.28515625" style="23" customWidth="1"/>
    <col min="12817" max="12817" width="10.42578125" style="23" customWidth="1"/>
    <col min="12818" max="12818" width="13.42578125" style="23" customWidth="1"/>
    <col min="12819" max="13056" width="9.140625" style="23"/>
    <col min="13057" max="13058" width="0.42578125" style="23" customWidth="1"/>
    <col min="13059" max="13059" width="1.85546875" style="23" customWidth="1"/>
    <col min="13060" max="13060" width="0.85546875" style="23" customWidth="1"/>
    <col min="13061" max="13061" width="29" style="23" customWidth="1"/>
    <col min="13062" max="13062" width="10.140625" style="23" customWidth="1"/>
    <col min="13063" max="13063" width="11" style="23" customWidth="1"/>
    <col min="13064" max="13064" width="10.28515625" style="23" customWidth="1"/>
    <col min="13065" max="13065" width="10.42578125" style="23" customWidth="1"/>
    <col min="13066" max="13066" width="10.7109375" style="23" customWidth="1"/>
    <col min="13067" max="13067" width="10.28515625" style="23" customWidth="1"/>
    <col min="13068" max="13069" width="10.42578125" style="23" customWidth="1"/>
    <col min="13070" max="13070" width="10.85546875" style="23" customWidth="1"/>
    <col min="13071" max="13071" width="11" style="23" customWidth="1"/>
    <col min="13072" max="13072" width="10.28515625" style="23" customWidth="1"/>
    <col min="13073" max="13073" width="10.42578125" style="23" customWidth="1"/>
    <col min="13074" max="13074" width="13.42578125" style="23" customWidth="1"/>
    <col min="13075" max="13312" width="9.140625" style="23"/>
    <col min="13313" max="13314" width="0.42578125" style="23" customWidth="1"/>
    <col min="13315" max="13315" width="1.85546875" style="23" customWidth="1"/>
    <col min="13316" max="13316" width="0.85546875" style="23" customWidth="1"/>
    <col min="13317" max="13317" width="29" style="23" customWidth="1"/>
    <col min="13318" max="13318" width="10.140625" style="23" customWidth="1"/>
    <col min="13319" max="13319" width="11" style="23" customWidth="1"/>
    <col min="13320" max="13320" width="10.28515625" style="23" customWidth="1"/>
    <col min="13321" max="13321" width="10.42578125" style="23" customWidth="1"/>
    <col min="13322" max="13322" width="10.7109375" style="23" customWidth="1"/>
    <col min="13323" max="13323" width="10.28515625" style="23" customWidth="1"/>
    <col min="13324" max="13325" width="10.42578125" style="23" customWidth="1"/>
    <col min="13326" max="13326" width="10.85546875" style="23" customWidth="1"/>
    <col min="13327" max="13327" width="11" style="23" customWidth="1"/>
    <col min="13328" max="13328" width="10.28515625" style="23" customWidth="1"/>
    <col min="13329" max="13329" width="10.42578125" style="23" customWidth="1"/>
    <col min="13330" max="13330" width="13.42578125" style="23" customWidth="1"/>
    <col min="13331" max="13568" width="9.140625" style="23"/>
    <col min="13569" max="13570" width="0.42578125" style="23" customWidth="1"/>
    <col min="13571" max="13571" width="1.85546875" style="23" customWidth="1"/>
    <col min="13572" max="13572" width="0.85546875" style="23" customWidth="1"/>
    <col min="13573" max="13573" width="29" style="23" customWidth="1"/>
    <col min="13574" max="13574" width="10.140625" style="23" customWidth="1"/>
    <col min="13575" max="13575" width="11" style="23" customWidth="1"/>
    <col min="13576" max="13576" width="10.28515625" style="23" customWidth="1"/>
    <col min="13577" max="13577" width="10.42578125" style="23" customWidth="1"/>
    <col min="13578" max="13578" width="10.7109375" style="23" customWidth="1"/>
    <col min="13579" max="13579" width="10.28515625" style="23" customWidth="1"/>
    <col min="13580" max="13581" width="10.42578125" style="23" customWidth="1"/>
    <col min="13582" max="13582" width="10.85546875" style="23" customWidth="1"/>
    <col min="13583" max="13583" width="11" style="23" customWidth="1"/>
    <col min="13584" max="13584" width="10.28515625" style="23" customWidth="1"/>
    <col min="13585" max="13585" width="10.42578125" style="23" customWidth="1"/>
    <col min="13586" max="13586" width="13.42578125" style="23" customWidth="1"/>
    <col min="13587" max="13824" width="9.140625" style="23"/>
    <col min="13825" max="13826" width="0.42578125" style="23" customWidth="1"/>
    <col min="13827" max="13827" width="1.85546875" style="23" customWidth="1"/>
    <col min="13828" max="13828" width="0.85546875" style="23" customWidth="1"/>
    <col min="13829" max="13829" width="29" style="23" customWidth="1"/>
    <col min="13830" max="13830" width="10.140625" style="23" customWidth="1"/>
    <col min="13831" max="13831" width="11" style="23" customWidth="1"/>
    <col min="13832" max="13832" width="10.28515625" style="23" customWidth="1"/>
    <col min="13833" max="13833" width="10.42578125" style="23" customWidth="1"/>
    <col min="13834" max="13834" width="10.7109375" style="23" customWidth="1"/>
    <col min="13835" max="13835" width="10.28515625" style="23" customWidth="1"/>
    <col min="13836" max="13837" width="10.42578125" style="23" customWidth="1"/>
    <col min="13838" max="13838" width="10.85546875" style="23" customWidth="1"/>
    <col min="13839" max="13839" width="11" style="23" customWidth="1"/>
    <col min="13840" max="13840" width="10.28515625" style="23" customWidth="1"/>
    <col min="13841" max="13841" width="10.42578125" style="23" customWidth="1"/>
    <col min="13842" max="13842" width="13.42578125" style="23" customWidth="1"/>
    <col min="13843" max="14080" width="9.140625" style="23"/>
    <col min="14081" max="14082" width="0.42578125" style="23" customWidth="1"/>
    <col min="14083" max="14083" width="1.85546875" style="23" customWidth="1"/>
    <col min="14084" max="14084" width="0.85546875" style="23" customWidth="1"/>
    <col min="14085" max="14085" width="29" style="23" customWidth="1"/>
    <col min="14086" max="14086" width="10.140625" style="23" customWidth="1"/>
    <col min="14087" max="14087" width="11" style="23" customWidth="1"/>
    <col min="14088" max="14088" width="10.28515625" style="23" customWidth="1"/>
    <col min="14089" max="14089" width="10.42578125" style="23" customWidth="1"/>
    <col min="14090" max="14090" width="10.7109375" style="23" customWidth="1"/>
    <col min="14091" max="14091" width="10.28515625" style="23" customWidth="1"/>
    <col min="14092" max="14093" width="10.42578125" style="23" customWidth="1"/>
    <col min="14094" max="14094" width="10.85546875" style="23" customWidth="1"/>
    <col min="14095" max="14095" width="11" style="23" customWidth="1"/>
    <col min="14096" max="14096" width="10.28515625" style="23" customWidth="1"/>
    <col min="14097" max="14097" width="10.42578125" style="23" customWidth="1"/>
    <col min="14098" max="14098" width="13.42578125" style="23" customWidth="1"/>
    <col min="14099" max="14336" width="9.140625" style="23"/>
    <col min="14337" max="14338" width="0.42578125" style="23" customWidth="1"/>
    <col min="14339" max="14339" width="1.85546875" style="23" customWidth="1"/>
    <col min="14340" max="14340" width="0.85546875" style="23" customWidth="1"/>
    <col min="14341" max="14341" width="29" style="23" customWidth="1"/>
    <col min="14342" max="14342" width="10.140625" style="23" customWidth="1"/>
    <col min="14343" max="14343" width="11" style="23" customWidth="1"/>
    <col min="14344" max="14344" width="10.28515625" style="23" customWidth="1"/>
    <col min="14345" max="14345" width="10.42578125" style="23" customWidth="1"/>
    <col min="14346" max="14346" width="10.7109375" style="23" customWidth="1"/>
    <col min="14347" max="14347" width="10.28515625" style="23" customWidth="1"/>
    <col min="14348" max="14349" width="10.42578125" style="23" customWidth="1"/>
    <col min="14350" max="14350" width="10.85546875" style="23" customWidth="1"/>
    <col min="14351" max="14351" width="11" style="23" customWidth="1"/>
    <col min="14352" max="14352" width="10.28515625" style="23" customWidth="1"/>
    <col min="14353" max="14353" width="10.42578125" style="23" customWidth="1"/>
    <col min="14354" max="14354" width="13.42578125" style="23" customWidth="1"/>
    <col min="14355" max="14592" width="9.140625" style="23"/>
    <col min="14593" max="14594" width="0.42578125" style="23" customWidth="1"/>
    <col min="14595" max="14595" width="1.85546875" style="23" customWidth="1"/>
    <col min="14596" max="14596" width="0.85546875" style="23" customWidth="1"/>
    <col min="14597" max="14597" width="29" style="23" customWidth="1"/>
    <col min="14598" max="14598" width="10.140625" style="23" customWidth="1"/>
    <col min="14599" max="14599" width="11" style="23" customWidth="1"/>
    <col min="14600" max="14600" width="10.28515625" style="23" customWidth="1"/>
    <col min="14601" max="14601" width="10.42578125" style="23" customWidth="1"/>
    <col min="14602" max="14602" width="10.7109375" style="23" customWidth="1"/>
    <col min="14603" max="14603" width="10.28515625" style="23" customWidth="1"/>
    <col min="14604" max="14605" width="10.42578125" style="23" customWidth="1"/>
    <col min="14606" max="14606" width="10.85546875" style="23" customWidth="1"/>
    <col min="14607" max="14607" width="11" style="23" customWidth="1"/>
    <col min="14608" max="14608" width="10.28515625" style="23" customWidth="1"/>
    <col min="14609" max="14609" width="10.42578125" style="23" customWidth="1"/>
    <col min="14610" max="14610" width="13.42578125" style="23" customWidth="1"/>
    <col min="14611" max="14848" width="9.140625" style="23"/>
    <col min="14849" max="14850" width="0.42578125" style="23" customWidth="1"/>
    <col min="14851" max="14851" width="1.85546875" style="23" customWidth="1"/>
    <col min="14852" max="14852" width="0.85546875" style="23" customWidth="1"/>
    <col min="14853" max="14853" width="29" style="23" customWidth="1"/>
    <col min="14854" max="14854" width="10.140625" style="23" customWidth="1"/>
    <col min="14855" max="14855" width="11" style="23" customWidth="1"/>
    <col min="14856" max="14856" width="10.28515625" style="23" customWidth="1"/>
    <col min="14857" max="14857" width="10.42578125" style="23" customWidth="1"/>
    <col min="14858" max="14858" width="10.7109375" style="23" customWidth="1"/>
    <col min="14859" max="14859" width="10.28515625" style="23" customWidth="1"/>
    <col min="14860" max="14861" width="10.42578125" style="23" customWidth="1"/>
    <col min="14862" max="14862" width="10.85546875" style="23" customWidth="1"/>
    <col min="14863" max="14863" width="11" style="23" customWidth="1"/>
    <col min="14864" max="14864" width="10.28515625" style="23" customWidth="1"/>
    <col min="14865" max="14865" width="10.42578125" style="23" customWidth="1"/>
    <col min="14866" max="14866" width="13.42578125" style="23" customWidth="1"/>
    <col min="14867" max="15104" width="9.140625" style="23"/>
    <col min="15105" max="15106" width="0.42578125" style="23" customWidth="1"/>
    <col min="15107" max="15107" width="1.85546875" style="23" customWidth="1"/>
    <col min="15108" max="15108" width="0.85546875" style="23" customWidth="1"/>
    <col min="15109" max="15109" width="29" style="23" customWidth="1"/>
    <col min="15110" max="15110" width="10.140625" style="23" customWidth="1"/>
    <col min="15111" max="15111" width="11" style="23" customWidth="1"/>
    <col min="15112" max="15112" width="10.28515625" style="23" customWidth="1"/>
    <col min="15113" max="15113" width="10.42578125" style="23" customWidth="1"/>
    <col min="15114" max="15114" width="10.7109375" style="23" customWidth="1"/>
    <col min="15115" max="15115" width="10.28515625" style="23" customWidth="1"/>
    <col min="15116" max="15117" width="10.42578125" style="23" customWidth="1"/>
    <col min="15118" max="15118" width="10.85546875" style="23" customWidth="1"/>
    <col min="15119" max="15119" width="11" style="23" customWidth="1"/>
    <col min="15120" max="15120" width="10.28515625" style="23" customWidth="1"/>
    <col min="15121" max="15121" width="10.42578125" style="23" customWidth="1"/>
    <col min="15122" max="15122" width="13.42578125" style="23" customWidth="1"/>
    <col min="15123" max="15360" width="9.140625" style="23"/>
    <col min="15361" max="15362" width="0.42578125" style="23" customWidth="1"/>
    <col min="15363" max="15363" width="1.85546875" style="23" customWidth="1"/>
    <col min="15364" max="15364" width="0.85546875" style="23" customWidth="1"/>
    <col min="15365" max="15365" width="29" style="23" customWidth="1"/>
    <col min="15366" max="15366" width="10.140625" style="23" customWidth="1"/>
    <col min="15367" max="15367" width="11" style="23" customWidth="1"/>
    <col min="15368" max="15368" width="10.28515625" style="23" customWidth="1"/>
    <col min="15369" max="15369" width="10.42578125" style="23" customWidth="1"/>
    <col min="15370" max="15370" width="10.7109375" style="23" customWidth="1"/>
    <col min="15371" max="15371" width="10.28515625" style="23" customWidth="1"/>
    <col min="15372" max="15373" width="10.42578125" style="23" customWidth="1"/>
    <col min="15374" max="15374" width="10.85546875" style="23" customWidth="1"/>
    <col min="15375" max="15375" width="11" style="23" customWidth="1"/>
    <col min="15376" max="15376" width="10.28515625" style="23" customWidth="1"/>
    <col min="15377" max="15377" width="10.42578125" style="23" customWidth="1"/>
    <col min="15378" max="15378" width="13.42578125" style="23" customWidth="1"/>
    <col min="15379" max="15616" width="9.140625" style="23"/>
    <col min="15617" max="15618" width="0.42578125" style="23" customWidth="1"/>
    <col min="15619" max="15619" width="1.85546875" style="23" customWidth="1"/>
    <col min="15620" max="15620" width="0.85546875" style="23" customWidth="1"/>
    <col min="15621" max="15621" width="29" style="23" customWidth="1"/>
    <col min="15622" max="15622" width="10.140625" style="23" customWidth="1"/>
    <col min="15623" max="15623" width="11" style="23" customWidth="1"/>
    <col min="15624" max="15624" width="10.28515625" style="23" customWidth="1"/>
    <col min="15625" max="15625" width="10.42578125" style="23" customWidth="1"/>
    <col min="15626" max="15626" width="10.7109375" style="23" customWidth="1"/>
    <col min="15627" max="15627" width="10.28515625" style="23" customWidth="1"/>
    <col min="15628" max="15629" width="10.42578125" style="23" customWidth="1"/>
    <col min="15630" max="15630" width="10.85546875" style="23" customWidth="1"/>
    <col min="15631" max="15631" width="11" style="23" customWidth="1"/>
    <col min="15632" max="15632" width="10.28515625" style="23" customWidth="1"/>
    <col min="15633" max="15633" width="10.42578125" style="23" customWidth="1"/>
    <col min="15634" max="15634" width="13.42578125" style="23" customWidth="1"/>
    <col min="15635" max="15872" width="9.140625" style="23"/>
    <col min="15873" max="15874" width="0.42578125" style="23" customWidth="1"/>
    <col min="15875" max="15875" width="1.85546875" style="23" customWidth="1"/>
    <col min="15876" max="15876" width="0.85546875" style="23" customWidth="1"/>
    <col min="15877" max="15877" width="29" style="23" customWidth="1"/>
    <col min="15878" max="15878" width="10.140625" style="23" customWidth="1"/>
    <col min="15879" max="15879" width="11" style="23" customWidth="1"/>
    <col min="15880" max="15880" width="10.28515625" style="23" customWidth="1"/>
    <col min="15881" max="15881" width="10.42578125" style="23" customWidth="1"/>
    <col min="15882" max="15882" width="10.7109375" style="23" customWidth="1"/>
    <col min="15883" max="15883" width="10.28515625" style="23" customWidth="1"/>
    <col min="15884" max="15885" width="10.42578125" style="23" customWidth="1"/>
    <col min="15886" max="15886" width="10.85546875" style="23" customWidth="1"/>
    <col min="15887" max="15887" width="11" style="23" customWidth="1"/>
    <col min="15888" max="15888" width="10.28515625" style="23" customWidth="1"/>
    <col min="15889" max="15889" width="10.42578125" style="23" customWidth="1"/>
    <col min="15890" max="15890" width="13.42578125" style="23" customWidth="1"/>
    <col min="15891" max="16128" width="9.140625" style="23"/>
    <col min="16129" max="16130" width="0.42578125" style="23" customWidth="1"/>
    <col min="16131" max="16131" width="1.85546875" style="23" customWidth="1"/>
    <col min="16132" max="16132" width="0.85546875" style="23" customWidth="1"/>
    <col min="16133" max="16133" width="29" style="23" customWidth="1"/>
    <col min="16134" max="16134" width="10.140625" style="23" customWidth="1"/>
    <col min="16135" max="16135" width="11" style="23" customWidth="1"/>
    <col min="16136" max="16136" width="10.28515625" style="23" customWidth="1"/>
    <col min="16137" max="16137" width="10.42578125" style="23" customWidth="1"/>
    <col min="16138" max="16138" width="10.7109375" style="23" customWidth="1"/>
    <col min="16139" max="16139" width="10.28515625" style="23" customWidth="1"/>
    <col min="16140" max="16141" width="10.42578125" style="23" customWidth="1"/>
    <col min="16142" max="16142" width="10.85546875" style="23" customWidth="1"/>
    <col min="16143" max="16143" width="11" style="23" customWidth="1"/>
    <col min="16144" max="16144" width="10.28515625" style="23" customWidth="1"/>
    <col min="16145" max="16145" width="10.42578125" style="23" customWidth="1"/>
    <col min="16146" max="16146" width="13.42578125" style="23" customWidth="1"/>
    <col min="16147" max="16384" width="9.140625" style="23"/>
  </cols>
  <sheetData>
    <row r="1" spans="1:18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15" x14ac:dyDescent="0.25">
      <c r="A2" s="96" t="s">
        <v>219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8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8" ht="20.25" customHeight="1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8" ht="15" thickTop="1" x14ac:dyDescent="0.2"/>
    <row r="7" spans="1:18" ht="15" x14ac:dyDescent="0.25">
      <c r="A7" s="27" t="s">
        <v>57</v>
      </c>
      <c r="B7" s="27"/>
      <c r="C7" s="27"/>
      <c r="D7" s="27"/>
      <c r="E7" s="27"/>
      <c r="F7" s="6">
        <f t="shared" ref="F7:Q7" si="0">+F9+F68</f>
        <v>2174526.2609999999</v>
      </c>
      <c r="G7" s="6">
        <f t="shared" si="0"/>
        <v>2185767.1380000003</v>
      </c>
      <c r="H7" s="6">
        <f t="shared" si="0"/>
        <v>2208209.8049999997</v>
      </c>
      <c r="I7" s="6">
        <f t="shared" si="0"/>
        <v>2215556.709999999</v>
      </c>
      <c r="J7" s="6">
        <f t="shared" si="0"/>
        <v>2197346.1789999995</v>
      </c>
      <c r="K7" s="6">
        <f t="shared" si="0"/>
        <v>2186892.7249999996</v>
      </c>
      <c r="L7" s="6">
        <f t="shared" si="0"/>
        <v>2178737.8059999999</v>
      </c>
      <c r="M7" s="6">
        <f t="shared" si="0"/>
        <v>2202727.5320000001</v>
      </c>
      <c r="N7" s="6">
        <f t="shared" si="0"/>
        <v>2191896.6580000003</v>
      </c>
      <c r="O7" s="6">
        <f t="shared" si="0"/>
        <v>2197486</v>
      </c>
      <c r="P7" s="6">
        <f t="shared" si="0"/>
        <v>2199796.7729999996</v>
      </c>
      <c r="Q7" s="6">
        <f t="shared" si="0"/>
        <v>2203661.6039999998</v>
      </c>
    </row>
    <row r="8" spans="1:18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8" ht="15" x14ac:dyDescent="0.25">
      <c r="B9" s="27" t="s">
        <v>51</v>
      </c>
      <c r="C9" s="27"/>
      <c r="D9" s="27"/>
      <c r="E9" s="27"/>
      <c r="F9" s="8">
        <f t="shared" ref="F9:Q9" si="1">+F10+F28+F50+F55+F62+F64+F66</f>
        <v>2126517.6140000001</v>
      </c>
      <c r="G9" s="8">
        <f t="shared" si="1"/>
        <v>2137771.8810000001</v>
      </c>
      <c r="H9" s="8">
        <f t="shared" si="1"/>
        <v>2160220.2039999999</v>
      </c>
      <c r="I9" s="8">
        <f t="shared" si="1"/>
        <v>2167569.6089999992</v>
      </c>
      <c r="J9" s="8">
        <f t="shared" si="1"/>
        <v>2149362.9719999996</v>
      </c>
      <c r="K9" s="8">
        <f t="shared" si="1"/>
        <v>2138913.7249999996</v>
      </c>
      <c r="L9" s="8">
        <f t="shared" si="1"/>
        <v>2128760.7409999999</v>
      </c>
      <c r="M9" s="8">
        <f t="shared" si="1"/>
        <v>2152753.6129999999</v>
      </c>
      <c r="N9" s="8">
        <f t="shared" si="1"/>
        <v>2141926.0780000002</v>
      </c>
      <c r="O9" s="8">
        <f t="shared" si="1"/>
        <v>2147519</v>
      </c>
      <c r="P9" s="8">
        <f t="shared" si="1"/>
        <v>2143831.6689999998</v>
      </c>
      <c r="Q9" s="8">
        <f t="shared" si="1"/>
        <v>2131699.375</v>
      </c>
      <c r="R9" s="8"/>
    </row>
    <row r="10" spans="1:18" ht="15" x14ac:dyDescent="0.25">
      <c r="B10" s="27"/>
      <c r="C10" s="27" t="s">
        <v>24</v>
      </c>
      <c r="D10" s="27"/>
      <c r="E10" s="27" t="s">
        <v>55</v>
      </c>
      <c r="F10" s="8">
        <f t="shared" ref="F10:Q10" si="2">+F11+F17</f>
        <v>1672791.5920000002</v>
      </c>
      <c r="G10" s="8">
        <f t="shared" si="2"/>
        <v>1618424.4620000001</v>
      </c>
      <c r="H10" s="8">
        <f t="shared" si="2"/>
        <v>1581424.4079999998</v>
      </c>
      <c r="I10" s="8">
        <f t="shared" si="2"/>
        <v>1590707.8079999997</v>
      </c>
      <c r="J10" s="8">
        <f t="shared" si="2"/>
        <v>1572498.5079999999</v>
      </c>
      <c r="K10" s="8">
        <f t="shared" si="2"/>
        <v>1562056.5079999999</v>
      </c>
      <c r="L10" s="8">
        <f t="shared" si="2"/>
        <v>1588868.5079999999</v>
      </c>
      <c r="M10" s="8">
        <f t="shared" si="2"/>
        <v>1604388.41</v>
      </c>
      <c r="N10" s="8">
        <f t="shared" si="2"/>
        <v>1533816.993</v>
      </c>
      <c r="O10" s="8">
        <f t="shared" si="2"/>
        <v>1535077.6940000001</v>
      </c>
      <c r="P10" s="8">
        <f t="shared" si="2"/>
        <v>1531522.8939999999</v>
      </c>
      <c r="Q10" s="8">
        <f t="shared" si="2"/>
        <v>1531054.594</v>
      </c>
    </row>
    <row r="11" spans="1:18" ht="15" x14ac:dyDescent="0.25">
      <c r="B11" s="29"/>
      <c r="C11" s="29"/>
      <c r="D11" s="29" t="s">
        <v>52</v>
      </c>
      <c r="E11" s="29"/>
      <c r="F11" s="8">
        <f t="shared" ref="F11:Q11" si="3">SUM(F13:F16)</f>
        <v>631362.39899999998</v>
      </c>
      <c r="G11" s="8">
        <f t="shared" si="3"/>
        <v>642893.99899999995</v>
      </c>
      <c r="H11" s="8">
        <f t="shared" si="3"/>
        <v>642550.09899999993</v>
      </c>
      <c r="I11" s="8">
        <f t="shared" si="3"/>
        <v>655741.59899999993</v>
      </c>
      <c r="J11" s="8">
        <f t="shared" si="3"/>
        <v>649370.59899999993</v>
      </c>
      <c r="K11" s="8">
        <f t="shared" si="3"/>
        <v>629513.799</v>
      </c>
      <c r="L11" s="8">
        <f t="shared" si="3"/>
        <v>647950.99899999995</v>
      </c>
      <c r="M11" s="8">
        <f t="shared" si="3"/>
        <v>671922.39899999998</v>
      </c>
      <c r="N11" s="8">
        <f t="shared" si="3"/>
        <v>665358.69900000002</v>
      </c>
      <c r="O11" s="8">
        <f t="shared" si="3"/>
        <v>663070.9</v>
      </c>
      <c r="P11" s="8">
        <f t="shared" si="3"/>
        <v>649669.1</v>
      </c>
      <c r="Q11" s="8">
        <f t="shared" si="3"/>
        <v>662047.1</v>
      </c>
    </row>
    <row r="12" spans="1:18" ht="15" x14ac:dyDescent="0.25">
      <c r="A12" s="29"/>
      <c r="B12" s="29"/>
      <c r="C12" s="29"/>
      <c r="D12" s="29"/>
      <c r="E12" s="2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8" x14ac:dyDescent="0.2">
      <c r="E13" s="23" t="s">
        <v>12</v>
      </c>
      <c r="F13" s="30">
        <v>72025.399999999994</v>
      </c>
      <c r="G13" s="30">
        <v>71728.399999999994</v>
      </c>
      <c r="H13" s="30">
        <v>76870</v>
      </c>
      <c r="I13" s="30">
        <v>79744.2</v>
      </c>
      <c r="J13" s="30">
        <v>81284.399999999994</v>
      </c>
      <c r="K13" s="30">
        <v>81816.600000000006</v>
      </c>
      <c r="L13" s="30">
        <v>80842.399999999994</v>
      </c>
      <c r="M13" s="30">
        <v>78241.8</v>
      </c>
      <c r="N13" s="30">
        <v>80788.399999999994</v>
      </c>
      <c r="O13" s="30">
        <v>110892.4</v>
      </c>
      <c r="P13" s="30">
        <v>112448</v>
      </c>
      <c r="Q13" s="30">
        <v>108448</v>
      </c>
    </row>
    <row r="14" spans="1:18" x14ac:dyDescent="0.2">
      <c r="E14" s="23" t="s">
        <v>44</v>
      </c>
      <c r="F14" s="30">
        <v>149805.4</v>
      </c>
      <c r="G14" s="30">
        <v>142208.29999999999</v>
      </c>
      <c r="H14" s="30">
        <v>126895.5</v>
      </c>
      <c r="I14" s="30">
        <v>121559.1</v>
      </c>
      <c r="J14" s="30">
        <v>125028.8</v>
      </c>
      <c r="K14" s="30">
        <v>130010.3</v>
      </c>
      <c r="L14" s="30">
        <v>138257.20000000001</v>
      </c>
      <c r="M14" s="30">
        <v>141524.5</v>
      </c>
      <c r="N14" s="30">
        <v>148019</v>
      </c>
      <c r="O14" s="30">
        <v>128841.5</v>
      </c>
      <c r="P14" s="30">
        <v>142689.29999999999</v>
      </c>
      <c r="Q14" s="30">
        <v>146580.4</v>
      </c>
    </row>
    <row r="15" spans="1:18" x14ac:dyDescent="0.2">
      <c r="E15" s="23" t="s">
        <v>45</v>
      </c>
      <c r="F15" s="30">
        <v>409531.59899999999</v>
      </c>
      <c r="G15" s="30">
        <v>428957.299</v>
      </c>
      <c r="H15" s="30">
        <v>438784.59899999999</v>
      </c>
      <c r="I15" s="30">
        <v>454438.299</v>
      </c>
      <c r="J15" s="30">
        <v>443057.39899999998</v>
      </c>
      <c r="K15" s="30">
        <v>417686.89899999998</v>
      </c>
      <c r="L15" s="30">
        <v>428851.39899999998</v>
      </c>
      <c r="M15" s="30">
        <v>452156.09899999999</v>
      </c>
      <c r="N15" s="30">
        <v>436551.299</v>
      </c>
      <c r="O15" s="30">
        <v>423337</v>
      </c>
      <c r="P15" s="30">
        <v>394531.8</v>
      </c>
      <c r="Q15" s="30">
        <v>407018.7</v>
      </c>
    </row>
    <row r="16" spans="1:18" x14ac:dyDescent="0.2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x14ac:dyDescent="0.25">
      <c r="B17" s="29"/>
      <c r="C17" s="29"/>
      <c r="D17" s="29" t="s">
        <v>50</v>
      </c>
      <c r="E17" s="29"/>
      <c r="F17" s="8">
        <f t="shared" ref="F17:Q17" si="4">SUM(F18:F26)</f>
        <v>1041429.1930000001</v>
      </c>
      <c r="G17" s="8">
        <f t="shared" si="4"/>
        <v>975530.46300000011</v>
      </c>
      <c r="H17" s="8">
        <f t="shared" si="4"/>
        <v>938874.30899999989</v>
      </c>
      <c r="I17" s="8">
        <f t="shared" si="4"/>
        <v>934966.20899999992</v>
      </c>
      <c r="J17" s="8">
        <f t="shared" si="4"/>
        <v>923127.90899999987</v>
      </c>
      <c r="K17" s="8">
        <f t="shared" si="4"/>
        <v>932542.70899999992</v>
      </c>
      <c r="L17" s="8">
        <f t="shared" si="4"/>
        <v>940917.50899999996</v>
      </c>
      <c r="M17" s="8">
        <f t="shared" si="4"/>
        <v>932466.01099999994</v>
      </c>
      <c r="N17" s="8">
        <f t="shared" si="4"/>
        <v>868458.29399999999</v>
      </c>
      <c r="O17" s="8">
        <f t="shared" si="4"/>
        <v>872006.79399999999</v>
      </c>
      <c r="P17" s="8">
        <f t="shared" si="4"/>
        <v>881853.79399999999</v>
      </c>
      <c r="Q17" s="8">
        <f t="shared" si="4"/>
        <v>869007.49399999995</v>
      </c>
    </row>
    <row r="18" spans="1:17" x14ac:dyDescent="0.2">
      <c r="E18" s="23" t="s">
        <v>13</v>
      </c>
      <c r="F18" s="30">
        <v>54548.5</v>
      </c>
      <c r="G18" s="30">
        <v>50983.061999999998</v>
      </c>
      <c r="H18" s="30">
        <v>50983.061999999998</v>
      </c>
      <c r="I18" s="30">
        <v>54483.061999999998</v>
      </c>
      <c r="J18" s="30">
        <v>49446.061999999998</v>
      </c>
      <c r="K18" s="30">
        <v>49446.061999999998</v>
      </c>
      <c r="L18" s="30">
        <v>59548.862000000001</v>
      </c>
      <c r="M18" s="30">
        <v>59548.862000000001</v>
      </c>
      <c r="N18" s="30">
        <v>48982.5</v>
      </c>
      <c r="O18" s="30">
        <v>53650.2</v>
      </c>
      <c r="P18" s="30">
        <v>53650.2</v>
      </c>
      <c r="Q18" s="30">
        <v>39357.599999999999</v>
      </c>
    </row>
    <row r="19" spans="1:17" x14ac:dyDescent="0.2">
      <c r="E19" s="23" t="s">
        <v>22</v>
      </c>
      <c r="F19" s="30">
        <v>102649.22199999999</v>
      </c>
      <c r="G19" s="30">
        <v>98871.438999999998</v>
      </c>
      <c r="H19" s="30">
        <v>98871.438999999998</v>
      </c>
      <c r="I19" s="30">
        <v>83214.438999999998</v>
      </c>
      <c r="J19" s="30">
        <v>83214.438999999998</v>
      </c>
      <c r="K19" s="30">
        <v>85344.438999999998</v>
      </c>
      <c r="L19" s="30">
        <v>92344.438999999998</v>
      </c>
      <c r="M19" s="30">
        <v>92344.438999999998</v>
      </c>
      <c r="N19" s="30">
        <v>79469.952999999994</v>
      </c>
      <c r="O19" s="30">
        <v>71765.153000000006</v>
      </c>
      <c r="P19" s="30">
        <v>71765.153000000006</v>
      </c>
      <c r="Q19" s="30">
        <v>71765.153000000006</v>
      </c>
    </row>
    <row r="20" spans="1:17" x14ac:dyDescent="0.2">
      <c r="E20" s="23" t="s">
        <v>23</v>
      </c>
      <c r="F20" s="30">
        <v>191335.8</v>
      </c>
      <c r="G20" s="30">
        <v>172333.291</v>
      </c>
      <c r="H20" s="30">
        <v>167511.06700000001</v>
      </c>
      <c r="I20" s="30">
        <v>175460.56700000001</v>
      </c>
      <c r="J20" s="30">
        <v>175478.66699999999</v>
      </c>
      <c r="K20" s="30">
        <v>175478.66699999999</v>
      </c>
      <c r="L20" s="30">
        <v>166750.66699999999</v>
      </c>
      <c r="M20" s="30">
        <v>166750.66800000001</v>
      </c>
      <c r="N20" s="30">
        <v>159676.85699999999</v>
      </c>
      <c r="O20" s="30">
        <v>153698.557</v>
      </c>
      <c r="P20" s="30">
        <v>153698.557</v>
      </c>
      <c r="Q20" s="30">
        <v>153698.557</v>
      </c>
    </row>
    <row r="21" spans="1:17" x14ac:dyDescent="0.2">
      <c r="E21" s="23" t="s">
        <v>14</v>
      </c>
      <c r="F21" s="30">
        <v>251622.815</v>
      </c>
      <c r="G21" s="30">
        <v>218153.932</v>
      </c>
      <c r="H21" s="30">
        <v>205129.09</v>
      </c>
      <c r="I21" s="30">
        <v>205129.09</v>
      </c>
      <c r="J21" s="30">
        <v>198309.69</v>
      </c>
      <c r="K21" s="30">
        <v>201809.69</v>
      </c>
      <c r="L21" s="30">
        <v>201809.69</v>
      </c>
      <c r="M21" s="30">
        <v>193879.19099999999</v>
      </c>
      <c r="N21" s="30">
        <v>188558.78200000001</v>
      </c>
      <c r="O21" s="30">
        <v>188123.682</v>
      </c>
      <c r="P21" s="30">
        <v>188123.682</v>
      </c>
      <c r="Q21" s="30">
        <v>188123.682</v>
      </c>
    </row>
    <row r="22" spans="1:17" x14ac:dyDescent="0.2">
      <c r="E22" s="23" t="s">
        <v>15</v>
      </c>
      <c r="F22" s="30">
        <v>170763.4</v>
      </c>
      <c r="G22" s="30">
        <v>159453.99600000001</v>
      </c>
      <c r="H22" s="30">
        <v>145669.60999999999</v>
      </c>
      <c r="I22" s="30">
        <v>141603.91</v>
      </c>
      <c r="J22" s="30">
        <v>141603.91</v>
      </c>
      <c r="K22" s="30">
        <v>145388.71</v>
      </c>
      <c r="L22" s="30">
        <v>145388.71</v>
      </c>
      <c r="M22" s="30">
        <v>144867.71</v>
      </c>
      <c r="N22" s="30">
        <v>132777.158</v>
      </c>
      <c r="O22" s="30">
        <v>130776.158</v>
      </c>
      <c r="P22" s="30">
        <v>134623.158</v>
      </c>
      <c r="Q22" s="30">
        <v>131747.45800000001</v>
      </c>
    </row>
    <row r="23" spans="1:17" x14ac:dyDescent="0.2">
      <c r="E23" s="23" t="s">
        <v>20</v>
      </c>
      <c r="F23" s="30">
        <v>191059.14499999999</v>
      </c>
      <c r="G23" s="30">
        <v>191924.83199999999</v>
      </c>
      <c r="H23" s="30">
        <v>184615.73</v>
      </c>
      <c r="I23" s="30">
        <v>188980.83</v>
      </c>
      <c r="J23" s="30">
        <v>188980.83</v>
      </c>
      <c r="K23" s="30">
        <v>188980.83</v>
      </c>
      <c r="L23" s="30">
        <v>188980.83</v>
      </c>
      <c r="M23" s="30">
        <v>188980.83</v>
      </c>
      <c r="N23" s="30">
        <v>165898.73300000001</v>
      </c>
      <c r="O23" s="30">
        <v>172898.73300000001</v>
      </c>
      <c r="P23" s="30">
        <v>178898.73300000001</v>
      </c>
      <c r="Q23" s="30">
        <v>178898.73300000001</v>
      </c>
    </row>
    <row r="24" spans="1:17" x14ac:dyDescent="0.2">
      <c r="E24" s="23" t="s">
        <v>46</v>
      </c>
      <c r="F24" s="30">
        <v>60611.311000000002</v>
      </c>
      <c r="G24" s="30">
        <v>64115.811000000002</v>
      </c>
      <c r="H24" s="30">
        <v>64353.211000000003</v>
      </c>
      <c r="I24" s="30">
        <v>64353.211000000003</v>
      </c>
      <c r="J24" s="30">
        <v>64353.211000000003</v>
      </c>
      <c r="K24" s="30">
        <v>64353.211000000003</v>
      </c>
      <c r="L24" s="30">
        <v>64353.211000000003</v>
      </c>
      <c r="M24" s="30">
        <v>64353.211000000003</v>
      </c>
      <c r="N24" s="30">
        <v>71353.210999999996</v>
      </c>
      <c r="O24" s="30">
        <v>71353.210999999996</v>
      </c>
      <c r="P24" s="30">
        <v>71353.210999999996</v>
      </c>
      <c r="Q24" s="30">
        <v>75675.210999999996</v>
      </c>
    </row>
    <row r="25" spans="1:17" x14ac:dyDescent="0.2">
      <c r="E25" s="23" t="s">
        <v>47</v>
      </c>
      <c r="F25" s="30">
        <v>18742</v>
      </c>
      <c r="G25" s="30">
        <v>19597.099999999999</v>
      </c>
      <c r="H25" s="30">
        <v>21644.1</v>
      </c>
      <c r="I25" s="30">
        <v>21644.1</v>
      </c>
      <c r="J25" s="30">
        <v>21644.1</v>
      </c>
      <c r="K25" s="30">
        <v>21644.1</v>
      </c>
      <c r="L25" s="30">
        <v>21644.1</v>
      </c>
      <c r="M25" s="30">
        <v>21644.1</v>
      </c>
      <c r="N25" s="30">
        <v>21644.1</v>
      </c>
      <c r="O25" s="30">
        <v>29644.1</v>
      </c>
      <c r="P25" s="30">
        <v>29644.1</v>
      </c>
      <c r="Q25" s="30">
        <v>29644.1</v>
      </c>
    </row>
    <row r="26" spans="1:17" x14ac:dyDescent="0.2">
      <c r="E26" s="23" t="s">
        <v>53</v>
      </c>
      <c r="F26" s="30">
        <v>97</v>
      </c>
      <c r="G26" s="30">
        <v>97</v>
      </c>
      <c r="H26" s="30">
        <v>97</v>
      </c>
      <c r="I26" s="30">
        <v>97</v>
      </c>
      <c r="J26" s="30">
        <v>97</v>
      </c>
      <c r="K26" s="30">
        <v>97</v>
      </c>
      <c r="L26" s="30">
        <v>97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7" spans="1:17" x14ac:dyDescent="0.2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5" x14ac:dyDescent="0.25">
      <c r="B28" s="29"/>
      <c r="C28" s="29" t="s">
        <v>147</v>
      </c>
      <c r="D28" s="29"/>
      <c r="E28" s="29"/>
      <c r="F28" s="8">
        <f t="shared" ref="F28:Q28" si="5">+F29+F34+F40+F44+F46</f>
        <v>296494.73499999999</v>
      </c>
      <c r="G28" s="8">
        <f t="shared" si="5"/>
        <v>291419.61499999999</v>
      </c>
      <c r="H28" s="8">
        <f t="shared" si="5"/>
        <v>288337.64899999998</v>
      </c>
      <c r="I28" s="8">
        <f t="shared" si="5"/>
        <v>286337.64899999998</v>
      </c>
      <c r="J28" s="8">
        <f t="shared" si="5"/>
        <v>286337.64899999998</v>
      </c>
      <c r="K28" s="8">
        <f t="shared" si="5"/>
        <v>286337.64899999998</v>
      </c>
      <c r="L28" s="8">
        <f t="shared" si="5"/>
        <v>249650.95399999997</v>
      </c>
      <c r="M28" s="8">
        <f t="shared" si="5"/>
        <v>244170.95399999997</v>
      </c>
      <c r="N28" s="8">
        <f t="shared" si="5"/>
        <v>242590.48499999999</v>
      </c>
      <c r="O28" s="8">
        <f t="shared" si="5"/>
        <v>242590.48499999999</v>
      </c>
      <c r="P28" s="8">
        <f t="shared" si="5"/>
        <v>242590.48499999999</v>
      </c>
      <c r="Q28" s="8">
        <f t="shared" si="5"/>
        <v>219371.78499999997</v>
      </c>
    </row>
    <row r="29" spans="1:17" ht="15" x14ac:dyDescent="0.25">
      <c r="B29" s="29"/>
      <c r="C29" s="29"/>
      <c r="D29" s="29" t="s">
        <v>34</v>
      </c>
      <c r="E29" s="29"/>
      <c r="F29" s="8">
        <f t="shared" ref="F29:Q29" si="6">SUM(F31:F32)</f>
        <v>231609.12</v>
      </c>
      <c r="G29" s="8">
        <f t="shared" si="6"/>
        <v>226534</v>
      </c>
      <c r="H29" s="8">
        <f t="shared" si="6"/>
        <v>223452.03399999999</v>
      </c>
      <c r="I29" s="8">
        <f t="shared" si="6"/>
        <v>223452.03399999999</v>
      </c>
      <c r="J29" s="8">
        <f t="shared" si="6"/>
        <v>223452.03399999999</v>
      </c>
      <c r="K29" s="8">
        <f t="shared" si="6"/>
        <v>223452.03399999999</v>
      </c>
      <c r="L29" s="8">
        <f t="shared" si="6"/>
        <v>186765.33899999998</v>
      </c>
      <c r="M29" s="8">
        <f t="shared" si="6"/>
        <v>186765.33899999998</v>
      </c>
      <c r="N29" s="8">
        <f t="shared" si="6"/>
        <v>185184.87</v>
      </c>
      <c r="O29" s="8">
        <f t="shared" si="6"/>
        <v>185184.87</v>
      </c>
      <c r="P29" s="8">
        <f t="shared" si="6"/>
        <v>185184.87</v>
      </c>
      <c r="Q29" s="8">
        <f t="shared" si="6"/>
        <v>161966.16999999998</v>
      </c>
    </row>
    <row r="30" spans="1:17" ht="15" x14ac:dyDescent="0.25">
      <c r="A30" s="29"/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">
      <c r="E31" s="23" t="s">
        <v>28</v>
      </c>
      <c r="F31" s="30">
        <v>91735.86</v>
      </c>
      <c r="G31" s="30">
        <v>90454</v>
      </c>
      <c r="H31" s="30">
        <v>90453.654999999999</v>
      </c>
      <c r="I31" s="30">
        <v>90453.654999999999</v>
      </c>
      <c r="J31" s="30">
        <v>90453.654999999999</v>
      </c>
      <c r="K31" s="30">
        <v>90453.654999999999</v>
      </c>
      <c r="L31" s="30">
        <v>53766.96</v>
      </c>
      <c r="M31" s="30">
        <v>53766.96</v>
      </c>
      <c r="N31" s="30">
        <v>53766.96</v>
      </c>
      <c r="O31" s="30">
        <v>53766.96</v>
      </c>
      <c r="P31" s="30">
        <v>53766.96</v>
      </c>
      <c r="Q31" s="30">
        <v>22218.67</v>
      </c>
    </row>
    <row r="32" spans="1:17" x14ac:dyDescent="0.2">
      <c r="E32" s="23" t="s">
        <v>27</v>
      </c>
      <c r="F32" s="30">
        <v>139873.26</v>
      </c>
      <c r="G32" s="30">
        <v>136080</v>
      </c>
      <c r="H32" s="30">
        <v>132998.37899999999</v>
      </c>
      <c r="I32" s="30">
        <v>132998.37899999999</v>
      </c>
      <c r="J32" s="30">
        <v>132998.37899999999</v>
      </c>
      <c r="K32" s="30">
        <v>132998.37899999999</v>
      </c>
      <c r="L32" s="30">
        <v>132998.37899999999</v>
      </c>
      <c r="M32" s="30">
        <v>132998.37899999999</v>
      </c>
      <c r="N32" s="30">
        <v>131417.91</v>
      </c>
      <c r="O32" s="30">
        <v>131417.91</v>
      </c>
      <c r="P32" s="30">
        <v>131417.91</v>
      </c>
      <c r="Q32" s="30">
        <v>139747.5</v>
      </c>
    </row>
    <row r="33" spans="1:17" x14ac:dyDescent="0.2"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5" x14ac:dyDescent="0.25">
      <c r="C34" s="29"/>
      <c r="D34" s="29" t="s">
        <v>35</v>
      </c>
      <c r="E34" s="29"/>
      <c r="F34" s="8">
        <f t="shared" ref="F34:Q34" si="7">SUM(F36:F38)</f>
        <v>39360</v>
      </c>
      <c r="G34" s="8">
        <f t="shared" si="7"/>
        <v>39360</v>
      </c>
      <c r="H34" s="8">
        <f t="shared" si="7"/>
        <v>39360</v>
      </c>
      <c r="I34" s="8">
        <f t="shared" si="7"/>
        <v>37360</v>
      </c>
      <c r="J34" s="8">
        <f t="shared" si="7"/>
        <v>37360</v>
      </c>
      <c r="K34" s="8">
        <f t="shared" si="7"/>
        <v>37360</v>
      </c>
      <c r="L34" s="8">
        <f t="shared" si="7"/>
        <v>37360</v>
      </c>
      <c r="M34" s="8">
        <f t="shared" si="7"/>
        <v>37360</v>
      </c>
      <c r="N34" s="8">
        <f t="shared" si="7"/>
        <v>37360</v>
      </c>
      <c r="O34" s="8">
        <f t="shared" si="7"/>
        <v>37360</v>
      </c>
      <c r="P34" s="8">
        <f t="shared" si="7"/>
        <v>37360</v>
      </c>
      <c r="Q34" s="8">
        <f t="shared" si="7"/>
        <v>37360</v>
      </c>
    </row>
    <row r="35" spans="1:17" ht="15" x14ac:dyDescent="0.25">
      <c r="A35" s="29"/>
      <c r="B35" s="29"/>
      <c r="C35" s="29"/>
      <c r="D35" s="29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x14ac:dyDescent="0.2">
      <c r="E36" s="23" t="s">
        <v>28</v>
      </c>
      <c r="F36" s="30">
        <v>2000</v>
      </c>
      <c r="G36" s="30">
        <v>2000</v>
      </c>
      <c r="H36" s="30">
        <v>2000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</row>
    <row r="37" spans="1:17" x14ac:dyDescent="0.2">
      <c r="E37" s="23" t="s">
        <v>27</v>
      </c>
      <c r="F37" s="30">
        <v>30660</v>
      </c>
      <c r="G37" s="30">
        <v>30660</v>
      </c>
      <c r="H37" s="30">
        <v>30660</v>
      </c>
      <c r="I37" s="30">
        <v>30660</v>
      </c>
      <c r="J37" s="30">
        <v>30660</v>
      </c>
      <c r="K37" s="30">
        <v>30660</v>
      </c>
      <c r="L37" s="30">
        <v>30660</v>
      </c>
      <c r="M37" s="30">
        <v>30660</v>
      </c>
      <c r="N37" s="30">
        <v>30660</v>
      </c>
      <c r="O37" s="30">
        <v>30660</v>
      </c>
      <c r="P37" s="30">
        <v>30660</v>
      </c>
      <c r="Q37" s="30">
        <v>30660</v>
      </c>
    </row>
    <row r="38" spans="1:17" x14ac:dyDescent="0.2">
      <c r="E38" s="23" t="s">
        <v>26</v>
      </c>
      <c r="F38" s="30">
        <v>6700</v>
      </c>
      <c r="G38" s="30">
        <v>6700</v>
      </c>
      <c r="H38" s="30">
        <v>6700</v>
      </c>
      <c r="I38" s="30">
        <v>6700</v>
      </c>
      <c r="J38" s="30">
        <v>6700</v>
      </c>
      <c r="K38" s="30">
        <v>6700</v>
      </c>
      <c r="L38" s="30">
        <v>6700</v>
      </c>
      <c r="M38" s="30">
        <v>6700</v>
      </c>
      <c r="N38" s="30">
        <v>6700</v>
      </c>
      <c r="O38" s="30">
        <v>6700</v>
      </c>
      <c r="P38" s="30">
        <v>6700</v>
      </c>
      <c r="Q38" s="30">
        <v>6700</v>
      </c>
    </row>
    <row r="39" spans="1:17" x14ac:dyDescent="0.2"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 ht="15" x14ac:dyDescent="0.25">
      <c r="B40" s="29"/>
      <c r="C40" s="29"/>
      <c r="D40" s="29" t="s">
        <v>36</v>
      </c>
      <c r="E40" s="29"/>
      <c r="F40" s="8">
        <f t="shared" ref="F40:Q40" si="8">SUM(F42:F42)</f>
        <v>5480</v>
      </c>
      <c r="G40" s="8">
        <f t="shared" si="8"/>
        <v>5480</v>
      </c>
      <c r="H40" s="8">
        <f t="shared" si="8"/>
        <v>5480</v>
      </c>
      <c r="I40" s="8">
        <f t="shared" si="8"/>
        <v>5480</v>
      </c>
      <c r="J40" s="8">
        <f t="shared" si="8"/>
        <v>5480</v>
      </c>
      <c r="K40" s="8">
        <f t="shared" si="8"/>
        <v>5480</v>
      </c>
      <c r="L40" s="8">
        <f t="shared" si="8"/>
        <v>5480</v>
      </c>
      <c r="M40" s="8">
        <f t="shared" si="8"/>
        <v>0</v>
      </c>
      <c r="N40" s="8">
        <f t="shared" si="8"/>
        <v>0</v>
      </c>
      <c r="O40" s="8">
        <f t="shared" si="8"/>
        <v>0</v>
      </c>
      <c r="P40" s="8">
        <f t="shared" si="8"/>
        <v>0</v>
      </c>
      <c r="Q40" s="8">
        <f t="shared" si="8"/>
        <v>0</v>
      </c>
    </row>
    <row r="41" spans="1:17" x14ac:dyDescent="0.2"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1:17" x14ac:dyDescent="0.2">
      <c r="E42" s="23" t="s">
        <v>27</v>
      </c>
      <c r="F42" s="30">
        <v>5480</v>
      </c>
      <c r="G42" s="30">
        <v>5480</v>
      </c>
      <c r="H42" s="30">
        <v>5480</v>
      </c>
      <c r="I42" s="30">
        <v>5480</v>
      </c>
      <c r="J42" s="30">
        <v>5480</v>
      </c>
      <c r="K42" s="30">
        <v>5480</v>
      </c>
      <c r="L42" s="30">
        <v>5480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</row>
    <row r="43" spans="1:17" x14ac:dyDescent="0.2">
      <c r="F43" s="30"/>
    </row>
    <row r="44" spans="1:17" ht="15" x14ac:dyDescent="0.25">
      <c r="B44" s="29"/>
      <c r="C44" s="29"/>
      <c r="D44" s="29" t="s">
        <v>37</v>
      </c>
      <c r="E44" s="29"/>
      <c r="F44" s="28">
        <v>16157.615</v>
      </c>
      <c r="G44" s="28">
        <v>16157.615</v>
      </c>
      <c r="H44" s="28">
        <v>16157.615</v>
      </c>
      <c r="I44" s="28">
        <v>16157.615</v>
      </c>
      <c r="J44" s="28">
        <v>16157.615</v>
      </c>
      <c r="K44" s="28">
        <v>16157.615</v>
      </c>
      <c r="L44" s="28">
        <v>16157.615</v>
      </c>
      <c r="M44" s="28">
        <v>16157.615</v>
      </c>
      <c r="N44" s="28">
        <v>16157.615</v>
      </c>
      <c r="O44" s="28">
        <v>16157.615</v>
      </c>
      <c r="P44" s="28">
        <v>16157.615</v>
      </c>
      <c r="Q44" s="28">
        <v>16157.615</v>
      </c>
    </row>
    <row r="45" spans="1:17" x14ac:dyDescent="0.2"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5" x14ac:dyDescent="0.25">
      <c r="B46" s="29"/>
      <c r="C46" s="29"/>
      <c r="D46" s="29" t="s">
        <v>38</v>
      </c>
      <c r="E46" s="29"/>
      <c r="F46" s="8">
        <f>SUM(F48)</f>
        <v>3888</v>
      </c>
      <c r="G46" s="8">
        <f t="shared" ref="G46:Q46" si="9">SUM(G48)</f>
        <v>3888</v>
      </c>
      <c r="H46" s="8">
        <f t="shared" si="9"/>
        <v>3888</v>
      </c>
      <c r="I46" s="8">
        <f t="shared" si="9"/>
        <v>3888</v>
      </c>
      <c r="J46" s="8">
        <f t="shared" si="9"/>
        <v>3888</v>
      </c>
      <c r="K46" s="8">
        <f t="shared" si="9"/>
        <v>3888</v>
      </c>
      <c r="L46" s="8">
        <f t="shared" si="9"/>
        <v>3888</v>
      </c>
      <c r="M46" s="8">
        <f t="shared" si="9"/>
        <v>3888</v>
      </c>
      <c r="N46" s="8">
        <f t="shared" si="9"/>
        <v>3888</v>
      </c>
      <c r="O46" s="8">
        <f t="shared" si="9"/>
        <v>3888</v>
      </c>
      <c r="P46" s="8">
        <f t="shared" si="9"/>
        <v>3888</v>
      </c>
      <c r="Q46" s="8">
        <f t="shared" si="9"/>
        <v>3888</v>
      </c>
    </row>
    <row r="47" spans="1:17" ht="15" x14ac:dyDescent="0.25">
      <c r="B47" s="29"/>
      <c r="C47" s="29"/>
      <c r="D47" s="29"/>
      <c r="E47" s="29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7" ht="15" x14ac:dyDescent="0.25">
      <c r="B48" s="29"/>
      <c r="C48" s="29"/>
      <c r="D48" s="29"/>
      <c r="E48" s="23" t="s">
        <v>28</v>
      </c>
      <c r="F48" s="28">
        <v>3888</v>
      </c>
      <c r="G48" s="28">
        <v>3888</v>
      </c>
      <c r="H48" s="28">
        <v>3888</v>
      </c>
      <c r="I48" s="28">
        <v>3888</v>
      </c>
      <c r="J48" s="28">
        <v>3888</v>
      </c>
      <c r="K48" s="28">
        <v>3888</v>
      </c>
      <c r="L48" s="28">
        <v>3888</v>
      </c>
      <c r="M48" s="28">
        <v>3888</v>
      </c>
      <c r="N48" s="28">
        <v>3888</v>
      </c>
      <c r="O48" s="28">
        <v>3888</v>
      </c>
      <c r="P48" s="28">
        <v>3888</v>
      </c>
      <c r="Q48" s="28">
        <v>3888</v>
      </c>
    </row>
    <row r="49" spans="1:17" ht="15" x14ac:dyDescent="0.25">
      <c r="B49" s="29"/>
      <c r="C49" s="29"/>
      <c r="D49" s="29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15" x14ac:dyDescent="0.25">
      <c r="C50" s="31" t="s">
        <v>31</v>
      </c>
      <c r="D50" s="29" t="s">
        <v>202</v>
      </c>
      <c r="E50" s="29"/>
      <c r="F50" s="8">
        <f t="shared" ref="F50:Q50" si="10">SUM(F51:F53)</f>
        <v>67988</v>
      </c>
      <c r="G50" s="8">
        <f t="shared" si="10"/>
        <v>67988</v>
      </c>
      <c r="H50" s="8">
        <f t="shared" si="10"/>
        <v>67988</v>
      </c>
      <c r="I50" s="8">
        <f t="shared" si="10"/>
        <v>67988</v>
      </c>
      <c r="J50" s="8">
        <f t="shared" si="10"/>
        <v>67988</v>
      </c>
      <c r="K50" s="8">
        <f t="shared" si="10"/>
        <v>67988</v>
      </c>
      <c r="L50" s="8">
        <f t="shared" si="10"/>
        <v>67988</v>
      </c>
      <c r="M50" s="8">
        <f t="shared" si="10"/>
        <v>67988</v>
      </c>
      <c r="N50" s="8">
        <f t="shared" si="10"/>
        <v>67988</v>
      </c>
      <c r="O50" s="8">
        <f t="shared" si="10"/>
        <v>67988</v>
      </c>
      <c r="P50" s="8">
        <f t="shared" si="10"/>
        <v>67988</v>
      </c>
      <c r="Q50" s="8">
        <f t="shared" si="10"/>
        <v>67988</v>
      </c>
    </row>
    <row r="51" spans="1:17" ht="15" x14ac:dyDescent="0.25">
      <c r="C51" s="31"/>
      <c r="D51" s="29"/>
      <c r="E51" s="23" t="s">
        <v>39</v>
      </c>
      <c r="F51" s="30">
        <v>7662.5</v>
      </c>
      <c r="G51" s="30">
        <v>7662.5</v>
      </c>
      <c r="H51" s="30">
        <v>7662.5</v>
      </c>
      <c r="I51" s="30">
        <v>7662.5</v>
      </c>
      <c r="J51" s="30">
        <v>7662.5</v>
      </c>
      <c r="K51" s="30">
        <v>7662.5</v>
      </c>
      <c r="L51" s="30">
        <v>7662.5</v>
      </c>
      <c r="M51" s="30">
        <v>7662.5</v>
      </c>
      <c r="N51" s="30">
        <v>7662.5</v>
      </c>
      <c r="O51" s="30">
        <v>7662.5</v>
      </c>
      <c r="P51" s="30">
        <v>7662.5</v>
      </c>
      <c r="Q51" s="30">
        <v>7662.5</v>
      </c>
    </row>
    <row r="52" spans="1:17" ht="15" x14ac:dyDescent="0.25">
      <c r="C52" s="31"/>
      <c r="D52" s="29"/>
      <c r="E52" s="23" t="s">
        <v>40</v>
      </c>
      <c r="F52" s="30">
        <v>25325.5</v>
      </c>
      <c r="G52" s="30">
        <v>25325.5</v>
      </c>
      <c r="H52" s="30">
        <v>25325.5</v>
      </c>
      <c r="I52" s="30">
        <v>25325.5</v>
      </c>
      <c r="J52" s="30">
        <v>25325.5</v>
      </c>
      <c r="K52" s="30">
        <v>25325.5</v>
      </c>
      <c r="L52" s="30">
        <v>25325.5</v>
      </c>
      <c r="M52" s="30">
        <v>25325.5</v>
      </c>
      <c r="N52" s="30">
        <v>25325.5</v>
      </c>
      <c r="O52" s="30">
        <v>25325.5</v>
      </c>
      <c r="P52" s="30">
        <v>25325.5</v>
      </c>
      <c r="Q52" s="30">
        <v>25325.5</v>
      </c>
    </row>
    <row r="53" spans="1:17" ht="15" x14ac:dyDescent="0.25">
      <c r="D53" s="29"/>
      <c r="E53" s="23" t="s">
        <v>48</v>
      </c>
      <c r="F53" s="30">
        <v>35000</v>
      </c>
      <c r="G53" s="30">
        <v>35000</v>
      </c>
      <c r="H53" s="30">
        <v>35000</v>
      </c>
      <c r="I53" s="30">
        <v>35000</v>
      </c>
      <c r="J53" s="30">
        <v>35000</v>
      </c>
      <c r="K53" s="30">
        <v>35000</v>
      </c>
      <c r="L53" s="30">
        <v>35000</v>
      </c>
      <c r="M53" s="30">
        <v>35000</v>
      </c>
      <c r="N53" s="30">
        <v>35000</v>
      </c>
      <c r="O53" s="30">
        <v>35000</v>
      </c>
      <c r="P53" s="30">
        <v>35000</v>
      </c>
      <c r="Q53" s="30">
        <v>35000</v>
      </c>
    </row>
    <row r="54" spans="1:17" ht="15" x14ac:dyDescent="0.25">
      <c r="C54" s="31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5" x14ac:dyDescent="0.25">
      <c r="C55" s="31" t="s">
        <v>32</v>
      </c>
      <c r="D55" s="29" t="s">
        <v>186</v>
      </c>
      <c r="F55" s="8">
        <f>SUM(F57:F60)</f>
        <v>0</v>
      </c>
      <c r="G55" s="8">
        <f t="shared" ref="G55:Q55" si="11">SUM(G57:G60)</f>
        <v>70705.846000000005</v>
      </c>
      <c r="H55" s="8">
        <f t="shared" si="11"/>
        <v>133126.66</v>
      </c>
      <c r="I55" s="8">
        <f t="shared" si="11"/>
        <v>133126.66</v>
      </c>
      <c r="J55" s="8">
        <f t="shared" si="11"/>
        <v>133126.66</v>
      </c>
      <c r="K55" s="8">
        <f t="shared" si="11"/>
        <v>133126.66</v>
      </c>
      <c r="L55" s="8">
        <f t="shared" si="11"/>
        <v>133126.66</v>
      </c>
      <c r="M55" s="8">
        <f t="shared" si="11"/>
        <v>147284.761</v>
      </c>
      <c r="N55" s="8">
        <f t="shared" si="11"/>
        <v>208619.52399999998</v>
      </c>
      <c r="O55" s="8">
        <f t="shared" si="11"/>
        <v>213208.02400000003</v>
      </c>
      <c r="P55" s="8">
        <f t="shared" si="11"/>
        <v>213208.02400000003</v>
      </c>
      <c r="Q55" s="8">
        <f t="shared" si="11"/>
        <v>225208.02400000003</v>
      </c>
    </row>
    <row r="56" spans="1:17" ht="15" x14ac:dyDescent="0.25">
      <c r="C56" s="31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15" x14ac:dyDescent="0.25">
      <c r="C57" s="31"/>
      <c r="E57" s="23" t="s">
        <v>41</v>
      </c>
      <c r="F57" s="30">
        <v>0</v>
      </c>
      <c r="G57" s="30">
        <v>70705.846000000005</v>
      </c>
      <c r="H57" s="30">
        <v>70705.846000000005</v>
      </c>
      <c r="I57" s="30">
        <v>70705.846000000005</v>
      </c>
      <c r="J57" s="30">
        <v>70705.846000000005</v>
      </c>
      <c r="K57" s="30">
        <v>70705.846000000005</v>
      </c>
      <c r="L57" s="30">
        <v>70705.846000000005</v>
      </c>
      <c r="M57" s="30">
        <v>70705.846999999994</v>
      </c>
      <c r="N57" s="30">
        <v>73340.683999999994</v>
      </c>
      <c r="O57" s="30">
        <v>77706.384000000005</v>
      </c>
      <c r="P57" s="30">
        <v>77706.384000000005</v>
      </c>
      <c r="Q57" s="30">
        <v>83706.384000000005</v>
      </c>
    </row>
    <row r="58" spans="1:17" ht="15" x14ac:dyDescent="0.25">
      <c r="C58" s="31"/>
      <c r="E58" s="23" t="s">
        <v>42</v>
      </c>
      <c r="F58" s="30">
        <v>0</v>
      </c>
      <c r="G58" s="30">
        <v>0</v>
      </c>
      <c r="H58" s="30">
        <v>37416.218999999997</v>
      </c>
      <c r="I58" s="30">
        <v>37416.218999999997</v>
      </c>
      <c r="J58" s="30">
        <v>37416.218999999997</v>
      </c>
      <c r="K58" s="30">
        <v>37416.218999999997</v>
      </c>
      <c r="L58" s="30">
        <v>37416.218999999997</v>
      </c>
      <c r="M58" s="30">
        <f>44416.219+38.1+120</f>
        <v>44574.318999999996</v>
      </c>
      <c r="N58" s="30">
        <v>39773.281000000003</v>
      </c>
      <c r="O58" s="30">
        <v>39912.381000000001</v>
      </c>
      <c r="P58" s="30">
        <v>39912.381000000001</v>
      </c>
      <c r="Q58" s="30">
        <v>39912.381000000001</v>
      </c>
    </row>
    <row r="59" spans="1:17" ht="15" x14ac:dyDescent="0.25">
      <c r="C59" s="31"/>
      <c r="E59" s="23" t="s">
        <v>43</v>
      </c>
      <c r="F59" s="30">
        <v>0</v>
      </c>
      <c r="G59" s="30">
        <v>0</v>
      </c>
      <c r="H59" s="30">
        <v>25004.595000000001</v>
      </c>
      <c r="I59" s="30">
        <v>25004.595000000001</v>
      </c>
      <c r="J59" s="30">
        <v>25004.595000000001</v>
      </c>
      <c r="K59" s="30">
        <v>25004.595000000001</v>
      </c>
      <c r="L59" s="30">
        <v>25004.595000000001</v>
      </c>
      <c r="M59" s="30">
        <v>32004.595000000001</v>
      </c>
      <c r="N59" s="30">
        <v>29872.712</v>
      </c>
      <c r="O59" s="30">
        <v>29872.712</v>
      </c>
      <c r="P59" s="30">
        <v>29872.712</v>
      </c>
      <c r="Q59" s="30">
        <v>35872.712</v>
      </c>
    </row>
    <row r="60" spans="1:17" ht="15" x14ac:dyDescent="0.25">
      <c r="C60" s="31"/>
      <c r="E60" s="23" t="s">
        <v>54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65632.846999999994</v>
      </c>
      <c r="O60" s="30">
        <v>65716.547000000006</v>
      </c>
      <c r="P60" s="30">
        <v>65716.547000000006</v>
      </c>
      <c r="Q60" s="30">
        <v>65716.547000000006</v>
      </c>
    </row>
    <row r="61" spans="1:17" ht="15" x14ac:dyDescent="0.25">
      <c r="C61" s="31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1:17" ht="15" x14ac:dyDescent="0.25">
      <c r="A62" s="29"/>
      <c r="B62" s="29"/>
      <c r="C62" s="29" t="s">
        <v>198</v>
      </c>
      <c r="D62" s="29"/>
      <c r="E62" s="29"/>
      <c r="F62" s="28">
        <f>77228.958-97.05</f>
        <v>77131.907999999996</v>
      </c>
      <c r="G62" s="28">
        <f>77228.958-97</f>
        <v>77131.957999999999</v>
      </c>
      <c r="H62" s="28">
        <f>77228.958-97</f>
        <v>77131.957999999999</v>
      </c>
      <c r="I62" s="28">
        <f>77228.958-97.05</f>
        <v>77131.907999999996</v>
      </c>
      <c r="J62" s="28">
        <f>77228.958-97.05</f>
        <v>77131.907999999996</v>
      </c>
      <c r="K62" s="28">
        <f>77228.958-97.05</f>
        <v>77131.907999999996</v>
      </c>
      <c r="L62" s="28">
        <f>77228.958-97.05</f>
        <v>77131.907999999996</v>
      </c>
      <c r="M62" s="28">
        <f>77228.959-97.05</f>
        <v>77131.909</v>
      </c>
      <c r="N62" s="28">
        <f>77228.958-97.05</f>
        <v>77131.907999999996</v>
      </c>
      <c r="O62" s="28">
        <f>77228.958-97.05</f>
        <v>77131.907999999996</v>
      </c>
      <c r="P62" s="28">
        <f>77228.958-97.05</f>
        <v>77131.907999999996</v>
      </c>
      <c r="Q62" s="28">
        <f>77228.958-97</f>
        <v>77131.957999999999</v>
      </c>
    </row>
    <row r="63" spans="1:17" ht="15" x14ac:dyDescent="0.25">
      <c r="A63" s="29"/>
      <c r="B63" s="29"/>
      <c r="C63" s="29"/>
      <c r="D63" s="29"/>
      <c r="E63" s="29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ht="15" x14ac:dyDescent="0.25">
      <c r="A64" s="29"/>
      <c r="B64" s="29"/>
      <c r="C64" s="29" t="s">
        <v>207</v>
      </c>
      <c r="D64" s="29"/>
      <c r="E64" s="29"/>
      <c r="F64" s="28">
        <v>1578.5150000000001</v>
      </c>
      <c r="G64" s="28">
        <v>1466</v>
      </c>
      <c r="H64" s="28">
        <v>1465.682</v>
      </c>
      <c r="I64" s="28">
        <v>1463.394</v>
      </c>
      <c r="J64" s="28">
        <v>1430.0150000000001</v>
      </c>
      <c r="K64" s="28">
        <v>1430</v>
      </c>
      <c r="L64" s="28">
        <v>1201.23</v>
      </c>
      <c r="M64" s="28">
        <v>1074.3330000000001</v>
      </c>
      <c r="N64" s="28">
        <v>1047.6600000000001</v>
      </c>
      <c r="O64" s="28">
        <v>846.82299999999998</v>
      </c>
      <c r="P64" s="28">
        <v>704.18100000000004</v>
      </c>
      <c r="Q64" s="28">
        <v>381.89699999999999</v>
      </c>
    </row>
    <row r="65" spans="1:17" ht="15" x14ac:dyDescent="0.25">
      <c r="A65" s="29"/>
      <c r="B65" s="29"/>
      <c r="C65" s="29"/>
      <c r="D65" s="29"/>
      <c r="E65" s="29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17" ht="15" x14ac:dyDescent="0.25">
      <c r="A66" s="29"/>
      <c r="B66" s="29"/>
      <c r="C66" s="29" t="s">
        <v>208</v>
      </c>
      <c r="D66" s="29"/>
      <c r="E66" s="29"/>
      <c r="F66" s="28">
        <v>10532.864</v>
      </c>
      <c r="G66" s="28">
        <v>10636</v>
      </c>
      <c r="H66" s="28">
        <v>10745.847</v>
      </c>
      <c r="I66" s="28">
        <v>10814.19</v>
      </c>
      <c r="J66" s="28">
        <v>10850.232</v>
      </c>
      <c r="K66" s="28">
        <v>10843</v>
      </c>
      <c r="L66" s="28">
        <v>10793.481</v>
      </c>
      <c r="M66" s="28">
        <v>10715.245999999999</v>
      </c>
      <c r="N66" s="28">
        <v>10731.508</v>
      </c>
      <c r="O66" s="28">
        <v>10676.066000000001</v>
      </c>
      <c r="P66" s="28">
        <v>10686.177</v>
      </c>
      <c r="Q66" s="28">
        <v>10563.117</v>
      </c>
    </row>
    <row r="67" spans="1:17" ht="15" x14ac:dyDescent="0.25">
      <c r="A67" s="29"/>
      <c r="B67" s="29"/>
      <c r="C67" s="29"/>
      <c r="D67" s="29"/>
      <c r="E67" s="29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17" ht="15" x14ac:dyDescent="0.25">
      <c r="A68" s="29" t="s">
        <v>49</v>
      </c>
      <c r="B68" s="29"/>
      <c r="C68" s="29"/>
      <c r="D68" s="29"/>
      <c r="E68" s="29"/>
      <c r="F68" s="28">
        <v>48008.646999999997</v>
      </c>
      <c r="G68" s="28">
        <v>47995.256999999998</v>
      </c>
      <c r="H68" s="28">
        <v>47989.601000000002</v>
      </c>
      <c r="I68" s="28">
        <v>47987.101000000002</v>
      </c>
      <c r="J68" s="28">
        <v>47983.207000000002</v>
      </c>
      <c r="K68" s="28">
        <v>47979</v>
      </c>
      <c r="L68" s="28">
        <v>49977.065000000002</v>
      </c>
      <c r="M68" s="28">
        <v>49973.919000000002</v>
      </c>
      <c r="N68" s="28">
        <v>49970.58</v>
      </c>
      <c r="O68" s="28">
        <v>49967</v>
      </c>
      <c r="P68" s="28">
        <v>55965.103999999999</v>
      </c>
      <c r="Q68" s="28">
        <v>71962.229000000007</v>
      </c>
    </row>
    <row r="69" spans="1:17" x14ac:dyDescent="0.2">
      <c r="F69" s="32"/>
      <c r="G69" s="33"/>
      <c r="H69" s="32"/>
      <c r="I69" s="32"/>
      <c r="J69" s="32"/>
      <c r="K69" s="32"/>
      <c r="L69" s="32"/>
    </row>
    <row r="70" spans="1:17" x14ac:dyDescent="0.2">
      <c r="F70" s="32"/>
      <c r="G70" s="33"/>
      <c r="H70" s="32"/>
      <c r="I70" s="32"/>
      <c r="J70" s="32"/>
      <c r="K70" s="32"/>
      <c r="L70" s="32"/>
    </row>
    <row r="71" spans="1:17" ht="15" x14ac:dyDescent="0.25">
      <c r="A71" s="29"/>
      <c r="B71" s="65"/>
      <c r="C71" s="65"/>
      <c r="D71" s="65"/>
      <c r="E71" s="23" t="s">
        <v>29</v>
      </c>
      <c r="F71" s="65"/>
      <c r="G71" s="65"/>
      <c r="H71" s="65"/>
      <c r="I71" s="65"/>
      <c r="J71" s="65"/>
      <c r="K71" s="65"/>
      <c r="L71" s="65"/>
    </row>
    <row r="72" spans="1:17" x14ac:dyDescent="0.2">
      <c r="B72" s="66"/>
      <c r="C72" s="66"/>
      <c r="D72" s="66"/>
      <c r="E72" s="32" t="s">
        <v>30</v>
      </c>
      <c r="F72" s="66"/>
      <c r="G72" s="66"/>
      <c r="H72" s="66"/>
      <c r="I72" s="66"/>
      <c r="J72" s="66"/>
      <c r="K72" s="66"/>
      <c r="L72" s="66"/>
    </row>
    <row r="73" spans="1:17" ht="15" x14ac:dyDescent="0.25">
      <c r="A73" s="29"/>
      <c r="B73" s="65"/>
      <c r="C73" s="65"/>
      <c r="D73" s="65"/>
      <c r="E73" s="67"/>
      <c r="F73" s="65"/>
      <c r="G73" s="65"/>
      <c r="H73" s="65"/>
      <c r="I73" s="65"/>
      <c r="J73" s="65"/>
      <c r="K73" s="65"/>
      <c r="L73" s="65"/>
    </row>
    <row r="74" spans="1:17" x14ac:dyDescent="0.2">
      <c r="A74" s="34"/>
      <c r="B74" s="35"/>
      <c r="C74" s="35"/>
    </row>
    <row r="75" spans="1:17" x14ac:dyDescent="0.2">
      <c r="A75" s="34"/>
      <c r="B75" s="35" t="s">
        <v>21</v>
      </c>
      <c r="C75" s="35"/>
      <c r="D75" s="35"/>
      <c r="E75" s="35"/>
      <c r="F75" s="35"/>
      <c r="G75" s="37"/>
    </row>
    <row r="77" spans="1:17" x14ac:dyDescent="0.2">
      <c r="A77" s="35"/>
      <c r="B77" s="35"/>
      <c r="C77" s="35"/>
    </row>
    <row r="78" spans="1:17" x14ac:dyDescent="0.2">
      <c r="A78" s="36"/>
      <c r="B78" s="35"/>
      <c r="C78" s="35"/>
    </row>
  </sheetData>
  <mergeCells count="4">
    <mergeCell ref="A1:Q1"/>
    <mergeCell ref="A2:Q2"/>
    <mergeCell ref="A3:Q3"/>
    <mergeCell ref="A5:E5"/>
  </mergeCells>
  <printOptions horizontalCentered="1"/>
  <pageMargins left="0" right="0" top="0.60236220500000004" bottom="0.59055118110236204" header="0.511811023622047" footer="0.511811023622047"/>
  <pageSetup paperSize="9" scale="6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79"/>
  <sheetViews>
    <sheetView zoomScaleNormal="100" workbookViewId="0">
      <selection activeCell="A2" sqref="A2:Q2"/>
    </sheetView>
  </sheetViews>
  <sheetFormatPr defaultColWidth="8.85546875" defaultRowHeight="14.25" x14ac:dyDescent="0.2"/>
  <cols>
    <col min="1" max="2" width="0.42578125" style="23" customWidth="1"/>
    <col min="3" max="3" width="1.85546875" style="23" customWidth="1"/>
    <col min="4" max="4" width="0.85546875" style="23" customWidth="1"/>
    <col min="5" max="5" width="28.140625" style="23" customWidth="1"/>
    <col min="6" max="6" width="10.42578125" style="23" customWidth="1"/>
    <col min="7" max="7" width="10.28515625" style="23" customWidth="1"/>
    <col min="8" max="9" width="10.7109375" style="23" customWidth="1"/>
    <col min="10" max="10" width="10.42578125" style="23" customWidth="1"/>
    <col min="11" max="12" width="10.28515625" style="23" customWidth="1"/>
    <col min="13" max="13" width="10.42578125" style="23" customWidth="1"/>
    <col min="14" max="14" width="10" style="23" customWidth="1"/>
    <col min="15" max="15" width="10.28515625" style="23" customWidth="1"/>
    <col min="16" max="17" width="10.140625" style="23" customWidth="1"/>
    <col min="18" max="251" width="9.140625" style="23"/>
    <col min="252" max="253" width="0.42578125" style="23" customWidth="1"/>
    <col min="254" max="254" width="1.85546875" style="23" customWidth="1"/>
    <col min="255" max="255" width="0.85546875" style="23" customWidth="1"/>
    <col min="256" max="256" width="28.140625" style="23" customWidth="1"/>
    <col min="257" max="257" width="10.42578125" style="23" customWidth="1"/>
    <col min="258" max="258" width="10.28515625" style="23" customWidth="1"/>
    <col min="259" max="260" width="10.7109375" style="23" customWidth="1"/>
    <col min="261" max="261" width="10.42578125" style="23" customWidth="1"/>
    <col min="262" max="263" width="10.28515625" style="23" customWidth="1"/>
    <col min="264" max="268" width="0" style="23" hidden="1" customWidth="1"/>
    <col min="269" max="269" width="10.42578125" style="23" customWidth="1"/>
    <col min="270" max="270" width="10" style="23" customWidth="1"/>
    <col min="271" max="271" width="10.28515625" style="23" customWidth="1"/>
    <col min="272" max="273" width="10.140625" style="23" customWidth="1"/>
    <col min="274" max="507" width="9.140625" style="23"/>
    <col min="508" max="509" width="0.42578125" style="23" customWidth="1"/>
    <col min="510" max="510" width="1.85546875" style="23" customWidth="1"/>
    <col min="511" max="511" width="0.85546875" style="23" customWidth="1"/>
    <col min="512" max="512" width="28.140625" style="23" customWidth="1"/>
    <col min="513" max="513" width="10.42578125" style="23" customWidth="1"/>
    <col min="514" max="514" width="10.28515625" style="23" customWidth="1"/>
    <col min="515" max="516" width="10.7109375" style="23" customWidth="1"/>
    <col min="517" max="517" width="10.42578125" style="23" customWidth="1"/>
    <col min="518" max="519" width="10.28515625" style="23" customWidth="1"/>
    <col min="520" max="524" width="0" style="23" hidden="1" customWidth="1"/>
    <col min="525" max="525" width="10.42578125" style="23" customWidth="1"/>
    <col min="526" max="526" width="10" style="23" customWidth="1"/>
    <col min="527" max="527" width="10.28515625" style="23" customWidth="1"/>
    <col min="528" max="529" width="10.140625" style="23" customWidth="1"/>
    <col min="530" max="763" width="9.140625" style="23"/>
    <col min="764" max="765" width="0.42578125" style="23" customWidth="1"/>
    <col min="766" max="766" width="1.85546875" style="23" customWidth="1"/>
    <col min="767" max="767" width="0.85546875" style="23" customWidth="1"/>
    <col min="768" max="768" width="28.140625" style="23" customWidth="1"/>
    <col min="769" max="769" width="10.42578125" style="23" customWidth="1"/>
    <col min="770" max="770" width="10.28515625" style="23" customWidth="1"/>
    <col min="771" max="772" width="10.7109375" style="23" customWidth="1"/>
    <col min="773" max="773" width="10.42578125" style="23" customWidth="1"/>
    <col min="774" max="775" width="10.28515625" style="23" customWidth="1"/>
    <col min="776" max="780" width="0" style="23" hidden="1" customWidth="1"/>
    <col min="781" max="781" width="10.42578125" style="23" customWidth="1"/>
    <col min="782" max="782" width="10" style="23" customWidth="1"/>
    <col min="783" max="783" width="10.28515625" style="23" customWidth="1"/>
    <col min="784" max="785" width="10.140625" style="23" customWidth="1"/>
    <col min="786" max="1019" width="9.140625" style="23"/>
    <col min="1020" max="1021" width="0.42578125" style="23" customWidth="1"/>
    <col min="1022" max="1022" width="1.85546875" style="23" customWidth="1"/>
    <col min="1023" max="1023" width="0.85546875" style="23" customWidth="1"/>
    <col min="1024" max="1024" width="28.140625" style="23" customWidth="1"/>
    <col min="1025" max="1025" width="10.42578125" style="23" customWidth="1"/>
    <col min="1026" max="1026" width="10.28515625" style="23" customWidth="1"/>
    <col min="1027" max="1028" width="10.7109375" style="23" customWidth="1"/>
    <col min="1029" max="1029" width="10.42578125" style="23" customWidth="1"/>
    <col min="1030" max="1031" width="10.28515625" style="23" customWidth="1"/>
    <col min="1032" max="1036" width="0" style="23" hidden="1" customWidth="1"/>
    <col min="1037" max="1037" width="10.42578125" style="23" customWidth="1"/>
    <col min="1038" max="1038" width="10" style="23" customWidth="1"/>
    <col min="1039" max="1039" width="10.28515625" style="23" customWidth="1"/>
    <col min="1040" max="1041" width="10.140625" style="23" customWidth="1"/>
    <col min="1042" max="1275" width="9.140625" style="23"/>
    <col min="1276" max="1277" width="0.42578125" style="23" customWidth="1"/>
    <col min="1278" max="1278" width="1.85546875" style="23" customWidth="1"/>
    <col min="1279" max="1279" width="0.85546875" style="23" customWidth="1"/>
    <col min="1280" max="1280" width="28.140625" style="23" customWidth="1"/>
    <col min="1281" max="1281" width="10.42578125" style="23" customWidth="1"/>
    <col min="1282" max="1282" width="10.28515625" style="23" customWidth="1"/>
    <col min="1283" max="1284" width="10.7109375" style="23" customWidth="1"/>
    <col min="1285" max="1285" width="10.42578125" style="23" customWidth="1"/>
    <col min="1286" max="1287" width="10.28515625" style="23" customWidth="1"/>
    <col min="1288" max="1292" width="0" style="23" hidden="1" customWidth="1"/>
    <col min="1293" max="1293" width="10.42578125" style="23" customWidth="1"/>
    <col min="1294" max="1294" width="10" style="23" customWidth="1"/>
    <col min="1295" max="1295" width="10.28515625" style="23" customWidth="1"/>
    <col min="1296" max="1297" width="10.140625" style="23" customWidth="1"/>
    <col min="1298" max="1531" width="9.140625" style="23"/>
    <col min="1532" max="1533" width="0.42578125" style="23" customWidth="1"/>
    <col min="1534" max="1534" width="1.85546875" style="23" customWidth="1"/>
    <col min="1535" max="1535" width="0.85546875" style="23" customWidth="1"/>
    <col min="1536" max="1536" width="28.140625" style="23" customWidth="1"/>
    <col min="1537" max="1537" width="10.42578125" style="23" customWidth="1"/>
    <col min="1538" max="1538" width="10.28515625" style="23" customWidth="1"/>
    <col min="1539" max="1540" width="10.7109375" style="23" customWidth="1"/>
    <col min="1541" max="1541" width="10.42578125" style="23" customWidth="1"/>
    <col min="1542" max="1543" width="10.28515625" style="23" customWidth="1"/>
    <col min="1544" max="1548" width="0" style="23" hidden="1" customWidth="1"/>
    <col min="1549" max="1549" width="10.42578125" style="23" customWidth="1"/>
    <col min="1550" max="1550" width="10" style="23" customWidth="1"/>
    <col min="1551" max="1551" width="10.28515625" style="23" customWidth="1"/>
    <col min="1552" max="1553" width="10.140625" style="23" customWidth="1"/>
    <col min="1554" max="1787" width="9.140625" style="23"/>
    <col min="1788" max="1789" width="0.42578125" style="23" customWidth="1"/>
    <col min="1790" max="1790" width="1.85546875" style="23" customWidth="1"/>
    <col min="1791" max="1791" width="0.85546875" style="23" customWidth="1"/>
    <col min="1792" max="1792" width="28.140625" style="23" customWidth="1"/>
    <col min="1793" max="1793" width="10.42578125" style="23" customWidth="1"/>
    <col min="1794" max="1794" width="10.28515625" style="23" customWidth="1"/>
    <col min="1795" max="1796" width="10.7109375" style="23" customWidth="1"/>
    <col min="1797" max="1797" width="10.42578125" style="23" customWidth="1"/>
    <col min="1798" max="1799" width="10.28515625" style="23" customWidth="1"/>
    <col min="1800" max="1804" width="0" style="23" hidden="1" customWidth="1"/>
    <col min="1805" max="1805" width="10.42578125" style="23" customWidth="1"/>
    <col min="1806" max="1806" width="10" style="23" customWidth="1"/>
    <col min="1807" max="1807" width="10.28515625" style="23" customWidth="1"/>
    <col min="1808" max="1809" width="10.140625" style="23" customWidth="1"/>
    <col min="1810" max="2043" width="9.140625" style="23"/>
    <col min="2044" max="2045" width="0.42578125" style="23" customWidth="1"/>
    <col min="2046" max="2046" width="1.85546875" style="23" customWidth="1"/>
    <col min="2047" max="2047" width="0.85546875" style="23" customWidth="1"/>
    <col min="2048" max="2048" width="28.140625" style="23" customWidth="1"/>
    <col min="2049" max="2049" width="10.42578125" style="23" customWidth="1"/>
    <col min="2050" max="2050" width="10.28515625" style="23" customWidth="1"/>
    <col min="2051" max="2052" width="10.7109375" style="23" customWidth="1"/>
    <col min="2053" max="2053" width="10.42578125" style="23" customWidth="1"/>
    <col min="2054" max="2055" width="10.28515625" style="23" customWidth="1"/>
    <col min="2056" max="2060" width="0" style="23" hidden="1" customWidth="1"/>
    <col min="2061" max="2061" width="10.42578125" style="23" customWidth="1"/>
    <col min="2062" max="2062" width="10" style="23" customWidth="1"/>
    <col min="2063" max="2063" width="10.28515625" style="23" customWidth="1"/>
    <col min="2064" max="2065" width="10.140625" style="23" customWidth="1"/>
    <col min="2066" max="2299" width="9.140625" style="23"/>
    <col min="2300" max="2301" width="0.42578125" style="23" customWidth="1"/>
    <col min="2302" max="2302" width="1.85546875" style="23" customWidth="1"/>
    <col min="2303" max="2303" width="0.85546875" style="23" customWidth="1"/>
    <col min="2304" max="2304" width="28.140625" style="23" customWidth="1"/>
    <col min="2305" max="2305" width="10.42578125" style="23" customWidth="1"/>
    <col min="2306" max="2306" width="10.28515625" style="23" customWidth="1"/>
    <col min="2307" max="2308" width="10.7109375" style="23" customWidth="1"/>
    <col min="2309" max="2309" width="10.42578125" style="23" customWidth="1"/>
    <col min="2310" max="2311" width="10.28515625" style="23" customWidth="1"/>
    <col min="2312" max="2316" width="0" style="23" hidden="1" customWidth="1"/>
    <col min="2317" max="2317" width="10.42578125" style="23" customWidth="1"/>
    <col min="2318" max="2318" width="10" style="23" customWidth="1"/>
    <col min="2319" max="2319" width="10.28515625" style="23" customWidth="1"/>
    <col min="2320" max="2321" width="10.140625" style="23" customWidth="1"/>
    <col min="2322" max="2555" width="9.140625" style="23"/>
    <col min="2556" max="2557" width="0.42578125" style="23" customWidth="1"/>
    <col min="2558" max="2558" width="1.85546875" style="23" customWidth="1"/>
    <col min="2559" max="2559" width="0.85546875" style="23" customWidth="1"/>
    <col min="2560" max="2560" width="28.140625" style="23" customWidth="1"/>
    <col min="2561" max="2561" width="10.42578125" style="23" customWidth="1"/>
    <col min="2562" max="2562" width="10.28515625" style="23" customWidth="1"/>
    <col min="2563" max="2564" width="10.7109375" style="23" customWidth="1"/>
    <col min="2565" max="2565" width="10.42578125" style="23" customWidth="1"/>
    <col min="2566" max="2567" width="10.28515625" style="23" customWidth="1"/>
    <col min="2568" max="2572" width="0" style="23" hidden="1" customWidth="1"/>
    <col min="2573" max="2573" width="10.42578125" style="23" customWidth="1"/>
    <col min="2574" max="2574" width="10" style="23" customWidth="1"/>
    <col min="2575" max="2575" width="10.28515625" style="23" customWidth="1"/>
    <col min="2576" max="2577" width="10.140625" style="23" customWidth="1"/>
    <col min="2578" max="2811" width="9.140625" style="23"/>
    <col min="2812" max="2813" width="0.42578125" style="23" customWidth="1"/>
    <col min="2814" max="2814" width="1.85546875" style="23" customWidth="1"/>
    <col min="2815" max="2815" width="0.85546875" style="23" customWidth="1"/>
    <col min="2816" max="2816" width="28.140625" style="23" customWidth="1"/>
    <col min="2817" max="2817" width="10.42578125" style="23" customWidth="1"/>
    <col min="2818" max="2818" width="10.28515625" style="23" customWidth="1"/>
    <col min="2819" max="2820" width="10.7109375" style="23" customWidth="1"/>
    <col min="2821" max="2821" width="10.42578125" style="23" customWidth="1"/>
    <col min="2822" max="2823" width="10.28515625" style="23" customWidth="1"/>
    <col min="2824" max="2828" width="0" style="23" hidden="1" customWidth="1"/>
    <col min="2829" max="2829" width="10.42578125" style="23" customWidth="1"/>
    <col min="2830" max="2830" width="10" style="23" customWidth="1"/>
    <col min="2831" max="2831" width="10.28515625" style="23" customWidth="1"/>
    <col min="2832" max="2833" width="10.140625" style="23" customWidth="1"/>
    <col min="2834" max="3067" width="9.140625" style="23"/>
    <col min="3068" max="3069" width="0.42578125" style="23" customWidth="1"/>
    <col min="3070" max="3070" width="1.85546875" style="23" customWidth="1"/>
    <col min="3071" max="3071" width="0.85546875" style="23" customWidth="1"/>
    <col min="3072" max="3072" width="28.140625" style="23" customWidth="1"/>
    <col min="3073" max="3073" width="10.42578125" style="23" customWidth="1"/>
    <col min="3074" max="3074" width="10.28515625" style="23" customWidth="1"/>
    <col min="3075" max="3076" width="10.7109375" style="23" customWidth="1"/>
    <col min="3077" max="3077" width="10.42578125" style="23" customWidth="1"/>
    <col min="3078" max="3079" width="10.28515625" style="23" customWidth="1"/>
    <col min="3080" max="3084" width="0" style="23" hidden="1" customWidth="1"/>
    <col min="3085" max="3085" width="10.42578125" style="23" customWidth="1"/>
    <col min="3086" max="3086" width="10" style="23" customWidth="1"/>
    <col min="3087" max="3087" width="10.28515625" style="23" customWidth="1"/>
    <col min="3088" max="3089" width="10.140625" style="23" customWidth="1"/>
    <col min="3090" max="3323" width="9.140625" style="23"/>
    <col min="3324" max="3325" width="0.42578125" style="23" customWidth="1"/>
    <col min="3326" max="3326" width="1.85546875" style="23" customWidth="1"/>
    <col min="3327" max="3327" width="0.85546875" style="23" customWidth="1"/>
    <col min="3328" max="3328" width="28.140625" style="23" customWidth="1"/>
    <col min="3329" max="3329" width="10.42578125" style="23" customWidth="1"/>
    <col min="3330" max="3330" width="10.28515625" style="23" customWidth="1"/>
    <col min="3331" max="3332" width="10.7109375" style="23" customWidth="1"/>
    <col min="3333" max="3333" width="10.42578125" style="23" customWidth="1"/>
    <col min="3334" max="3335" width="10.28515625" style="23" customWidth="1"/>
    <col min="3336" max="3340" width="0" style="23" hidden="1" customWidth="1"/>
    <col min="3341" max="3341" width="10.42578125" style="23" customWidth="1"/>
    <col min="3342" max="3342" width="10" style="23" customWidth="1"/>
    <col min="3343" max="3343" width="10.28515625" style="23" customWidth="1"/>
    <col min="3344" max="3345" width="10.140625" style="23" customWidth="1"/>
    <col min="3346" max="3579" width="9.140625" style="23"/>
    <col min="3580" max="3581" width="0.42578125" style="23" customWidth="1"/>
    <col min="3582" max="3582" width="1.85546875" style="23" customWidth="1"/>
    <col min="3583" max="3583" width="0.85546875" style="23" customWidth="1"/>
    <col min="3584" max="3584" width="28.140625" style="23" customWidth="1"/>
    <col min="3585" max="3585" width="10.42578125" style="23" customWidth="1"/>
    <col min="3586" max="3586" width="10.28515625" style="23" customWidth="1"/>
    <col min="3587" max="3588" width="10.7109375" style="23" customWidth="1"/>
    <col min="3589" max="3589" width="10.42578125" style="23" customWidth="1"/>
    <col min="3590" max="3591" width="10.28515625" style="23" customWidth="1"/>
    <col min="3592" max="3596" width="0" style="23" hidden="1" customWidth="1"/>
    <col min="3597" max="3597" width="10.42578125" style="23" customWidth="1"/>
    <col min="3598" max="3598" width="10" style="23" customWidth="1"/>
    <col min="3599" max="3599" width="10.28515625" style="23" customWidth="1"/>
    <col min="3600" max="3601" width="10.140625" style="23" customWidth="1"/>
    <col min="3602" max="3835" width="9.140625" style="23"/>
    <col min="3836" max="3837" width="0.42578125" style="23" customWidth="1"/>
    <col min="3838" max="3838" width="1.85546875" style="23" customWidth="1"/>
    <col min="3839" max="3839" width="0.85546875" style="23" customWidth="1"/>
    <col min="3840" max="3840" width="28.140625" style="23" customWidth="1"/>
    <col min="3841" max="3841" width="10.42578125" style="23" customWidth="1"/>
    <col min="3842" max="3842" width="10.28515625" style="23" customWidth="1"/>
    <col min="3843" max="3844" width="10.7109375" style="23" customWidth="1"/>
    <col min="3845" max="3845" width="10.42578125" style="23" customWidth="1"/>
    <col min="3846" max="3847" width="10.28515625" style="23" customWidth="1"/>
    <col min="3848" max="3852" width="0" style="23" hidden="1" customWidth="1"/>
    <col min="3853" max="3853" width="10.42578125" style="23" customWidth="1"/>
    <col min="3854" max="3854" width="10" style="23" customWidth="1"/>
    <col min="3855" max="3855" width="10.28515625" style="23" customWidth="1"/>
    <col min="3856" max="3857" width="10.140625" style="23" customWidth="1"/>
    <col min="3858" max="4091" width="9.140625" style="23"/>
    <col min="4092" max="4093" width="0.42578125" style="23" customWidth="1"/>
    <col min="4094" max="4094" width="1.85546875" style="23" customWidth="1"/>
    <col min="4095" max="4095" width="0.85546875" style="23" customWidth="1"/>
    <col min="4096" max="4096" width="28.140625" style="23" customWidth="1"/>
    <col min="4097" max="4097" width="10.42578125" style="23" customWidth="1"/>
    <col min="4098" max="4098" width="10.28515625" style="23" customWidth="1"/>
    <col min="4099" max="4100" width="10.7109375" style="23" customWidth="1"/>
    <col min="4101" max="4101" width="10.42578125" style="23" customWidth="1"/>
    <col min="4102" max="4103" width="10.28515625" style="23" customWidth="1"/>
    <col min="4104" max="4108" width="0" style="23" hidden="1" customWidth="1"/>
    <col min="4109" max="4109" width="10.42578125" style="23" customWidth="1"/>
    <col min="4110" max="4110" width="10" style="23" customWidth="1"/>
    <col min="4111" max="4111" width="10.28515625" style="23" customWidth="1"/>
    <col min="4112" max="4113" width="10.140625" style="23" customWidth="1"/>
    <col min="4114" max="4347" width="9.140625" style="23"/>
    <col min="4348" max="4349" width="0.42578125" style="23" customWidth="1"/>
    <col min="4350" max="4350" width="1.85546875" style="23" customWidth="1"/>
    <col min="4351" max="4351" width="0.85546875" style="23" customWidth="1"/>
    <col min="4352" max="4352" width="28.140625" style="23" customWidth="1"/>
    <col min="4353" max="4353" width="10.42578125" style="23" customWidth="1"/>
    <col min="4354" max="4354" width="10.28515625" style="23" customWidth="1"/>
    <col min="4355" max="4356" width="10.7109375" style="23" customWidth="1"/>
    <col min="4357" max="4357" width="10.42578125" style="23" customWidth="1"/>
    <col min="4358" max="4359" width="10.28515625" style="23" customWidth="1"/>
    <col min="4360" max="4364" width="0" style="23" hidden="1" customWidth="1"/>
    <col min="4365" max="4365" width="10.42578125" style="23" customWidth="1"/>
    <col min="4366" max="4366" width="10" style="23" customWidth="1"/>
    <col min="4367" max="4367" width="10.28515625" style="23" customWidth="1"/>
    <col min="4368" max="4369" width="10.140625" style="23" customWidth="1"/>
    <col min="4370" max="4603" width="9.140625" style="23"/>
    <col min="4604" max="4605" width="0.42578125" style="23" customWidth="1"/>
    <col min="4606" max="4606" width="1.85546875" style="23" customWidth="1"/>
    <col min="4607" max="4607" width="0.85546875" style="23" customWidth="1"/>
    <col min="4608" max="4608" width="28.140625" style="23" customWidth="1"/>
    <col min="4609" max="4609" width="10.42578125" style="23" customWidth="1"/>
    <col min="4610" max="4610" width="10.28515625" style="23" customWidth="1"/>
    <col min="4611" max="4612" width="10.7109375" style="23" customWidth="1"/>
    <col min="4613" max="4613" width="10.42578125" style="23" customWidth="1"/>
    <col min="4614" max="4615" width="10.28515625" style="23" customWidth="1"/>
    <col min="4616" max="4620" width="0" style="23" hidden="1" customWidth="1"/>
    <col min="4621" max="4621" width="10.42578125" style="23" customWidth="1"/>
    <col min="4622" max="4622" width="10" style="23" customWidth="1"/>
    <col min="4623" max="4623" width="10.28515625" style="23" customWidth="1"/>
    <col min="4624" max="4625" width="10.140625" style="23" customWidth="1"/>
    <col min="4626" max="4859" width="9.140625" style="23"/>
    <col min="4860" max="4861" width="0.42578125" style="23" customWidth="1"/>
    <col min="4862" max="4862" width="1.85546875" style="23" customWidth="1"/>
    <col min="4863" max="4863" width="0.85546875" style="23" customWidth="1"/>
    <col min="4864" max="4864" width="28.140625" style="23" customWidth="1"/>
    <col min="4865" max="4865" width="10.42578125" style="23" customWidth="1"/>
    <col min="4866" max="4866" width="10.28515625" style="23" customWidth="1"/>
    <col min="4867" max="4868" width="10.7109375" style="23" customWidth="1"/>
    <col min="4869" max="4869" width="10.42578125" style="23" customWidth="1"/>
    <col min="4870" max="4871" width="10.28515625" style="23" customWidth="1"/>
    <col min="4872" max="4876" width="0" style="23" hidden="1" customWidth="1"/>
    <col min="4877" max="4877" width="10.42578125" style="23" customWidth="1"/>
    <col min="4878" max="4878" width="10" style="23" customWidth="1"/>
    <col min="4879" max="4879" width="10.28515625" style="23" customWidth="1"/>
    <col min="4880" max="4881" width="10.140625" style="23" customWidth="1"/>
    <col min="4882" max="5115" width="9.140625" style="23"/>
    <col min="5116" max="5117" width="0.42578125" style="23" customWidth="1"/>
    <col min="5118" max="5118" width="1.85546875" style="23" customWidth="1"/>
    <col min="5119" max="5119" width="0.85546875" style="23" customWidth="1"/>
    <col min="5120" max="5120" width="28.140625" style="23" customWidth="1"/>
    <col min="5121" max="5121" width="10.42578125" style="23" customWidth="1"/>
    <col min="5122" max="5122" width="10.28515625" style="23" customWidth="1"/>
    <col min="5123" max="5124" width="10.7109375" style="23" customWidth="1"/>
    <col min="5125" max="5125" width="10.42578125" style="23" customWidth="1"/>
    <col min="5126" max="5127" width="10.28515625" style="23" customWidth="1"/>
    <col min="5128" max="5132" width="0" style="23" hidden="1" customWidth="1"/>
    <col min="5133" max="5133" width="10.42578125" style="23" customWidth="1"/>
    <col min="5134" max="5134" width="10" style="23" customWidth="1"/>
    <col min="5135" max="5135" width="10.28515625" style="23" customWidth="1"/>
    <col min="5136" max="5137" width="10.140625" style="23" customWidth="1"/>
    <col min="5138" max="5371" width="9.140625" style="23"/>
    <col min="5372" max="5373" width="0.42578125" style="23" customWidth="1"/>
    <col min="5374" max="5374" width="1.85546875" style="23" customWidth="1"/>
    <col min="5375" max="5375" width="0.85546875" style="23" customWidth="1"/>
    <col min="5376" max="5376" width="28.140625" style="23" customWidth="1"/>
    <col min="5377" max="5377" width="10.42578125" style="23" customWidth="1"/>
    <col min="5378" max="5378" width="10.28515625" style="23" customWidth="1"/>
    <col min="5379" max="5380" width="10.7109375" style="23" customWidth="1"/>
    <col min="5381" max="5381" width="10.42578125" style="23" customWidth="1"/>
    <col min="5382" max="5383" width="10.28515625" style="23" customWidth="1"/>
    <col min="5384" max="5388" width="0" style="23" hidden="1" customWidth="1"/>
    <col min="5389" max="5389" width="10.42578125" style="23" customWidth="1"/>
    <col min="5390" max="5390" width="10" style="23" customWidth="1"/>
    <col min="5391" max="5391" width="10.28515625" style="23" customWidth="1"/>
    <col min="5392" max="5393" width="10.140625" style="23" customWidth="1"/>
    <col min="5394" max="5627" width="9.140625" style="23"/>
    <col min="5628" max="5629" width="0.42578125" style="23" customWidth="1"/>
    <col min="5630" max="5630" width="1.85546875" style="23" customWidth="1"/>
    <col min="5631" max="5631" width="0.85546875" style="23" customWidth="1"/>
    <col min="5632" max="5632" width="28.140625" style="23" customWidth="1"/>
    <col min="5633" max="5633" width="10.42578125" style="23" customWidth="1"/>
    <col min="5634" max="5634" width="10.28515625" style="23" customWidth="1"/>
    <col min="5635" max="5636" width="10.7109375" style="23" customWidth="1"/>
    <col min="5637" max="5637" width="10.42578125" style="23" customWidth="1"/>
    <col min="5638" max="5639" width="10.28515625" style="23" customWidth="1"/>
    <col min="5640" max="5644" width="0" style="23" hidden="1" customWidth="1"/>
    <col min="5645" max="5645" width="10.42578125" style="23" customWidth="1"/>
    <col min="5646" max="5646" width="10" style="23" customWidth="1"/>
    <col min="5647" max="5647" width="10.28515625" style="23" customWidth="1"/>
    <col min="5648" max="5649" width="10.140625" style="23" customWidth="1"/>
    <col min="5650" max="5883" width="9.140625" style="23"/>
    <col min="5884" max="5885" width="0.42578125" style="23" customWidth="1"/>
    <col min="5886" max="5886" width="1.85546875" style="23" customWidth="1"/>
    <col min="5887" max="5887" width="0.85546875" style="23" customWidth="1"/>
    <col min="5888" max="5888" width="28.140625" style="23" customWidth="1"/>
    <col min="5889" max="5889" width="10.42578125" style="23" customWidth="1"/>
    <col min="5890" max="5890" width="10.28515625" style="23" customWidth="1"/>
    <col min="5891" max="5892" width="10.7109375" style="23" customWidth="1"/>
    <col min="5893" max="5893" width="10.42578125" style="23" customWidth="1"/>
    <col min="5894" max="5895" width="10.28515625" style="23" customWidth="1"/>
    <col min="5896" max="5900" width="0" style="23" hidden="1" customWidth="1"/>
    <col min="5901" max="5901" width="10.42578125" style="23" customWidth="1"/>
    <col min="5902" max="5902" width="10" style="23" customWidth="1"/>
    <col min="5903" max="5903" width="10.28515625" style="23" customWidth="1"/>
    <col min="5904" max="5905" width="10.140625" style="23" customWidth="1"/>
    <col min="5906" max="6139" width="9.140625" style="23"/>
    <col min="6140" max="6141" width="0.42578125" style="23" customWidth="1"/>
    <col min="6142" max="6142" width="1.85546875" style="23" customWidth="1"/>
    <col min="6143" max="6143" width="0.85546875" style="23" customWidth="1"/>
    <col min="6144" max="6144" width="28.140625" style="23" customWidth="1"/>
    <col min="6145" max="6145" width="10.42578125" style="23" customWidth="1"/>
    <col min="6146" max="6146" width="10.28515625" style="23" customWidth="1"/>
    <col min="6147" max="6148" width="10.7109375" style="23" customWidth="1"/>
    <col min="6149" max="6149" width="10.42578125" style="23" customWidth="1"/>
    <col min="6150" max="6151" width="10.28515625" style="23" customWidth="1"/>
    <col min="6152" max="6156" width="0" style="23" hidden="1" customWidth="1"/>
    <col min="6157" max="6157" width="10.42578125" style="23" customWidth="1"/>
    <col min="6158" max="6158" width="10" style="23" customWidth="1"/>
    <col min="6159" max="6159" width="10.28515625" style="23" customWidth="1"/>
    <col min="6160" max="6161" width="10.140625" style="23" customWidth="1"/>
    <col min="6162" max="6395" width="9.140625" style="23"/>
    <col min="6396" max="6397" width="0.42578125" style="23" customWidth="1"/>
    <col min="6398" max="6398" width="1.85546875" style="23" customWidth="1"/>
    <col min="6399" max="6399" width="0.85546875" style="23" customWidth="1"/>
    <col min="6400" max="6400" width="28.140625" style="23" customWidth="1"/>
    <col min="6401" max="6401" width="10.42578125" style="23" customWidth="1"/>
    <col min="6402" max="6402" width="10.28515625" style="23" customWidth="1"/>
    <col min="6403" max="6404" width="10.7109375" style="23" customWidth="1"/>
    <col min="6405" max="6405" width="10.42578125" style="23" customWidth="1"/>
    <col min="6406" max="6407" width="10.28515625" style="23" customWidth="1"/>
    <col min="6408" max="6412" width="0" style="23" hidden="1" customWidth="1"/>
    <col min="6413" max="6413" width="10.42578125" style="23" customWidth="1"/>
    <col min="6414" max="6414" width="10" style="23" customWidth="1"/>
    <col min="6415" max="6415" width="10.28515625" style="23" customWidth="1"/>
    <col min="6416" max="6417" width="10.140625" style="23" customWidth="1"/>
    <col min="6418" max="6651" width="9.140625" style="23"/>
    <col min="6652" max="6653" width="0.42578125" style="23" customWidth="1"/>
    <col min="6654" max="6654" width="1.85546875" style="23" customWidth="1"/>
    <col min="6655" max="6655" width="0.85546875" style="23" customWidth="1"/>
    <col min="6656" max="6656" width="28.140625" style="23" customWidth="1"/>
    <col min="6657" max="6657" width="10.42578125" style="23" customWidth="1"/>
    <col min="6658" max="6658" width="10.28515625" style="23" customWidth="1"/>
    <col min="6659" max="6660" width="10.7109375" style="23" customWidth="1"/>
    <col min="6661" max="6661" width="10.42578125" style="23" customWidth="1"/>
    <col min="6662" max="6663" width="10.28515625" style="23" customWidth="1"/>
    <col min="6664" max="6668" width="0" style="23" hidden="1" customWidth="1"/>
    <col min="6669" max="6669" width="10.42578125" style="23" customWidth="1"/>
    <col min="6670" max="6670" width="10" style="23" customWidth="1"/>
    <col min="6671" max="6671" width="10.28515625" style="23" customWidth="1"/>
    <col min="6672" max="6673" width="10.140625" style="23" customWidth="1"/>
    <col min="6674" max="6907" width="9.140625" style="23"/>
    <col min="6908" max="6909" width="0.42578125" style="23" customWidth="1"/>
    <col min="6910" max="6910" width="1.85546875" style="23" customWidth="1"/>
    <col min="6911" max="6911" width="0.85546875" style="23" customWidth="1"/>
    <col min="6912" max="6912" width="28.140625" style="23" customWidth="1"/>
    <col min="6913" max="6913" width="10.42578125" style="23" customWidth="1"/>
    <col min="6914" max="6914" width="10.28515625" style="23" customWidth="1"/>
    <col min="6915" max="6916" width="10.7109375" style="23" customWidth="1"/>
    <col min="6917" max="6917" width="10.42578125" style="23" customWidth="1"/>
    <col min="6918" max="6919" width="10.28515625" style="23" customWidth="1"/>
    <col min="6920" max="6924" width="0" style="23" hidden="1" customWidth="1"/>
    <col min="6925" max="6925" width="10.42578125" style="23" customWidth="1"/>
    <col min="6926" max="6926" width="10" style="23" customWidth="1"/>
    <col min="6927" max="6927" width="10.28515625" style="23" customWidth="1"/>
    <col min="6928" max="6929" width="10.140625" style="23" customWidth="1"/>
    <col min="6930" max="7163" width="9.140625" style="23"/>
    <col min="7164" max="7165" width="0.42578125" style="23" customWidth="1"/>
    <col min="7166" max="7166" width="1.85546875" style="23" customWidth="1"/>
    <col min="7167" max="7167" width="0.85546875" style="23" customWidth="1"/>
    <col min="7168" max="7168" width="28.140625" style="23" customWidth="1"/>
    <col min="7169" max="7169" width="10.42578125" style="23" customWidth="1"/>
    <col min="7170" max="7170" width="10.28515625" style="23" customWidth="1"/>
    <col min="7171" max="7172" width="10.7109375" style="23" customWidth="1"/>
    <col min="7173" max="7173" width="10.42578125" style="23" customWidth="1"/>
    <col min="7174" max="7175" width="10.28515625" style="23" customWidth="1"/>
    <col min="7176" max="7180" width="0" style="23" hidden="1" customWidth="1"/>
    <col min="7181" max="7181" width="10.42578125" style="23" customWidth="1"/>
    <col min="7182" max="7182" width="10" style="23" customWidth="1"/>
    <col min="7183" max="7183" width="10.28515625" style="23" customWidth="1"/>
    <col min="7184" max="7185" width="10.140625" style="23" customWidth="1"/>
    <col min="7186" max="7419" width="9.140625" style="23"/>
    <col min="7420" max="7421" width="0.42578125" style="23" customWidth="1"/>
    <col min="7422" max="7422" width="1.85546875" style="23" customWidth="1"/>
    <col min="7423" max="7423" width="0.85546875" style="23" customWidth="1"/>
    <col min="7424" max="7424" width="28.140625" style="23" customWidth="1"/>
    <col min="7425" max="7425" width="10.42578125" style="23" customWidth="1"/>
    <col min="7426" max="7426" width="10.28515625" style="23" customWidth="1"/>
    <col min="7427" max="7428" width="10.7109375" style="23" customWidth="1"/>
    <col min="7429" max="7429" width="10.42578125" style="23" customWidth="1"/>
    <col min="7430" max="7431" width="10.28515625" style="23" customWidth="1"/>
    <col min="7432" max="7436" width="0" style="23" hidden="1" customWidth="1"/>
    <col min="7437" max="7437" width="10.42578125" style="23" customWidth="1"/>
    <col min="7438" max="7438" width="10" style="23" customWidth="1"/>
    <col min="7439" max="7439" width="10.28515625" style="23" customWidth="1"/>
    <col min="7440" max="7441" width="10.140625" style="23" customWidth="1"/>
    <col min="7442" max="7675" width="9.140625" style="23"/>
    <col min="7676" max="7677" width="0.42578125" style="23" customWidth="1"/>
    <col min="7678" max="7678" width="1.85546875" style="23" customWidth="1"/>
    <col min="7679" max="7679" width="0.85546875" style="23" customWidth="1"/>
    <col min="7680" max="7680" width="28.140625" style="23" customWidth="1"/>
    <col min="7681" max="7681" width="10.42578125" style="23" customWidth="1"/>
    <col min="7682" max="7682" width="10.28515625" style="23" customWidth="1"/>
    <col min="7683" max="7684" width="10.7109375" style="23" customWidth="1"/>
    <col min="7685" max="7685" width="10.42578125" style="23" customWidth="1"/>
    <col min="7686" max="7687" width="10.28515625" style="23" customWidth="1"/>
    <col min="7688" max="7692" width="0" style="23" hidden="1" customWidth="1"/>
    <col min="7693" max="7693" width="10.42578125" style="23" customWidth="1"/>
    <col min="7694" max="7694" width="10" style="23" customWidth="1"/>
    <col min="7695" max="7695" width="10.28515625" style="23" customWidth="1"/>
    <col min="7696" max="7697" width="10.140625" style="23" customWidth="1"/>
    <col min="7698" max="7931" width="9.140625" style="23"/>
    <col min="7932" max="7933" width="0.42578125" style="23" customWidth="1"/>
    <col min="7934" max="7934" width="1.85546875" style="23" customWidth="1"/>
    <col min="7935" max="7935" width="0.85546875" style="23" customWidth="1"/>
    <col min="7936" max="7936" width="28.140625" style="23" customWidth="1"/>
    <col min="7937" max="7937" width="10.42578125" style="23" customWidth="1"/>
    <col min="7938" max="7938" width="10.28515625" style="23" customWidth="1"/>
    <col min="7939" max="7940" width="10.7109375" style="23" customWidth="1"/>
    <col min="7941" max="7941" width="10.42578125" style="23" customWidth="1"/>
    <col min="7942" max="7943" width="10.28515625" style="23" customWidth="1"/>
    <col min="7944" max="7948" width="0" style="23" hidden="1" customWidth="1"/>
    <col min="7949" max="7949" width="10.42578125" style="23" customWidth="1"/>
    <col min="7950" max="7950" width="10" style="23" customWidth="1"/>
    <col min="7951" max="7951" width="10.28515625" style="23" customWidth="1"/>
    <col min="7952" max="7953" width="10.140625" style="23" customWidth="1"/>
    <col min="7954" max="8187" width="9.140625" style="23"/>
    <col min="8188" max="8189" width="0.42578125" style="23" customWidth="1"/>
    <col min="8190" max="8190" width="1.85546875" style="23" customWidth="1"/>
    <col min="8191" max="8191" width="0.85546875" style="23" customWidth="1"/>
    <col min="8192" max="8192" width="28.140625" style="23" customWidth="1"/>
    <col min="8193" max="8193" width="10.42578125" style="23" customWidth="1"/>
    <col min="8194" max="8194" width="10.28515625" style="23" customWidth="1"/>
    <col min="8195" max="8196" width="10.7109375" style="23" customWidth="1"/>
    <col min="8197" max="8197" width="10.42578125" style="23" customWidth="1"/>
    <col min="8198" max="8199" width="10.28515625" style="23" customWidth="1"/>
    <col min="8200" max="8204" width="0" style="23" hidden="1" customWidth="1"/>
    <col min="8205" max="8205" width="10.42578125" style="23" customWidth="1"/>
    <col min="8206" max="8206" width="10" style="23" customWidth="1"/>
    <col min="8207" max="8207" width="10.28515625" style="23" customWidth="1"/>
    <col min="8208" max="8209" width="10.140625" style="23" customWidth="1"/>
    <col min="8210" max="8443" width="9.140625" style="23"/>
    <col min="8444" max="8445" width="0.42578125" style="23" customWidth="1"/>
    <col min="8446" max="8446" width="1.85546875" style="23" customWidth="1"/>
    <col min="8447" max="8447" width="0.85546875" style="23" customWidth="1"/>
    <col min="8448" max="8448" width="28.140625" style="23" customWidth="1"/>
    <col min="8449" max="8449" width="10.42578125" style="23" customWidth="1"/>
    <col min="8450" max="8450" width="10.28515625" style="23" customWidth="1"/>
    <col min="8451" max="8452" width="10.7109375" style="23" customWidth="1"/>
    <col min="8453" max="8453" width="10.42578125" style="23" customWidth="1"/>
    <col min="8454" max="8455" width="10.28515625" style="23" customWidth="1"/>
    <col min="8456" max="8460" width="0" style="23" hidden="1" customWidth="1"/>
    <col min="8461" max="8461" width="10.42578125" style="23" customWidth="1"/>
    <col min="8462" max="8462" width="10" style="23" customWidth="1"/>
    <col min="8463" max="8463" width="10.28515625" style="23" customWidth="1"/>
    <col min="8464" max="8465" width="10.140625" style="23" customWidth="1"/>
    <col min="8466" max="8699" width="9.140625" style="23"/>
    <col min="8700" max="8701" width="0.42578125" style="23" customWidth="1"/>
    <col min="8702" max="8702" width="1.85546875" style="23" customWidth="1"/>
    <col min="8703" max="8703" width="0.85546875" style="23" customWidth="1"/>
    <col min="8704" max="8704" width="28.140625" style="23" customWidth="1"/>
    <col min="8705" max="8705" width="10.42578125" style="23" customWidth="1"/>
    <col min="8706" max="8706" width="10.28515625" style="23" customWidth="1"/>
    <col min="8707" max="8708" width="10.7109375" style="23" customWidth="1"/>
    <col min="8709" max="8709" width="10.42578125" style="23" customWidth="1"/>
    <col min="8710" max="8711" width="10.28515625" style="23" customWidth="1"/>
    <col min="8712" max="8716" width="0" style="23" hidden="1" customWidth="1"/>
    <col min="8717" max="8717" width="10.42578125" style="23" customWidth="1"/>
    <col min="8718" max="8718" width="10" style="23" customWidth="1"/>
    <col min="8719" max="8719" width="10.28515625" style="23" customWidth="1"/>
    <col min="8720" max="8721" width="10.140625" style="23" customWidth="1"/>
    <col min="8722" max="8955" width="9.140625" style="23"/>
    <col min="8956" max="8957" width="0.42578125" style="23" customWidth="1"/>
    <col min="8958" max="8958" width="1.85546875" style="23" customWidth="1"/>
    <col min="8959" max="8959" width="0.85546875" style="23" customWidth="1"/>
    <col min="8960" max="8960" width="28.140625" style="23" customWidth="1"/>
    <col min="8961" max="8961" width="10.42578125" style="23" customWidth="1"/>
    <col min="8962" max="8962" width="10.28515625" style="23" customWidth="1"/>
    <col min="8963" max="8964" width="10.7109375" style="23" customWidth="1"/>
    <col min="8965" max="8965" width="10.42578125" style="23" customWidth="1"/>
    <col min="8966" max="8967" width="10.28515625" style="23" customWidth="1"/>
    <col min="8968" max="8972" width="0" style="23" hidden="1" customWidth="1"/>
    <col min="8973" max="8973" width="10.42578125" style="23" customWidth="1"/>
    <col min="8974" max="8974" width="10" style="23" customWidth="1"/>
    <col min="8975" max="8975" width="10.28515625" style="23" customWidth="1"/>
    <col min="8976" max="8977" width="10.140625" style="23" customWidth="1"/>
    <col min="8978" max="9211" width="9.140625" style="23"/>
    <col min="9212" max="9213" width="0.42578125" style="23" customWidth="1"/>
    <col min="9214" max="9214" width="1.85546875" style="23" customWidth="1"/>
    <col min="9215" max="9215" width="0.85546875" style="23" customWidth="1"/>
    <col min="9216" max="9216" width="28.140625" style="23" customWidth="1"/>
    <col min="9217" max="9217" width="10.42578125" style="23" customWidth="1"/>
    <col min="9218" max="9218" width="10.28515625" style="23" customWidth="1"/>
    <col min="9219" max="9220" width="10.7109375" style="23" customWidth="1"/>
    <col min="9221" max="9221" width="10.42578125" style="23" customWidth="1"/>
    <col min="9222" max="9223" width="10.28515625" style="23" customWidth="1"/>
    <col min="9224" max="9228" width="0" style="23" hidden="1" customWidth="1"/>
    <col min="9229" max="9229" width="10.42578125" style="23" customWidth="1"/>
    <col min="9230" max="9230" width="10" style="23" customWidth="1"/>
    <col min="9231" max="9231" width="10.28515625" style="23" customWidth="1"/>
    <col min="9232" max="9233" width="10.140625" style="23" customWidth="1"/>
    <col min="9234" max="9467" width="9.140625" style="23"/>
    <col min="9468" max="9469" width="0.42578125" style="23" customWidth="1"/>
    <col min="9470" max="9470" width="1.85546875" style="23" customWidth="1"/>
    <col min="9471" max="9471" width="0.85546875" style="23" customWidth="1"/>
    <col min="9472" max="9472" width="28.140625" style="23" customWidth="1"/>
    <col min="9473" max="9473" width="10.42578125" style="23" customWidth="1"/>
    <col min="9474" max="9474" width="10.28515625" style="23" customWidth="1"/>
    <col min="9475" max="9476" width="10.7109375" style="23" customWidth="1"/>
    <col min="9477" max="9477" width="10.42578125" style="23" customWidth="1"/>
    <col min="9478" max="9479" width="10.28515625" style="23" customWidth="1"/>
    <col min="9480" max="9484" width="0" style="23" hidden="1" customWidth="1"/>
    <col min="9485" max="9485" width="10.42578125" style="23" customWidth="1"/>
    <col min="9486" max="9486" width="10" style="23" customWidth="1"/>
    <col min="9487" max="9487" width="10.28515625" style="23" customWidth="1"/>
    <col min="9488" max="9489" width="10.140625" style="23" customWidth="1"/>
    <col min="9490" max="9723" width="9.140625" style="23"/>
    <col min="9724" max="9725" width="0.42578125" style="23" customWidth="1"/>
    <col min="9726" max="9726" width="1.85546875" style="23" customWidth="1"/>
    <col min="9727" max="9727" width="0.85546875" style="23" customWidth="1"/>
    <col min="9728" max="9728" width="28.140625" style="23" customWidth="1"/>
    <col min="9729" max="9729" width="10.42578125" style="23" customWidth="1"/>
    <col min="9730" max="9730" width="10.28515625" style="23" customWidth="1"/>
    <col min="9731" max="9732" width="10.7109375" style="23" customWidth="1"/>
    <col min="9733" max="9733" width="10.42578125" style="23" customWidth="1"/>
    <col min="9734" max="9735" width="10.28515625" style="23" customWidth="1"/>
    <col min="9736" max="9740" width="0" style="23" hidden="1" customWidth="1"/>
    <col min="9741" max="9741" width="10.42578125" style="23" customWidth="1"/>
    <col min="9742" max="9742" width="10" style="23" customWidth="1"/>
    <col min="9743" max="9743" width="10.28515625" style="23" customWidth="1"/>
    <col min="9744" max="9745" width="10.140625" style="23" customWidth="1"/>
    <col min="9746" max="9979" width="9.140625" style="23"/>
    <col min="9980" max="9981" width="0.42578125" style="23" customWidth="1"/>
    <col min="9982" max="9982" width="1.85546875" style="23" customWidth="1"/>
    <col min="9983" max="9983" width="0.85546875" style="23" customWidth="1"/>
    <col min="9984" max="9984" width="28.140625" style="23" customWidth="1"/>
    <col min="9985" max="9985" width="10.42578125" style="23" customWidth="1"/>
    <col min="9986" max="9986" width="10.28515625" style="23" customWidth="1"/>
    <col min="9987" max="9988" width="10.7109375" style="23" customWidth="1"/>
    <col min="9989" max="9989" width="10.42578125" style="23" customWidth="1"/>
    <col min="9990" max="9991" width="10.28515625" style="23" customWidth="1"/>
    <col min="9992" max="9996" width="0" style="23" hidden="1" customWidth="1"/>
    <col min="9997" max="9997" width="10.42578125" style="23" customWidth="1"/>
    <col min="9998" max="9998" width="10" style="23" customWidth="1"/>
    <col min="9999" max="9999" width="10.28515625" style="23" customWidth="1"/>
    <col min="10000" max="10001" width="10.140625" style="23" customWidth="1"/>
    <col min="10002" max="10235" width="9.140625" style="23"/>
    <col min="10236" max="10237" width="0.42578125" style="23" customWidth="1"/>
    <col min="10238" max="10238" width="1.85546875" style="23" customWidth="1"/>
    <col min="10239" max="10239" width="0.85546875" style="23" customWidth="1"/>
    <col min="10240" max="10240" width="28.140625" style="23" customWidth="1"/>
    <col min="10241" max="10241" width="10.42578125" style="23" customWidth="1"/>
    <col min="10242" max="10242" width="10.28515625" style="23" customWidth="1"/>
    <col min="10243" max="10244" width="10.7109375" style="23" customWidth="1"/>
    <col min="10245" max="10245" width="10.42578125" style="23" customWidth="1"/>
    <col min="10246" max="10247" width="10.28515625" style="23" customWidth="1"/>
    <col min="10248" max="10252" width="0" style="23" hidden="1" customWidth="1"/>
    <col min="10253" max="10253" width="10.42578125" style="23" customWidth="1"/>
    <col min="10254" max="10254" width="10" style="23" customWidth="1"/>
    <col min="10255" max="10255" width="10.28515625" style="23" customWidth="1"/>
    <col min="10256" max="10257" width="10.140625" style="23" customWidth="1"/>
    <col min="10258" max="10491" width="9.140625" style="23"/>
    <col min="10492" max="10493" width="0.42578125" style="23" customWidth="1"/>
    <col min="10494" max="10494" width="1.85546875" style="23" customWidth="1"/>
    <col min="10495" max="10495" width="0.85546875" style="23" customWidth="1"/>
    <col min="10496" max="10496" width="28.140625" style="23" customWidth="1"/>
    <col min="10497" max="10497" width="10.42578125" style="23" customWidth="1"/>
    <col min="10498" max="10498" width="10.28515625" style="23" customWidth="1"/>
    <col min="10499" max="10500" width="10.7109375" style="23" customWidth="1"/>
    <col min="10501" max="10501" width="10.42578125" style="23" customWidth="1"/>
    <col min="10502" max="10503" width="10.28515625" style="23" customWidth="1"/>
    <col min="10504" max="10508" width="0" style="23" hidden="1" customWidth="1"/>
    <col min="10509" max="10509" width="10.42578125" style="23" customWidth="1"/>
    <col min="10510" max="10510" width="10" style="23" customWidth="1"/>
    <col min="10511" max="10511" width="10.28515625" style="23" customWidth="1"/>
    <col min="10512" max="10513" width="10.140625" style="23" customWidth="1"/>
    <col min="10514" max="10747" width="9.140625" style="23"/>
    <col min="10748" max="10749" width="0.42578125" style="23" customWidth="1"/>
    <col min="10750" max="10750" width="1.85546875" style="23" customWidth="1"/>
    <col min="10751" max="10751" width="0.85546875" style="23" customWidth="1"/>
    <col min="10752" max="10752" width="28.140625" style="23" customWidth="1"/>
    <col min="10753" max="10753" width="10.42578125" style="23" customWidth="1"/>
    <col min="10754" max="10754" width="10.28515625" style="23" customWidth="1"/>
    <col min="10755" max="10756" width="10.7109375" style="23" customWidth="1"/>
    <col min="10757" max="10757" width="10.42578125" style="23" customWidth="1"/>
    <col min="10758" max="10759" width="10.28515625" style="23" customWidth="1"/>
    <col min="10760" max="10764" width="0" style="23" hidden="1" customWidth="1"/>
    <col min="10765" max="10765" width="10.42578125" style="23" customWidth="1"/>
    <col min="10766" max="10766" width="10" style="23" customWidth="1"/>
    <col min="10767" max="10767" width="10.28515625" style="23" customWidth="1"/>
    <col min="10768" max="10769" width="10.140625" style="23" customWidth="1"/>
    <col min="10770" max="11003" width="9.140625" style="23"/>
    <col min="11004" max="11005" width="0.42578125" style="23" customWidth="1"/>
    <col min="11006" max="11006" width="1.85546875" style="23" customWidth="1"/>
    <col min="11007" max="11007" width="0.85546875" style="23" customWidth="1"/>
    <col min="11008" max="11008" width="28.140625" style="23" customWidth="1"/>
    <col min="11009" max="11009" width="10.42578125" style="23" customWidth="1"/>
    <col min="11010" max="11010" width="10.28515625" style="23" customWidth="1"/>
    <col min="11011" max="11012" width="10.7109375" style="23" customWidth="1"/>
    <col min="11013" max="11013" width="10.42578125" style="23" customWidth="1"/>
    <col min="11014" max="11015" width="10.28515625" style="23" customWidth="1"/>
    <col min="11016" max="11020" width="0" style="23" hidden="1" customWidth="1"/>
    <col min="11021" max="11021" width="10.42578125" style="23" customWidth="1"/>
    <col min="11022" max="11022" width="10" style="23" customWidth="1"/>
    <col min="11023" max="11023" width="10.28515625" style="23" customWidth="1"/>
    <col min="11024" max="11025" width="10.140625" style="23" customWidth="1"/>
    <col min="11026" max="11259" width="9.140625" style="23"/>
    <col min="11260" max="11261" width="0.42578125" style="23" customWidth="1"/>
    <col min="11262" max="11262" width="1.85546875" style="23" customWidth="1"/>
    <col min="11263" max="11263" width="0.85546875" style="23" customWidth="1"/>
    <col min="11264" max="11264" width="28.140625" style="23" customWidth="1"/>
    <col min="11265" max="11265" width="10.42578125" style="23" customWidth="1"/>
    <col min="11266" max="11266" width="10.28515625" style="23" customWidth="1"/>
    <col min="11267" max="11268" width="10.7109375" style="23" customWidth="1"/>
    <col min="11269" max="11269" width="10.42578125" style="23" customWidth="1"/>
    <col min="11270" max="11271" width="10.28515625" style="23" customWidth="1"/>
    <col min="11272" max="11276" width="0" style="23" hidden="1" customWidth="1"/>
    <col min="11277" max="11277" width="10.42578125" style="23" customWidth="1"/>
    <col min="11278" max="11278" width="10" style="23" customWidth="1"/>
    <col min="11279" max="11279" width="10.28515625" style="23" customWidth="1"/>
    <col min="11280" max="11281" width="10.140625" style="23" customWidth="1"/>
    <col min="11282" max="11515" width="9.140625" style="23"/>
    <col min="11516" max="11517" width="0.42578125" style="23" customWidth="1"/>
    <col min="11518" max="11518" width="1.85546875" style="23" customWidth="1"/>
    <col min="11519" max="11519" width="0.85546875" style="23" customWidth="1"/>
    <col min="11520" max="11520" width="28.140625" style="23" customWidth="1"/>
    <col min="11521" max="11521" width="10.42578125" style="23" customWidth="1"/>
    <col min="11522" max="11522" width="10.28515625" style="23" customWidth="1"/>
    <col min="11523" max="11524" width="10.7109375" style="23" customWidth="1"/>
    <col min="11525" max="11525" width="10.42578125" style="23" customWidth="1"/>
    <col min="11526" max="11527" width="10.28515625" style="23" customWidth="1"/>
    <col min="11528" max="11532" width="0" style="23" hidden="1" customWidth="1"/>
    <col min="11533" max="11533" width="10.42578125" style="23" customWidth="1"/>
    <col min="11534" max="11534" width="10" style="23" customWidth="1"/>
    <col min="11535" max="11535" width="10.28515625" style="23" customWidth="1"/>
    <col min="11536" max="11537" width="10.140625" style="23" customWidth="1"/>
    <col min="11538" max="11771" width="9.140625" style="23"/>
    <col min="11772" max="11773" width="0.42578125" style="23" customWidth="1"/>
    <col min="11774" max="11774" width="1.85546875" style="23" customWidth="1"/>
    <col min="11775" max="11775" width="0.85546875" style="23" customWidth="1"/>
    <col min="11776" max="11776" width="28.140625" style="23" customWidth="1"/>
    <col min="11777" max="11777" width="10.42578125" style="23" customWidth="1"/>
    <col min="11778" max="11778" width="10.28515625" style="23" customWidth="1"/>
    <col min="11779" max="11780" width="10.7109375" style="23" customWidth="1"/>
    <col min="11781" max="11781" width="10.42578125" style="23" customWidth="1"/>
    <col min="11782" max="11783" width="10.28515625" style="23" customWidth="1"/>
    <col min="11784" max="11788" width="0" style="23" hidden="1" customWidth="1"/>
    <col min="11789" max="11789" width="10.42578125" style="23" customWidth="1"/>
    <col min="11790" max="11790" width="10" style="23" customWidth="1"/>
    <col min="11791" max="11791" width="10.28515625" style="23" customWidth="1"/>
    <col min="11792" max="11793" width="10.140625" style="23" customWidth="1"/>
    <col min="11794" max="12027" width="9.140625" style="23"/>
    <col min="12028" max="12029" width="0.42578125" style="23" customWidth="1"/>
    <col min="12030" max="12030" width="1.85546875" style="23" customWidth="1"/>
    <col min="12031" max="12031" width="0.85546875" style="23" customWidth="1"/>
    <col min="12032" max="12032" width="28.140625" style="23" customWidth="1"/>
    <col min="12033" max="12033" width="10.42578125" style="23" customWidth="1"/>
    <col min="12034" max="12034" width="10.28515625" style="23" customWidth="1"/>
    <col min="12035" max="12036" width="10.7109375" style="23" customWidth="1"/>
    <col min="12037" max="12037" width="10.42578125" style="23" customWidth="1"/>
    <col min="12038" max="12039" width="10.28515625" style="23" customWidth="1"/>
    <col min="12040" max="12044" width="0" style="23" hidden="1" customWidth="1"/>
    <col min="12045" max="12045" width="10.42578125" style="23" customWidth="1"/>
    <col min="12046" max="12046" width="10" style="23" customWidth="1"/>
    <col min="12047" max="12047" width="10.28515625" style="23" customWidth="1"/>
    <col min="12048" max="12049" width="10.140625" style="23" customWidth="1"/>
    <col min="12050" max="12283" width="9.140625" style="23"/>
    <col min="12284" max="12285" width="0.42578125" style="23" customWidth="1"/>
    <col min="12286" max="12286" width="1.85546875" style="23" customWidth="1"/>
    <col min="12287" max="12287" width="0.85546875" style="23" customWidth="1"/>
    <col min="12288" max="12288" width="28.140625" style="23" customWidth="1"/>
    <col min="12289" max="12289" width="10.42578125" style="23" customWidth="1"/>
    <col min="12290" max="12290" width="10.28515625" style="23" customWidth="1"/>
    <col min="12291" max="12292" width="10.7109375" style="23" customWidth="1"/>
    <col min="12293" max="12293" width="10.42578125" style="23" customWidth="1"/>
    <col min="12294" max="12295" width="10.28515625" style="23" customWidth="1"/>
    <col min="12296" max="12300" width="0" style="23" hidden="1" customWidth="1"/>
    <col min="12301" max="12301" width="10.42578125" style="23" customWidth="1"/>
    <col min="12302" max="12302" width="10" style="23" customWidth="1"/>
    <col min="12303" max="12303" width="10.28515625" style="23" customWidth="1"/>
    <col min="12304" max="12305" width="10.140625" style="23" customWidth="1"/>
    <col min="12306" max="12539" width="9.140625" style="23"/>
    <col min="12540" max="12541" width="0.42578125" style="23" customWidth="1"/>
    <col min="12542" max="12542" width="1.85546875" style="23" customWidth="1"/>
    <col min="12543" max="12543" width="0.85546875" style="23" customWidth="1"/>
    <col min="12544" max="12544" width="28.140625" style="23" customWidth="1"/>
    <col min="12545" max="12545" width="10.42578125" style="23" customWidth="1"/>
    <col min="12546" max="12546" width="10.28515625" style="23" customWidth="1"/>
    <col min="12547" max="12548" width="10.7109375" style="23" customWidth="1"/>
    <col min="12549" max="12549" width="10.42578125" style="23" customWidth="1"/>
    <col min="12550" max="12551" width="10.28515625" style="23" customWidth="1"/>
    <col min="12552" max="12556" width="0" style="23" hidden="1" customWidth="1"/>
    <col min="12557" max="12557" width="10.42578125" style="23" customWidth="1"/>
    <col min="12558" max="12558" width="10" style="23" customWidth="1"/>
    <col min="12559" max="12559" width="10.28515625" style="23" customWidth="1"/>
    <col min="12560" max="12561" width="10.140625" style="23" customWidth="1"/>
    <col min="12562" max="12795" width="9.140625" style="23"/>
    <col min="12796" max="12797" width="0.42578125" style="23" customWidth="1"/>
    <col min="12798" max="12798" width="1.85546875" style="23" customWidth="1"/>
    <col min="12799" max="12799" width="0.85546875" style="23" customWidth="1"/>
    <col min="12800" max="12800" width="28.140625" style="23" customWidth="1"/>
    <col min="12801" max="12801" width="10.42578125" style="23" customWidth="1"/>
    <col min="12802" max="12802" width="10.28515625" style="23" customWidth="1"/>
    <col min="12803" max="12804" width="10.7109375" style="23" customWidth="1"/>
    <col min="12805" max="12805" width="10.42578125" style="23" customWidth="1"/>
    <col min="12806" max="12807" width="10.28515625" style="23" customWidth="1"/>
    <col min="12808" max="12812" width="0" style="23" hidden="1" customWidth="1"/>
    <col min="12813" max="12813" width="10.42578125" style="23" customWidth="1"/>
    <col min="12814" max="12814" width="10" style="23" customWidth="1"/>
    <col min="12815" max="12815" width="10.28515625" style="23" customWidth="1"/>
    <col min="12816" max="12817" width="10.140625" style="23" customWidth="1"/>
    <col min="12818" max="13051" width="9.140625" style="23"/>
    <col min="13052" max="13053" width="0.42578125" style="23" customWidth="1"/>
    <col min="13054" max="13054" width="1.85546875" style="23" customWidth="1"/>
    <col min="13055" max="13055" width="0.85546875" style="23" customWidth="1"/>
    <col min="13056" max="13056" width="28.140625" style="23" customWidth="1"/>
    <col min="13057" max="13057" width="10.42578125" style="23" customWidth="1"/>
    <col min="13058" max="13058" width="10.28515625" style="23" customWidth="1"/>
    <col min="13059" max="13060" width="10.7109375" style="23" customWidth="1"/>
    <col min="13061" max="13061" width="10.42578125" style="23" customWidth="1"/>
    <col min="13062" max="13063" width="10.28515625" style="23" customWidth="1"/>
    <col min="13064" max="13068" width="0" style="23" hidden="1" customWidth="1"/>
    <col min="13069" max="13069" width="10.42578125" style="23" customWidth="1"/>
    <col min="13070" max="13070" width="10" style="23" customWidth="1"/>
    <col min="13071" max="13071" width="10.28515625" style="23" customWidth="1"/>
    <col min="13072" max="13073" width="10.140625" style="23" customWidth="1"/>
    <col min="13074" max="13307" width="9.140625" style="23"/>
    <col min="13308" max="13309" width="0.42578125" style="23" customWidth="1"/>
    <col min="13310" max="13310" width="1.85546875" style="23" customWidth="1"/>
    <col min="13311" max="13311" width="0.85546875" style="23" customWidth="1"/>
    <col min="13312" max="13312" width="28.140625" style="23" customWidth="1"/>
    <col min="13313" max="13313" width="10.42578125" style="23" customWidth="1"/>
    <col min="13314" max="13314" width="10.28515625" style="23" customWidth="1"/>
    <col min="13315" max="13316" width="10.7109375" style="23" customWidth="1"/>
    <col min="13317" max="13317" width="10.42578125" style="23" customWidth="1"/>
    <col min="13318" max="13319" width="10.28515625" style="23" customWidth="1"/>
    <col min="13320" max="13324" width="0" style="23" hidden="1" customWidth="1"/>
    <col min="13325" max="13325" width="10.42578125" style="23" customWidth="1"/>
    <col min="13326" max="13326" width="10" style="23" customWidth="1"/>
    <col min="13327" max="13327" width="10.28515625" style="23" customWidth="1"/>
    <col min="13328" max="13329" width="10.140625" style="23" customWidth="1"/>
    <col min="13330" max="13563" width="9.140625" style="23"/>
    <col min="13564" max="13565" width="0.42578125" style="23" customWidth="1"/>
    <col min="13566" max="13566" width="1.85546875" style="23" customWidth="1"/>
    <col min="13567" max="13567" width="0.85546875" style="23" customWidth="1"/>
    <col min="13568" max="13568" width="28.140625" style="23" customWidth="1"/>
    <col min="13569" max="13569" width="10.42578125" style="23" customWidth="1"/>
    <col min="13570" max="13570" width="10.28515625" style="23" customWidth="1"/>
    <col min="13571" max="13572" width="10.7109375" style="23" customWidth="1"/>
    <col min="13573" max="13573" width="10.42578125" style="23" customWidth="1"/>
    <col min="13574" max="13575" width="10.28515625" style="23" customWidth="1"/>
    <col min="13576" max="13580" width="0" style="23" hidden="1" customWidth="1"/>
    <col min="13581" max="13581" width="10.42578125" style="23" customWidth="1"/>
    <col min="13582" max="13582" width="10" style="23" customWidth="1"/>
    <col min="13583" max="13583" width="10.28515625" style="23" customWidth="1"/>
    <col min="13584" max="13585" width="10.140625" style="23" customWidth="1"/>
    <col min="13586" max="13819" width="9.140625" style="23"/>
    <col min="13820" max="13821" width="0.42578125" style="23" customWidth="1"/>
    <col min="13822" max="13822" width="1.85546875" style="23" customWidth="1"/>
    <col min="13823" max="13823" width="0.85546875" style="23" customWidth="1"/>
    <col min="13824" max="13824" width="28.140625" style="23" customWidth="1"/>
    <col min="13825" max="13825" width="10.42578125" style="23" customWidth="1"/>
    <col min="13826" max="13826" width="10.28515625" style="23" customWidth="1"/>
    <col min="13827" max="13828" width="10.7109375" style="23" customWidth="1"/>
    <col min="13829" max="13829" width="10.42578125" style="23" customWidth="1"/>
    <col min="13830" max="13831" width="10.28515625" style="23" customWidth="1"/>
    <col min="13832" max="13836" width="0" style="23" hidden="1" customWidth="1"/>
    <col min="13837" max="13837" width="10.42578125" style="23" customWidth="1"/>
    <col min="13838" max="13838" width="10" style="23" customWidth="1"/>
    <col min="13839" max="13839" width="10.28515625" style="23" customWidth="1"/>
    <col min="13840" max="13841" width="10.140625" style="23" customWidth="1"/>
    <col min="13842" max="14075" width="9.140625" style="23"/>
    <col min="14076" max="14077" width="0.42578125" style="23" customWidth="1"/>
    <col min="14078" max="14078" width="1.85546875" style="23" customWidth="1"/>
    <col min="14079" max="14079" width="0.85546875" style="23" customWidth="1"/>
    <col min="14080" max="14080" width="28.140625" style="23" customWidth="1"/>
    <col min="14081" max="14081" width="10.42578125" style="23" customWidth="1"/>
    <col min="14082" max="14082" width="10.28515625" style="23" customWidth="1"/>
    <col min="14083" max="14084" width="10.7109375" style="23" customWidth="1"/>
    <col min="14085" max="14085" width="10.42578125" style="23" customWidth="1"/>
    <col min="14086" max="14087" width="10.28515625" style="23" customWidth="1"/>
    <col min="14088" max="14092" width="0" style="23" hidden="1" customWidth="1"/>
    <col min="14093" max="14093" width="10.42578125" style="23" customWidth="1"/>
    <col min="14094" max="14094" width="10" style="23" customWidth="1"/>
    <col min="14095" max="14095" width="10.28515625" style="23" customWidth="1"/>
    <col min="14096" max="14097" width="10.140625" style="23" customWidth="1"/>
    <col min="14098" max="14331" width="9.140625" style="23"/>
    <col min="14332" max="14333" width="0.42578125" style="23" customWidth="1"/>
    <col min="14334" max="14334" width="1.85546875" style="23" customWidth="1"/>
    <col min="14335" max="14335" width="0.85546875" style="23" customWidth="1"/>
    <col min="14336" max="14336" width="28.140625" style="23" customWidth="1"/>
    <col min="14337" max="14337" width="10.42578125" style="23" customWidth="1"/>
    <col min="14338" max="14338" width="10.28515625" style="23" customWidth="1"/>
    <col min="14339" max="14340" width="10.7109375" style="23" customWidth="1"/>
    <col min="14341" max="14341" width="10.42578125" style="23" customWidth="1"/>
    <col min="14342" max="14343" width="10.28515625" style="23" customWidth="1"/>
    <col min="14344" max="14348" width="0" style="23" hidden="1" customWidth="1"/>
    <col min="14349" max="14349" width="10.42578125" style="23" customWidth="1"/>
    <col min="14350" max="14350" width="10" style="23" customWidth="1"/>
    <col min="14351" max="14351" width="10.28515625" style="23" customWidth="1"/>
    <col min="14352" max="14353" width="10.140625" style="23" customWidth="1"/>
    <col min="14354" max="14587" width="9.140625" style="23"/>
    <col min="14588" max="14589" width="0.42578125" style="23" customWidth="1"/>
    <col min="14590" max="14590" width="1.85546875" style="23" customWidth="1"/>
    <col min="14591" max="14591" width="0.85546875" style="23" customWidth="1"/>
    <col min="14592" max="14592" width="28.140625" style="23" customWidth="1"/>
    <col min="14593" max="14593" width="10.42578125" style="23" customWidth="1"/>
    <col min="14594" max="14594" width="10.28515625" style="23" customWidth="1"/>
    <col min="14595" max="14596" width="10.7109375" style="23" customWidth="1"/>
    <col min="14597" max="14597" width="10.42578125" style="23" customWidth="1"/>
    <col min="14598" max="14599" width="10.28515625" style="23" customWidth="1"/>
    <col min="14600" max="14604" width="0" style="23" hidden="1" customWidth="1"/>
    <col min="14605" max="14605" width="10.42578125" style="23" customWidth="1"/>
    <col min="14606" max="14606" width="10" style="23" customWidth="1"/>
    <col min="14607" max="14607" width="10.28515625" style="23" customWidth="1"/>
    <col min="14608" max="14609" width="10.140625" style="23" customWidth="1"/>
    <col min="14610" max="14843" width="9.140625" style="23"/>
    <col min="14844" max="14845" width="0.42578125" style="23" customWidth="1"/>
    <col min="14846" max="14846" width="1.85546875" style="23" customWidth="1"/>
    <col min="14847" max="14847" width="0.85546875" style="23" customWidth="1"/>
    <col min="14848" max="14848" width="28.140625" style="23" customWidth="1"/>
    <col min="14849" max="14849" width="10.42578125" style="23" customWidth="1"/>
    <col min="14850" max="14850" width="10.28515625" style="23" customWidth="1"/>
    <col min="14851" max="14852" width="10.7109375" style="23" customWidth="1"/>
    <col min="14853" max="14853" width="10.42578125" style="23" customWidth="1"/>
    <col min="14854" max="14855" width="10.28515625" style="23" customWidth="1"/>
    <col min="14856" max="14860" width="0" style="23" hidden="1" customWidth="1"/>
    <col min="14861" max="14861" width="10.42578125" style="23" customWidth="1"/>
    <col min="14862" max="14862" width="10" style="23" customWidth="1"/>
    <col min="14863" max="14863" width="10.28515625" style="23" customWidth="1"/>
    <col min="14864" max="14865" width="10.140625" style="23" customWidth="1"/>
    <col min="14866" max="15099" width="9.140625" style="23"/>
    <col min="15100" max="15101" width="0.42578125" style="23" customWidth="1"/>
    <col min="15102" max="15102" width="1.85546875" style="23" customWidth="1"/>
    <col min="15103" max="15103" width="0.85546875" style="23" customWidth="1"/>
    <col min="15104" max="15104" width="28.140625" style="23" customWidth="1"/>
    <col min="15105" max="15105" width="10.42578125" style="23" customWidth="1"/>
    <col min="15106" max="15106" width="10.28515625" style="23" customWidth="1"/>
    <col min="15107" max="15108" width="10.7109375" style="23" customWidth="1"/>
    <col min="15109" max="15109" width="10.42578125" style="23" customWidth="1"/>
    <col min="15110" max="15111" width="10.28515625" style="23" customWidth="1"/>
    <col min="15112" max="15116" width="0" style="23" hidden="1" customWidth="1"/>
    <col min="15117" max="15117" width="10.42578125" style="23" customWidth="1"/>
    <col min="15118" max="15118" width="10" style="23" customWidth="1"/>
    <col min="15119" max="15119" width="10.28515625" style="23" customWidth="1"/>
    <col min="15120" max="15121" width="10.140625" style="23" customWidth="1"/>
    <col min="15122" max="15355" width="9.140625" style="23"/>
    <col min="15356" max="15357" width="0.42578125" style="23" customWidth="1"/>
    <col min="15358" max="15358" width="1.85546875" style="23" customWidth="1"/>
    <col min="15359" max="15359" width="0.85546875" style="23" customWidth="1"/>
    <col min="15360" max="15360" width="28.140625" style="23" customWidth="1"/>
    <col min="15361" max="15361" width="10.42578125" style="23" customWidth="1"/>
    <col min="15362" max="15362" width="10.28515625" style="23" customWidth="1"/>
    <col min="15363" max="15364" width="10.7109375" style="23" customWidth="1"/>
    <col min="15365" max="15365" width="10.42578125" style="23" customWidth="1"/>
    <col min="15366" max="15367" width="10.28515625" style="23" customWidth="1"/>
    <col min="15368" max="15372" width="0" style="23" hidden="1" customWidth="1"/>
    <col min="15373" max="15373" width="10.42578125" style="23" customWidth="1"/>
    <col min="15374" max="15374" width="10" style="23" customWidth="1"/>
    <col min="15375" max="15375" width="10.28515625" style="23" customWidth="1"/>
    <col min="15376" max="15377" width="10.140625" style="23" customWidth="1"/>
    <col min="15378" max="15611" width="9.140625" style="23"/>
    <col min="15612" max="15613" width="0.42578125" style="23" customWidth="1"/>
    <col min="15614" max="15614" width="1.85546875" style="23" customWidth="1"/>
    <col min="15615" max="15615" width="0.85546875" style="23" customWidth="1"/>
    <col min="15616" max="15616" width="28.140625" style="23" customWidth="1"/>
    <col min="15617" max="15617" width="10.42578125" style="23" customWidth="1"/>
    <col min="15618" max="15618" width="10.28515625" style="23" customWidth="1"/>
    <col min="15619" max="15620" width="10.7109375" style="23" customWidth="1"/>
    <col min="15621" max="15621" width="10.42578125" style="23" customWidth="1"/>
    <col min="15622" max="15623" width="10.28515625" style="23" customWidth="1"/>
    <col min="15624" max="15628" width="0" style="23" hidden="1" customWidth="1"/>
    <col min="15629" max="15629" width="10.42578125" style="23" customWidth="1"/>
    <col min="15630" max="15630" width="10" style="23" customWidth="1"/>
    <col min="15631" max="15631" width="10.28515625" style="23" customWidth="1"/>
    <col min="15632" max="15633" width="10.140625" style="23" customWidth="1"/>
    <col min="15634" max="15867" width="9.140625" style="23"/>
    <col min="15868" max="15869" width="0.42578125" style="23" customWidth="1"/>
    <col min="15870" max="15870" width="1.85546875" style="23" customWidth="1"/>
    <col min="15871" max="15871" width="0.85546875" style="23" customWidth="1"/>
    <col min="15872" max="15872" width="28.140625" style="23" customWidth="1"/>
    <col min="15873" max="15873" width="10.42578125" style="23" customWidth="1"/>
    <col min="15874" max="15874" width="10.28515625" style="23" customWidth="1"/>
    <col min="15875" max="15876" width="10.7109375" style="23" customWidth="1"/>
    <col min="15877" max="15877" width="10.42578125" style="23" customWidth="1"/>
    <col min="15878" max="15879" width="10.28515625" style="23" customWidth="1"/>
    <col min="15880" max="15884" width="0" style="23" hidden="1" customWidth="1"/>
    <col min="15885" max="15885" width="10.42578125" style="23" customWidth="1"/>
    <col min="15886" max="15886" width="10" style="23" customWidth="1"/>
    <col min="15887" max="15887" width="10.28515625" style="23" customWidth="1"/>
    <col min="15888" max="15889" width="10.140625" style="23" customWidth="1"/>
    <col min="15890" max="16123" width="9.140625" style="23"/>
    <col min="16124" max="16125" width="0.42578125" style="23" customWidth="1"/>
    <col min="16126" max="16126" width="1.85546875" style="23" customWidth="1"/>
    <col min="16127" max="16127" width="0.85546875" style="23" customWidth="1"/>
    <col min="16128" max="16128" width="28.140625" style="23" customWidth="1"/>
    <col min="16129" max="16129" width="10.42578125" style="23" customWidth="1"/>
    <col min="16130" max="16130" width="10.28515625" style="23" customWidth="1"/>
    <col min="16131" max="16132" width="10.7109375" style="23" customWidth="1"/>
    <col min="16133" max="16133" width="10.42578125" style="23" customWidth="1"/>
    <col min="16134" max="16135" width="10.28515625" style="23" customWidth="1"/>
    <col min="16136" max="16140" width="0" style="23" hidden="1" customWidth="1"/>
    <col min="16141" max="16141" width="10.42578125" style="23" customWidth="1"/>
    <col min="16142" max="16142" width="10" style="23" customWidth="1"/>
    <col min="16143" max="16143" width="10.28515625" style="23" customWidth="1"/>
    <col min="16144" max="16145" width="10.140625" style="23" customWidth="1"/>
    <col min="16146" max="16384" width="9.140625" style="23"/>
  </cols>
  <sheetData>
    <row r="1" spans="1:17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x14ac:dyDescent="0.25">
      <c r="A2" s="96" t="s">
        <v>218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22.5" customHeight="1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7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" x14ac:dyDescent="0.25">
      <c r="A7" s="27" t="s">
        <v>107</v>
      </c>
      <c r="B7" s="27"/>
      <c r="C7" s="27"/>
      <c r="D7" s="27"/>
      <c r="E7" s="27"/>
      <c r="F7" s="6">
        <f t="shared" ref="F7:Q7" si="0">+F9+F69</f>
        <v>2037358</v>
      </c>
      <c r="G7" s="6">
        <f t="shared" si="0"/>
        <v>2061895.669</v>
      </c>
      <c r="H7" s="6">
        <f t="shared" si="0"/>
        <v>2059650.1739999996</v>
      </c>
      <c r="I7" s="6">
        <f t="shared" si="0"/>
        <v>2060420.692</v>
      </c>
      <c r="J7" s="6">
        <f t="shared" si="0"/>
        <v>2070839.1710000001</v>
      </c>
      <c r="K7" s="6">
        <f t="shared" si="0"/>
        <v>2043237.2740000002</v>
      </c>
      <c r="L7" s="6">
        <f t="shared" si="0"/>
        <v>2089017.2520000001</v>
      </c>
      <c r="M7" s="6">
        <f t="shared" si="0"/>
        <v>2113777.8490000004</v>
      </c>
      <c r="N7" s="6">
        <f t="shared" si="0"/>
        <v>2150956.6919999998</v>
      </c>
      <c r="O7" s="6">
        <f t="shared" si="0"/>
        <v>2153025.4249999998</v>
      </c>
      <c r="P7" s="6">
        <f t="shared" si="0"/>
        <v>2180050.1</v>
      </c>
      <c r="Q7" s="6">
        <f t="shared" si="0"/>
        <v>2182159.452</v>
      </c>
    </row>
    <row r="8" spans="1:17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x14ac:dyDescent="0.25">
      <c r="B9" s="27" t="s">
        <v>108</v>
      </c>
      <c r="C9" s="27"/>
      <c r="D9" s="27"/>
      <c r="E9" s="27"/>
      <c r="F9" s="8">
        <f>+F10+F28+F57+F61+F63+F65+F67</f>
        <v>2006613</v>
      </c>
      <c r="G9" s="8">
        <f>+G10+G28+G57+G61+G63+G65+G67-1</f>
        <v>2031154.888</v>
      </c>
      <c r="H9" s="8">
        <f t="shared" ref="H9:P9" si="1">+H10+H28+H57+H61+H63+H65+H67</f>
        <v>2028913.6419999998</v>
      </c>
      <c r="I9" s="8">
        <f t="shared" si="1"/>
        <v>2033687.246</v>
      </c>
      <c r="J9" s="8">
        <f t="shared" si="1"/>
        <v>2032048.1740000001</v>
      </c>
      <c r="K9" s="8">
        <f t="shared" si="1"/>
        <v>2004449.1630000002</v>
      </c>
      <c r="L9" s="8">
        <f t="shared" si="1"/>
        <v>2050235.297</v>
      </c>
      <c r="M9" s="8">
        <f t="shared" si="1"/>
        <v>2075002.8490000002</v>
      </c>
      <c r="N9" s="8">
        <f t="shared" si="1"/>
        <v>2113924.105</v>
      </c>
      <c r="O9" s="8">
        <f t="shared" si="1"/>
        <v>2116004.4249999998</v>
      </c>
      <c r="P9" s="8">
        <f t="shared" si="1"/>
        <v>2132035.1</v>
      </c>
      <c r="Q9" s="8">
        <f>+Q10+Q28+Q57+Q61+Q63+Q65+Q67+1</f>
        <v>2134147.1910000001</v>
      </c>
    </row>
    <row r="10" spans="1:17" ht="15" x14ac:dyDescent="0.25">
      <c r="B10" s="27"/>
      <c r="C10" s="27" t="s">
        <v>24</v>
      </c>
      <c r="D10" s="27"/>
      <c r="E10" s="27"/>
      <c r="F10" s="8">
        <f t="shared" ref="F10:Q10" si="2">+F11+F17</f>
        <v>1502176</v>
      </c>
      <c r="G10" s="8">
        <f t="shared" si="2"/>
        <v>1524132.2050000001</v>
      </c>
      <c r="H10" s="8">
        <f t="shared" si="2"/>
        <v>1521744.5049999999</v>
      </c>
      <c r="I10" s="8">
        <f t="shared" si="2"/>
        <v>1526539.7050000001</v>
      </c>
      <c r="J10" s="8">
        <f t="shared" si="2"/>
        <v>1563541.105</v>
      </c>
      <c r="K10" s="8">
        <f t="shared" si="2"/>
        <v>1559350.2050000001</v>
      </c>
      <c r="L10" s="8">
        <f t="shared" si="2"/>
        <v>1605079.3699999999</v>
      </c>
      <c r="M10" s="8">
        <f t="shared" si="2"/>
        <v>1638081.37</v>
      </c>
      <c r="N10" s="8">
        <f t="shared" si="2"/>
        <v>1634557.9700000002</v>
      </c>
      <c r="O10" s="8">
        <f t="shared" si="2"/>
        <v>1644725.693</v>
      </c>
      <c r="P10" s="8">
        <f t="shared" si="2"/>
        <v>1667058</v>
      </c>
      <c r="Q10" s="8">
        <f t="shared" si="2"/>
        <v>1674272.4920000001</v>
      </c>
    </row>
    <row r="11" spans="1:17" ht="15" x14ac:dyDescent="0.25">
      <c r="B11" s="29"/>
      <c r="C11" s="29"/>
      <c r="D11" s="29" t="s">
        <v>109</v>
      </c>
      <c r="E11" s="29"/>
      <c r="F11" s="8">
        <f t="shared" ref="F11:Q11" si="3">SUM(F13:F16)</f>
        <v>602713</v>
      </c>
      <c r="G11" s="8">
        <f t="shared" si="3"/>
        <v>595169.4</v>
      </c>
      <c r="H11" s="8">
        <f t="shared" si="3"/>
        <v>581001.6</v>
      </c>
      <c r="I11" s="8">
        <f t="shared" si="3"/>
        <v>573465.80000000005</v>
      </c>
      <c r="J11" s="8">
        <f t="shared" si="3"/>
        <v>586070.69999999995</v>
      </c>
      <c r="K11" s="8">
        <f t="shared" si="3"/>
        <v>558058.19999999995</v>
      </c>
      <c r="L11" s="8">
        <f t="shared" si="3"/>
        <v>601014.1</v>
      </c>
      <c r="M11" s="8">
        <f t="shared" si="3"/>
        <v>608656.5</v>
      </c>
      <c r="N11" s="8">
        <f t="shared" si="3"/>
        <v>620914.20000000007</v>
      </c>
      <c r="O11" s="8">
        <f t="shared" si="3"/>
        <v>628838</v>
      </c>
      <c r="P11" s="8">
        <f t="shared" si="3"/>
        <v>639363</v>
      </c>
      <c r="Q11" s="8">
        <f t="shared" si="3"/>
        <v>637605.39899999998</v>
      </c>
    </row>
    <row r="12" spans="1:17" ht="15" x14ac:dyDescent="0.25">
      <c r="A12" s="29"/>
      <c r="B12" s="29"/>
      <c r="C12" s="29"/>
      <c r="D12" s="29"/>
      <c r="E12" s="2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">
      <c r="E13" s="23" t="s">
        <v>104</v>
      </c>
      <c r="F13" s="30">
        <v>100870</v>
      </c>
      <c r="G13" s="30">
        <f>36080.8+65000</f>
        <v>101080.8</v>
      </c>
      <c r="H13" s="30">
        <v>106676.5</v>
      </c>
      <c r="I13" s="30">
        <v>96862.5</v>
      </c>
      <c r="J13" s="30">
        <f>32766.9+65000</f>
        <v>97766.9</v>
      </c>
      <c r="K13" s="30">
        <v>97048.7</v>
      </c>
      <c r="L13" s="30">
        <v>93924</v>
      </c>
      <c r="M13" s="30">
        <v>89175</v>
      </c>
      <c r="N13" s="30">
        <v>84686.6</v>
      </c>
      <c r="O13" s="30">
        <v>83351.399999999994</v>
      </c>
      <c r="P13" s="30">
        <v>79379</v>
      </c>
      <c r="Q13" s="30">
        <v>75733.5</v>
      </c>
    </row>
    <row r="14" spans="1:17" x14ac:dyDescent="0.2">
      <c r="E14" s="23" t="s">
        <v>105</v>
      </c>
      <c r="F14" s="30">
        <v>181780</v>
      </c>
      <c r="G14" s="30">
        <f>123584.9+60000</f>
        <v>183584.9</v>
      </c>
      <c r="H14" s="30">
        <v>155466.4</v>
      </c>
      <c r="I14" s="30">
        <v>154306.70000000001</v>
      </c>
      <c r="J14" s="30">
        <f>85853.1+60000</f>
        <v>145853.1</v>
      </c>
      <c r="K14" s="30">
        <v>148842.20000000001</v>
      </c>
      <c r="L14" s="30">
        <v>151272.4</v>
      </c>
      <c r="M14" s="30">
        <v>148335.4</v>
      </c>
      <c r="N14" s="30">
        <v>156417.70000000001</v>
      </c>
      <c r="O14" s="30">
        <v>159883.70000000001</v>
      </c>
      <c r="P14" s="30">
        <v>159966</v>
      </c>
      <c r="Q14" s="30">
        <v>151626.29999999999</v>
      </c>
    </row>
    <row r="15" spans="1:17" x14ac:dyDescent="0.2">
      <c r="E15" s="23" t="s">
        <v>106</v>
      </c>
      <c r="F15" s="30">
        <v>320063</v>
      </c>
      <c r="G15" s="30">
        <f>260935.4+49568.3</f>
        <v>310503.7</v>
      </c>
      <c r="H15" s="30">
        <v>318858.7</v>
      </c>
      <c r="I15" s="30">
        <v>322296.59999999998</v>
      </c>
      <c r="J15" s="30">
        <f>292882.4+49568.3</f>
        <v>342450.7</v>
      </c>
      <c r="K15" s="30">
        <v>312167.3</v>
      </c>
      <c r="L15" s="30">
        <v>355817.7</v>
      </c>
      <c r="M15" s="30">
        <v>371146.1</v>
      </c>
      <c r="N15" s="30">
        <v>379809.9</v>
      </c>
      <c r="O15" s="30">
        <v>385602.9</v>
      </c>
      <c r="P15" s="30">
        <v>400018</v>
      </c>
      <c r="Q15" s="30">
        <v>410245.59899999999</v>
      </c>
    </row>
    <row r="16" spans="1:17" x14ac:dyDescent="0.2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x14ac:dyDescent="0.25">
      <c r="B17" s="29"/>
      <c r="C17" s="29"/>
      <c r="D17" s="29" t="s">
        <v>110</v>
      </c>
      <c r="E17" s="29"/>
      <c r="F17" s="8">
        <f t="shared" ref="F17:L17" si="4">SUM(F18:F26)</f>
        <v>899463</v>
      </c>
      <c r="G17" s="8">
        <f t="shared" si="4"/>
        <v>928962.80499999993</v>
      </c>
      <c r="H17" s="8">
        <f t="shared" si="4"/>
        <v>940742.90499999991</v>
      </c>
      <c r="I17" s="8">
        <f t="shared" si="4"/>
        <v>953073.90500000003</v>
      </c>
      <c r="J17" s="8">
        <f t="shared" si="4"/>
        <v>977470.40499999991</v>
      </c>
      <c r="K17" s="8">
        <f t="shared" si="4"/>
        <v>1001292.005</v>
      </c>
      <c r="L17" s="8">
        <f t="shared" si="4"/>
        <v>1004065.2699999999</v>
      </c>
      <c r="M17" s="8">
        <f>SUM(M18:M26)</f>
        <v>1029424.87</v>
      </c>
      <c r="N17" s="8">
        <f>SUM(N18:N26)</f>
        <v>1013643.77</v>
      </c>
      <c r="O17" s="8">
        <f>SUM(O18:O26)</f>
        <v>1015887.693</v>
      </c>
      <c r="P17" s="8">
        <f>SUM(P18:P26)</f>
        <v>1027695</v>
      </c>
      <c r="Q17" s="8">
        <f>SUM(Q18:Q26)</f>
        <v>1036667.093</v>
      </c>
    </row>
    <row r="18" spans="1:17" x14ac:dyDescent="0.2">
      <c r="E18" s="23" t="s">
        <v>111</v>
      </c>
      <c r="F18" s="30">
        <v>47771</v>
      </c>
      <c r="G18" s="30">
        <v>65559.527000000002</v>
      </c>
      <c r="H18" s="30">
        <v>73066.027000000002</v>
      </c>
      <c r="I18" s="30">
        <v>73361.027000000002</v>
      </c>
      <c r="J18" s="30">
        <v>73361.027000000002</v>
      </c>
      <c r="K18" s="30">
        <v>73361.027000000002</v>
      </c>
      <c r="L18" s="30">
        <v>61937.826999999997</v>
      </c>
      <c r="M18" s="30">
        <v>61937.826999999997</v>
      </c>
      <c r="N18" s="30">
        <v>61937.826999999997</v>
      </c>
      <c r="O18" s="30">
        <v>54548.5</v>
      </c>
      <c r="P18" s="30">
        <v>54549</v>
      </c>
      <c r="Q18" s="30">
        <v>54548.5</v>
      </c>
    </row>
    <row r="19" spans="1:17" x14ac:dyDescent="0.2">
      <c r="E19" s="23" t="s">
        <v>28</v>
      </c>
      <c r="F19" s="30">
        <v>110353</v>
      </c>
      <c r="G19" s="30">
        <v>113435.322</v>
      </c>
      <c r="H19" s="30">
        <v>121656.522</v>
      </c>
      <c r="I19" s="30">
        <v>128731.522</v>
      </c>
      <c r="J19" s="30">
        <v>132951.92199999999</v>
      </c>
      <c r="K19" s="30">
        <v>145767.122</v>
      </c>
      <c r="L19" s="30">
        <v>132710.22200000001</v>
      </c>
      <c r="M19" s="30">
        <v>133338.72200000001</v>
      </c>
      <c r="N19" s="30">
        <v>119271.322</v>
      </c>
      <c r="O19" s="30">
        <v>107173.022</v>
      </c>
      <c r="P19" s="30">
        <v>107173</v>
      </c>
      <c r="Q19" s="30">
        <v>107173.022</v>
      </c>
    </row>
    <row r="20" spans="1:17" x14ac:dyDescent="0.2">
      <c r="E20" s="23" t="s">
        <v>112</v>
      </c>
      <c r="F20" s="30">
        <v>137964</v>
      </c>
      <c r="G20" s="30">
        <v>137964.29999999999</v>
      </c>
      <c r="H20" s="30">
        <v>145964.29999999999</v>
      </c>
      <c r="I20" s="30">
        <v>145964.29999999999</v>
      </c>
      <c r="J20" s="30">
        <v>151380.5</v>
      </c>
      <c r="K20" s="30">
        <v>158923.29999999999</v>
      </c>
      <c r="L20" s="30">
        <v>173405.3</v>
      </c>
      <c r="M20" s="30">
        <v>182299.9</v>
      </c>
      <c r="N20" s="30">
        <v>183234</v>
      </c>
      <c r="O20" s="30">
        <v>188454.39999999999</v>
      </c>
      <c r="P20" s="30">
        <v>189432</v>
      </c>
      <c r="Q20" s="30">
        <v>190245.3</v>
      </c>
    </row>
    <row r="21" spans="1:17" x14ac:dyDescent="0.2">
      <c r="E21" s="23" t="s">
        <v>27</v>
      </c>
      <c r="F21" s="30">
        <v>259822</v>
      </c>
      <c r="G21" s="30">
        <v>259276.5</v>
      </c>
      <c r="H21" s="30">
        <v>246642</v>
      </c>
      <c r="I21" s="30">
        <v>244444.6</v>
      </c>
      <c r="J21" s="30">
        <v>251503.7</v>
      </c>
      <c r="K21" s="30">
        <v>245501</v>
      </c>
      <c r="L21" s="30">
        <v>247498.91500000001</v>
      </c>
      <c r="M21" s="30">
        <v>252663.815</v>
      </c>
      <c r="N21" s="30">
        <v>243784.01500000001</v>
      </c>
      <c r="O21" s="30">
        <v>250378.51500000001</v>
      </c>
      <c r="P21" s="30">
        <v>255554</v>
      </c>
      <c r="Q21" s="30">
        <v>256237.715</v>
      </c>
    </row>
    <row r="22" spans="1:17" x14ac:dyDescent="0.2">
      <c r="E22" s="23" t="s">
        <v>26</v>
      </c>
      <c r="F22" s="30">
        <v>139233</v>
      </c>
      <c r="G22" s="30">
        <v>139232.6</v>
      </c>
      <c r="H22" s="30">
        <v>139232.6</v>
      </c>
      <c r="I22" s="30">
        <v>141247.79999999999</v>
      </c>
      <c r="J22" s="30">
        <v>146589.1</v>
      </c>
      <c r="K22" s="30">
        <v>151466.9</v>
      </c>
      <c r="L22" s="30">
        <v>151917.20000000001</v>
      </c>
      <c r="M22" s="30">
        <v>158088</v>
      </c>
      <c r="N22" s="30">
        <v>162820.5</v>
      </c>
      <c r="O22" s="30">
        <v>165346.1</v>
      </c>
      <c r="P22" s="30">
        <v>169920</v>
      </c>
      <c r="Q22" s="30">
        <v>170120.9</v>
      </c>
    </row>
    <row r="23" spans="1:17" x14ac:dyDescent="0.2">
      <c r="E23" s="23" t="s">
        <v>113</v>
      </c>
      <c r="F23" s="30">
        <v>149093</v>
      </c>
      <c r="G23" s="30">
        <v>157965.64499999999</v>
      </c>
      <c r="H23" s="30">
        <v>158628.845</v>
      </c>
      <c r="I23" s="30">
        <v>159264.14499999999</v>
      </c>
      <c r="J23" s="30">
        <v>161489.44500000001</v>
      </c>
      <c r="K23" s="30">
        <v>166075.04500000001</v>
      </c>
      <c r="L23" s="30">
        <v>169390.64499999999</v>
      </c>
      <c r="M23" s="30">
        <v>173865.745</v>
      </c>
      <c r="N23" s="30">
        <v>175331.44500000001</v>
      </c>
      <c r="O23" s="30">
        <v>178645.94500000001</v>
      </c>
      <c r="P23" s="30">
        <v>179491</v>
      </c>
      <c r="Q23" s="30">
        <v>186762.94500000001</v>
      </c>
    </row>
    <row r="24" spans="1:17" x14ac:dyDescent="0.2">
      <c r="E24" s="23" t="s">
        <v>114</v>
      </c>
      <c r="F24" s="30">
        <v>46928</v>
      </c>
      <c r="G24" s="30">
        <v>47229.811000000002</v>
      </c>
      <c r="H24" s="30">
        <v>47253.610999999997</v>
      </c>
      <c r="I24" s="30">
        <v>51761.411</v>
      </c>
      <c r="J24" s="30">
        <v>51895.610999999997</v>
      </c>
      <c r="K24" s="30">
        <v>51898.510999999999</v>
      </c>
      <c r="L24" s="30">
        <v>51906.010999999999</v>
      </c>
      <c r="M24" s="30">
        <v>51921.911</v>
      </c>
      <c r="N24" s="30">
        <v>51922.311000000002</v>
      </c>
      <c r="O24" s="30">
        <v>55939.010999999999</v>
      </c>
      <c r="P24" s="30">
        <v>56138</v>
      </c>
      <c r="Q24" s="30">
        <v>56137.711000000003</v>
      </c>
    </row>
    <row r="25" spans="1:17" x14ac:dyDescent="0.2">
      <c r="E25" s="23" t="s">
        <v>115</v>
      </c>
      <c r="F25" s="30">
        <v>8202</v>
      </c>
      <c r="G25" s="30">
        <v>8202.1</v>
      </c>
      <c r="H25" s="30">
        <v>8202</v>
      </c>
      <c r="I25" s="30">
        <v>8202.1</v>
      </c>
      <c r="J25" s="30">
        <v>8202.1</v>
      </c>
      <c r="K25" s="30">
        <v>8202.1</v>
      </c>
      <c r="L25" s="30">
        <v>15202.1</v>
      </c>
      <c r="M25" s="30">
        <v>15211.9</v>
      </c>
      <c r="N25" s="30">
        <v>15245.3</v>
      </c>
      <c r="O25" s="30">
        <v>15305.2</v>
      </c>
      <c r="P25" s="30">
        <v>15341</v>
      </c>
      <c r="Q25" s="30">
        <v>15344</v>
      </c>
    </row>
    <row r="26" spans="1:17" x14ac:dyDescent="0.2">
      <c r="E26" s="23" t="s">
        <v>116</v>
      </c>
      <c r="F26" s="30">
        <v>97</v>
      </c>
      <c r="G26" s="30">
        <v>97</v>
      </c>
      <c r="H26" s="30">
        <v>97</v>
      </c>
      <c r="I26" s="30">
        <v>97</v>
      </c>
      <c r="J26" s="30">
        <v>97</v>
      </c>
      <c r="K26" s="30">
        <v>97</v>
      </c>
      <c r="L26" s="30">
        <v>97.05</v>
      </c>
      <c r="M26" s="30">
        <v>97.05</v>
      </c>
      <c r="N26" s="30">
        <v>97.05</v>
      </c>
      <c r="O26" s="30">
        <v>97</v>
      </c>
      <c r="P26" s="30">
        <v>97</v>
      </c>
      <c r="Q26" s="30">
        <v>97</v>
      </c>
    </row>
    <row r="27" spans="1:17" x14ac:dyDescent="0.2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5" x14ac:dyDescent="0.25">
      <c r="B28" s="29"/>
      <c r="C28" s="29" t="s">
        <v>117</v>
      </c>
      <c r="D28" s="29"/>
      <c r="E28" s="29"/>
      <c r="F28" s="8">
        <f>+F29+F35+F37+F43+F47+F49+F53+F55</f>
        <v>368718</v>
      </c>
      <c r="G28" s="8">
        <f t="shared" ref="G28:Q28" si="5">+G29+G35+G37+G43+G47+G49+G53+G55</f>
        <v>372605.33899999998</v>
      </c>
      <c r="H28" s="8">
        <f t="shared" si="5"/>
        <v>372605.33899999998</v>
      </c>
      <c r="I28" s="8">
        <f t="shared" si="5"/>
        <v>372605.33899999998</v>
      </c>
      <c r="J28" s="8">
        <f t="shared" si="5"/>
        <v>334612.18</v>
      </c>
      <c r="K28" s="8">
        <f t="shared" si="5"/>
        <v>311352.435</v>
      </c>
      <c r="L28" s="8">
        <f t="shared" si="5"/>
        <v>311352.435</v>
      </c>
      <c r="M28" s="8">
        <f t="shared" si="5"/>
        <v>303352.61499999999</v>
      </c>
      <c r="N28" s="8">
        <f t="shared" si="5"/>
        <v>347724.73499999999</v>
      </c>
      <c r="O28" s="8">
        <f t="shared" si="5"/>
        <v>347724.73499999999</v>
      </c>
      <c r="P28" s="8">
        <f t="shared" si="5"/>
        <v>341494.61499999999</v>
      </c>
      <c r="Q28" s="8">
        <f t="shared" si="5"/>
        <v>336494.73499999999</v>
      </c>
    </row>
    <row r="29" spans="1:17" ht="15" x14ac:dyDescent="0.25">
      <c r="B29" s="29"/>
      <c r="C29" s="29"/>
      <c r="D29" s="29" t="s">
        <v>118</v>
      </c>
      <c r="E29" s="29"/>
      <c r="F29" s="8">
        <f t="shared" ref="F29:L29" si="6">SUM(F31:F33)</f>
        <v>248490</v>
      </c>
      <c r="G29" s="8">
        <f t="shared" si="6"/>
        <v>248489.72399999999</v>
      </c>
      <c r="H29" s="8">
        <f t="shared" si="6"/>
        <v>248489.72399999999</v>
      </c>
      <c r="I29" s="8">
        <f t="shared" si="6"/>
        <v>248489.72399999999</v>
      </c>
      <c r="J29" s="8">
        <f t="shared" si="6"/>
        <v>210496.565</v>
      </c>
      <c r="K29" s="8">
        <f t="shared" si="6"/>
        <v>187236.82</v>
      </c>
      <c r="L29" s="8">
        <f t="shared" si="6"/>
        <v>187236.82</v>
      </c>
      <c r="M29" s="8">
        <f>SUM(M31:M33)</f>
        <v>187237</v>
      </c>
      <c r="N29" s="8">
        <f>SUM(N31:N33)</f>
        <v>231609.12</v>
      </c>
      <c r="O29" s="8">
        <f>SUM(O31:O33)</f>
        <v>231609.12</v>
      </c>
      <c r="P29" s="8">
        <f>SUM(P31:P33)</f>
        <v>231609</v>
      </c>
      <c r="Q29" s="8">
        <f>SUM(Q31:Q33)</f>
        <v>231609.12</v>
      </c>
    </row>
    <row r="30" spans="1:17" ht="15" x14ac:dyDescent="0.25">
      <c r="A30" s="29"/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">
      <c r="E31" s="23" t="s">
        <v>119</v>
      </c>
      <c r="F31" s="30">
        <v>114996</v>
      </c>
      <c r="G31" s="30">
        <v>114995.605</v>
      </c>
      <c r="H31" s="30">
        <v>114995.605</v>
      </c>
      <c r="I31" s="30">
        <v>114995.605</v>
      </c>
      <c r="J31" s="30">
        <v>114995.605</v>
      </c>
      <c r="K31" s="30">
        <v>91735.86</v>
      </c>
      <c r="L31" s="30">
        <v>91735.86</v>
      </c>
      <c r="M31" s="30">
        <v>91736</v>
      </c>
      <c r="N31" s="30">
        <v>91735.86</v>
      </c>
      <c r="O31" s="30">
        <v>91735.86</v>
      </c>
      <c r="P31" s="30">
        <v>91736</v>
      </c>
      <c r="Q31" s="30">
        <v>91735.86</v>
      </c>
    </row>
    <row r="32" spans="1:17" x14ac:dyDescent="0.2">
      <c r="E32" s="23" t="s">
        <v>120</v>
      </c>
      <c r="F32" s="30">
        <v>37993</v>
      </c>
      <c r="G32" s="30">
        <v>37993.159</v>
      </c>
      <c r="H32" s="30">
        <v>37993.159</v>
      </c>
      <c r="I32" s="30">
        <v>37993.159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</row>
    <row r="33" spans="1:17" x14ac:dyDescent="0.2">
      <c r="E33" s="23" t="s">
        <v>121</v>
      </c>
      <c r="F33" s="30">
        <v>95501</v>
      </c>
      <c r="G33" s="30">
        <v>95500.96</v>
      </c>
      <c r="H33" s="30">
        <v>95500.96</v>
      </c>
      <c r="I33" s="30">
        <v>95500.96</v>
      </c>
      <c r="J33" s="30">
        <v>95500.96</v>
      </c>
      <c r="K33" s="30">
        <v>95500.96</v>
      </c>
      <c r="L33" s="30">
        <v>95500.96</v>
      </c>
      <c r="M33" s="30">
        <v>95501</v>
      </c>
      <c r="N33" s="30">
        <v>139873.26</v>
      </c>
      <c r="O33" s="30">
        <v>139873.26</v>
      </c>
      <c r="P33" s="30">
        <v>139873</v>
      </c>
      <c r="Q33" s="30">
        <v>139873.26</v>
      </c>
    </row>
    <row r="34" spans="1:17" x14ac:dyDescent="0.2"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15" x14ac:dyDescent="0.25">
      <c r="C35" s="29"/>
      <c r="D35" s="29" t="s">
        <v>170</v>
      </c>
      <c r="E35" s="29"/>
      <c r="F35" s="28">
        <v>8000</v>
      </c>
      <c r="G35" s="28">
        <v>8000</v>
      </c>
      <c r="H35" s="28">
        <v>8000</v>
      </c>
      <c r="I35" s="28">
        <v>8000</v>
      </c>
      <c r="J35" s="28">
        <v>8000</v>
      </c>
      <c r="K35" s="28">
        <v>8000</v>
      </c>
      <c r="L35" s="28">
        <v>8000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</row>
    <row r="36" spans="1:17" x14ac:dyDescent="0.2"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ht="15" x14ac:dyDescent="0.25">
      <c r="C37" s="29"/>
      <c r="D37" s="29" t="s">
        <v>209</v>
      </c>
      <c r="E37" s="29"/>
      <c r="F37" s="8">
        <f t="shared" ref="F37:L37" si="7">SUM(F39:F41)</f>
        <v>45590</v>
      </c>
      <c r="G37" s="8">
        <f t="shared" si="7"/>
        <v>45590</v>
      </c>
      <c r="H37" s="8">
        <f t="shared" si="7"/>
        <v>45590</v>
      </c>
      <c r="I37" s="8">
        <f t="shared" si="7"/>
        <v>45590</v>
      </c>
      <c r="J37" s="8">
        <f t="shared" si="7"/>
        <v>45590</v>
      </c>
      <c r="K37" s="8">
        <f t="shared" si="7"/>
        <v>45590</v>
      </c>
      <c r="L37" s="8">
        <f t="shared" si="7"/>
        <v>45590</v>
      </c>
      <c r="M37" s="8">
        <f>SUM(M39:M41)</f>
        <v>45590</v>
      </c>
      <c r="N37" s="8">
        <f>SUM(N39:N41)</f>
        <v>45590</v>
      </c>
      <c r="O37" s="8">
        <f>SUM(O39:O41)</f>
        <v>45590</v>
      </c>
      <c r="P37" s="8">
        <f>SUM(P39:P41)</f>
        <v>39360</v>
      </c>
      <c r="Q37" s="8">
        <f>SUM(Q39:Q41)</f>
        <v>39360</v>
      </c>
    </row>
    <row r="38" spans="1:17" ht="15" x14ac:dyDescent="0.25">
      <c r="A38" s="29"/>
      <c r="B38" s="29"/>
      <c r="C38" s="29"/>
      <c r="D38" s="29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x14ac:dyDescent="0.2">
      <c r="E39" s="23" t="s">
        <v>119</v>
      </c>
      <c r="F39" s="30">
        <v>8230</v>
      </c>
      <c r="G39" s="30">
        <v>8230</v>
      </c>
      <c r="H39" s="30">
        <v>8230</v>
      </c>
      <c r="I39" s="30">
        <v>8230</v>
      </c>
      <c r="J39" s="30">
        <v>8230</v>
      </c>
      <c r="K39" s="30">
        <v>8230</v>
      </c>
      <c r="L39" s="30">
        <v>8230</v>
      </c>
      <c r="M39" s="30">
        <v>8230</v>
      </c>
      <c r="N39" s="30">
        <v>8230</v>
      </c>
      <c r="O39" s="30">
        <v>8230</v>
      </c>
      <c r="P39" s="30">
        <v>2000</v>
      </c>
      <c r="Q39" s="30">
        <v>2000</v>
      </c>
    </row>
    <row r="40" spans="1:17" x14ac:dyDescent="0.2">
      <c r="E40" s="23" t="s">
        <v>121</v>
      </c>
      <c r="F40" s="30">
        <v>30660</v>
      </c>
      <c r="G40" s="30">
        <v>30660</v>
      </c>
      <c r="H40" s="30">
        <v>30660</v>
      </c>
      <c r="I40" s="30">
        <v>30660</v>
      </c>
      <c r="J40" s="30">
        <v>30660</v>
      </c>
      <c r="K40" s="30">
        <v>30660</v>
      </c>
      <c r="L40" s="30">
        <v>30660</v>
      </c>
      <c r="M40" s="30">
        <v>30660</v>
      </c>
      <c r="N40" s="30">
        <v>30660</v>
      </c>
      <c r="O40" s="30">
        <v>30660</v>
      </c>
      <c r="P40" s="30">
        <v>30660</v>
      </c>
      <c r="Q40" s="30">
        <v>30660</v>
      </c>
    </row>
    <row r="41" spans="1:17" x14ac:dyDescent="0.2">
      <c r="E41" s="23" t="s">
        <v>125</v>
      </c>
      <c r="F41" s="30">
        <v>6700</v>
      </c>
      <c r="G41" s="30">
        <v>6700</v>
      </c>
      <c r="H41" s="30">
        <v>6700</v>
      </c>
      <c r="I41" s="30">
        <v>6700</v>
      </c>
      <c r="J41" s="30">
        <v>6700</v>
      </c>
      <c r="K41" s="30">
        <v>6700</v>
      </c>
      <c r="L41" s="30">
        <v>6700</v>
      </c>
      <c r="M41" s="30">
        <v>6700</v>
      </c>
      <c r="N41" s="30">
        <v>6700</v>
      </c>
      <c r="O41" s="30">
        <v>6700</v>
      </c>
      <c r="P41" s="30">
        <v>6700</v>
      </c>
      <c r="Q41" s="30">
        <v>6700</v>
      </c>
    </row>
    <row r="42" spans="1:17" x14ac:dyDescent="0.2"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1:17" ht="15" x14ac:dyDescent="0.25">
      <c r="B43" s="29"/>
      <c r="C43" s="29"/>
      <c r="D43" s="29" t="s">
        <v>210</v>
      </c>
      <c r="E43" s="29"/>
      <c r="F43" s="8">
        <f t="shared" ref="F43:Q43" si="8">SUM(F45:F45)</f>
        <v>5480</v>
      </c>
      <c r="G43" s="8">
        <f t="shared" si="8"/>
        <v>5480</v>
      </c>
      <c r="H43" s="8">
        <f t="shared" si="8"/>
        <v>5480</v>
      </c>
      <c r="I43" s="8">
        <f t="shared" si="8"/>
        <v>5480</v>
      </c>
      <c r="J43" s="8">
        <f t="shared" si="8"/>
        <v>5480</v>
      </c>
      <c r="K43" s="8">
        <f t="shared" si="8"/>
        <v>5480</v>
      </c>
      <c r="L43" s="8">
        <f t="shared" si="8"/>
        <v>5480</v>
      </c>
      <c r="M43" s="8">
        <f t="shared" si="8"/>
        <v>5480</v>
      </c>
      <c r="N43" s="8">
        <f t="shared" si="8"/>
        <v>5480</v>
      </c>
      <c r="O43" s="8">
        <f t="shared" si="8"/>
        <v>5480</v>
      </c>
      <c r="P43" s="8">
        <f t="shared" si="8"/>
        <v>5480</v>
      </c>
      <c r="Q43" s="8">
        <f t="shared" si="8"/>
        <v>5480</v>
      </c>
    </row>
    <row r="44" spans="1:17" x14ac:dyDescent="0.2"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x14ac:dyDescent="0.2">
      <c r="E45" s="23" t="s">
        <v>121</v>
      </c>
      <c r="F45" s="30">
        <v>5480</v>
      </c>
      <c r="G45" s="30">
        <v>5480</v>
      </c>
      <c r="H45" s="30">
        <v>5480</v>
      </c>
      <c r="I45" s="30">
        <v>5480</v>
      </c>
      <c r="J45" s="30">
        <v>5480</v>
      </c>
      <c r="K45" s="30">
        <v>5480</v>
      </c>
      <c r="L45" s="30">
        <v>5480</v>
      </c>
      <c r="M45" s="30">
        <v>5480</v>
      </c>
      <c r="N45" s="30">
        <v>5480</v>
      </c>
      <c r="O45" s="30">
        <v>5480</v>
      </c>
      <c r="P45" s="30">
        <v>5480</v>
      </c>
      <c r="Q45" s="30">
        <v>5480</v>
      </c>
    </row>
    <row r="46" spans="1:17" x14ac:dyDescent="0.2">
      <c r="F46" s="30"/>
    </row>
    <row r="47" spans="1:17" ht="15" x14ac:dyDescent="0.25">
      <c r="B47" s="29"/>
      <c r="C47" s="29"/>
      <c r="D47" s="29" t="s">
        <v>153</v>
      </c>
      <c r="E47" s="29"/>
      <c r="F47" s="28">
        <v>16158</v>
      </c>
      <c r="G47" s="28">
        <v>16157.615</v>
      </c>
      <c r="H47" s="28">
        <v>16157.615</v>
      </c>
      <c r="I47" s="28">
        <v>16157.615</v>
      </c>
      <c r="J47" s="28">
        <v>16157.615</v>
      </c>
      <c r="K47" s="28">
        <v>16157.615</v>
      </c>
      <c r="L47" s="28">
        <v>16157.615</v>
      </c>
      <c r="M47" s="28">
        <v>16157.615</v>
      </c>
      <c r="N47" s="28">
        <v>16157.615</v>
      </c>
      <c r="O47" s="28">
        <v>16157.615</v>
      </c>
      <c r="P47" s="28">
        <v>16157.615</v>
      </c>
      <c r="Q47" s="28">
        <v>16157.615</v>
      </c>
    </row>
    <row r="48" spans="1:17" x14ac:dyDescent="0.2"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1:17" ht="15" x14ac:dyDescent="0.25">
      <c r="B49" s="29"/>
      <c r="C49" s="29"/>
      <c r="D49" s="29" t="s">
        <v>154</v>
      </c>
      <c r="E49" s="29"/>
      <c r="F49" s="8">
        <f t="shared" ref="F49:Q49" si="9">SUM(F51:F51)</f>
        <v>10000</v>
      </c>
      <c r="G49" s="8">
        <f t="shared" si="9"/>
        <v>10000</v>
      </c>
      <c r="H49" s="8">
        <f t="shared" si="9"/>
        <v>10000</v>
      </c>
      <c r="I49" s="8">
        <f t="shared" si="9"/>
        <v>10000</v>
      </c>
      <c r="J49" s="8">
        <f t="shared" si="9"/>
        <v>10000</v>
      </c>
      <c r="K49" s="8">
        <f t="shared" si="9"/>
        <v>10000</v>
      </c>
      <c r="L49" s="8">
        <f t="shared" si="9"/>
        <v>10000</v>
      </c>
      <c r="M49" s="8">
        <f t="shared" si="9"/>
        <v>10000</v>
      </c>
      <c r="N49" s="8">
        <f t="shared" si="9"/>
        <v>10000</v>
      </c>
      <c r="O49" s="8">
        <f t="shared" si="9"/>
        <v>10000</v>
      </c>
      <c r="P49" s="8">
        <f t="shared" si="9"/>
        <v>10000</v>
      </c>
      <c r="Q49" s="8">
        <f t="shared" si="9"/>
        <v>5000</v>
      </c>
    </row>
    <row r="50" spans="1:17" ht="15" x14ac:dyDescent="0.25">
      <c r="B50" s="29"/>
      <c r="C50" s="29"/>
      <c r="D50" s="29"/>
      <c r="E50" s="29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 x14ac:dyDescent="0.2">
      <c r="E51" s="23" t="s">
        <v>119</v>
      </c>
      <c r="F51" s="30">
        <v>10000</v>
      </c>
      <c r="G51" s="30">
        <v>10000</v>
      </c>
      <c r="H51" s="30">
        <v>10000</v>
      </c>
      <c r="I51" s="30">
        <v>10000</v>
      </c>
      <c r="J51" s="30">
        <v>10000</v>
      </c>
      <c r="K51" s="30">
        <v>10000</v>
      </c>
      <c r="L51" s="30">
        <v>10000</v>
      </c>
      <c r="M51" s="30">
        <v>10000</v>
      </c>
      <c r="N51" s="30">
        <v>10000</v>
      </c>
      <c r="O51" s="30">
        <v>10000</v>
      </c>
      <c r="P51" s="30">
        <v>10000</v>
      </c>
      <c r="Q51" s="30">
        <v>5000</v>
      </c>
    </row>
    <row r="52" spans="1:17" x14ac:dyDescent="0.2"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5" x14ac:dyDescent="0.25">
      <c r="B53" s="29"/>
      <c r="C53" s="29"/>
      <c r="D53" s="29" t="s">
        <v>211</v>
      </c>
      <c r="E53" s="29"/>
      <c r="F53" s="28">
        <v>35000</v>
      </c>
      <c r="G53" s="28">
        <v>35000</v>
      </c>
      <c r="H53" s="28">
        <v>35000</v>
      </c>
      <c r="I53" s="28">
        <v>35000</v>
      </c>
      <c r="J53" s="28">
        <v>35000</v>
      </c>
      <c r="K53" s="28">
        <v>35000</v>
      </c>
      <c r="L53" s="28">
        <v>35000</v>
      </c>
      <c r="M53" s="28">
        <v>35000</v>
      </c>
      <c r="N53" s="28">
        <v>35000</v>
      </c>
      <c r="O53" s="28">
        <v>35000</v>
      </c>
      <c r="P53" s="28">
        <v>35000</v>
      </c>
      <c r="Q53" s="28">
        <v>35000</v>
      </c>
    </row>
    <row r="54" spans="1:17" ht="15" x14ac:dyDescent="0.25">
      <c r="B54" s="29"/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5" x14ac:dyDescent="0.25">
      <c r="B55" s="29"/>
      <c r="C55" s="29"/>
      <c r="D55" s="29" t="s">
        <v>212</v>
      </c>
      <c r="E55" s="29"/>
      <c r="F55" s="28">
        <v>0</v>
      </c>
      <c r="G55" s="28">
        <v>3888</v>
      </c>
      <c r="H55" s="28">
        <v>3888</v>
      </c>
      <c r="I55" s="28">
        <v>3888</v>
      </c>
      <c r="J55" s="28">
        <v>3888</v>
      </c>
      <c r="K55" s="28">
        <v>3888</v>
      </c>
      <c r="L55" s="28">
        <v>3888</v>
      </c>
      <c r="M55" s="28">
        <v>3888</v>
      </c>
      <c r="N55" s="28">
        <v>3888</v>
      </c>
      <c r="O55" s="28">
        <v>3888</v>
      </c>
      <c r="P55" s="28">
        <v>3888</v>
      </c>
      <c r="Q55" s="28">
        <v>3888</v>
      </c>
    </row>
    <row r="56" spans="1:17" x14ac:dyDescent="0.2"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15" x14ac:dyDescent="0.25">
      <c r="C57" s="31" t="s">
        <v>31</v>
      </c>
      <c r="D57" s="29" t="s">
        <v>131</v>
      </c>
      <c r="E57" s="29"/>
      <c r="F57" s="8">
        <f t="shared" ref="F57:L57" si="10">SUM(F58:F59)</f>
        <v>24856</v>
      </c>
      <c r="G57" s="8">
        <f t="shared" si="10"/>
        <v>24856.400000000001</v>
      </c>
      <c r="H57" s="8">
        <f t="shared" si="10"/>
        <v>24856.400000000001</v>
      </c>
      <c r="I57" s="8">
        <f t="shared" si="10"/>
        <v>24856.400000000001</v>
      </c>
      <c r="J57" s="8">
        <f t="shared" si="10"/>
        <v>24856.400000000001</v>
      </c>
      <c r="K57" s="8">
        <f t="shared" si="10"/>
        <v>24856.400000000001</v>
      </c>
      <c r="L57" s="8">
        <f t="shared" si="10"/>
        <v>24856.400000000001</v>
      </c>
      <c r="M57" s="8">
        <f>SUM(M58:M59)</f>
        <v>24856.400000000001</v>
      </c>
      <c r="N57" s="8">
        <f>SUM(N58:N59)</f>
        <v>32988</v>
      </c>
      <c r="O57" s="8">
        <f>SUM(O58:O59)</f>
        <v>32988</v>
      </c>
      <c r="P57" s="8">
        <f>SUM(P58:P59)</f>
        <v>32988</v>
      </c>
      <c r="Q57" s="8">
        <f>SUM(Q58:Q59)</f>
        <v>32988</v>
      </c>
    </row>
    <row r="58" spans="1:17" ht="15" x14ac:dyDescent="0.25">
      <c r="C58" s="31"/>
      <c r="D58" s="29"/>
      <c r="E58" s="23" t="s">
        <v>141</v>
      </c>
      <c r="F58" s="30">
        <v>7662</v>
      </c>
      <c r="G58" s="30">
        <v>7662.5</v>
      </c>
      <c r="H58" s="30">
        <v>7662.5</v>
      </c>
      <c r="I58" s="30">
        <v>7662.5</v>
      </c>
      <c r="J58" s="30">
        <v>7662.5</v>
      </c>
      <c r="K58" s="30">
        <v>7662.5</v>
      </c>
      <c r="L58" s="30">
        <v>7662.5</v>
      </c>
      <c r="M58" s="30">
        <v>7662.5</v>
      </c>
      <c r="N58" s="30">
        <v>7662.5</v>
      </c>
      <c r="O58" s="30">
        <v>7662</v>
      </c>
      <c r="P58" s="30">
        <v>7662</v>
      </c>
      <c r="Q58" s="30">
        <v>7662.5</v>
      </c>
    </row>
    <row r="59" spans="1:17" ht="15" x14ac:dyDescent="0.25">
      <c r="D59" s="29"/>
      <c r="E59" s="23" t="s">
        <v>132</v>
      </c>
      <c r="F59" s="30">
        <v>17194</v>
      </c>
      <c r="G59" s="30">
        <v>17193.900000000001</v>
      </c>
      <c r="H59" s="30">
        <v>17193.900000000001</v>
      </c>
      <c r="I59" s="30">
        <v>17193.900000000001</v>
      </c>
      <c r="J59" s="30">
        <v>17193.900000000001</v>
      </c>
      <c r="K59" s="30">
        <v>17193.900000000001</v>
      </c>
      <c r="L59" s="30">
        <v>17193.900000000001</v>
      </c>
      <c r="M59" s="30">
        <v>17193.900000000001</v>
      </c>
      <c r="N59" s="30">
        <v>25325.5</v>
      </c>
      <c r="O59" s="30">
        <v>25326</v>
      </c>
      <c r="P59" s="30">
        <v>25326</v>
      </c>
      <c r="Q59" s="30">
        <v>25325.5</v>
      </c>
    </row>
    <row r="60" spans="1:17" ht="15" x14ac:dyDescent="0.25">
      <c r="C60" s="31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15" x14ac:dyDescent="0.25">
      <c r="A61" s="29"/>
      <c r="B61" s="29"/>
      <c r="C61" s="29" t="s">
        <v>133</v>
      </c>
      <c r="D61" s="29"/>
      <c r="E61" s="29"/>
      <c r="F61" s="28">
        <f>79603-97</f>
        <v>79506</v>
      </c>
      <c r="G61" s="28">
        <f t="shared" ref="G61:L61" si="11">78408.485-97</f>
        <v>78311.485000000001</v>
      </c>
      <c r="H61" s="28">
        <f t="shared" si="11"/>
        <v>78311.485000000001</v>
      </c>
      <c r="I61" s="28">
        <f t="shared" si="11"/>
        <v>78311.485000000001</v>
      </c>
      <c r="J61" s="28">
        <f t="shared" si="11"/>
        <v>78311.485000000001</v>
      </c>
      <c r="K61" s="28">
        <f t="shared" si="11"/>
        <v>78311.485000000001</v>
      </c>
      <c r="L61" s="28">
        <f t="shared" si="11"/>
        <v>78311.485000000001</v>
      </c>
      <c r="M61" s="28">
        <f>78408.485-97</f>
        <v>78311.485000000001</v>
      </c>
      <c r="N61" s="28">
        <f>78408.485-97</f>
        <v>78311.485000000001</v>
      </c>
      <c r="O61" s="28">
        <f>78408.485-97</f>
        <v>78311.485000000001</v>
      </c>
      <c r="P61" s="28">
        <f>78408.485-97</f>
        <v>78311.485000000001</v>
      </c>
      <c r="Q61" s="28">
        <f>78408-97</f>
        <v>78311</v>
      </c>
    </row>
    <row r="62" spans="1:17" ht="15" x14ac:dyDescent="0.25">
      <c r="A62" s="29"/>
      <c r="B62" s="29"/>
      <c r="C62" s="29"/>
      <c r="D62" s="29"/>
      <c r="E62" s="29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ht="15" x14ac:dyDescent="0.25">
      <c r="A63" s="29"/>
      <c r="B63" s="29"/>
      <c r="C63" s="29" t="s">
        <v>134</v>
      </c>
      <c r="D63" s="29"/>
      <c r="E63" s="29"/>
      <c r="F63" s="28">
        <v>2416</v>
      </c>
      <c r="G63" s="28">
        <v>2415.5509999999999</v>
      </c>
      <c r="H63" s="28">
        <v>2415.5509999999999</v>
      </c>
      <c r="I63" s="28">
        <v>2415.5509999999999</v>
      </c>
      <c r="J63" s="28">
        <v>1927.8109999999999</v>
      </c>
      <c r="K63" s="28">
        <v>1872.001</v>
      </c>
      <c r="L63" s="28">
        <v>1872</v>
      </c>
      <c r="M63" s="28">
        <v>1634</v>
      </c>
      <c r="N63" s="28">
        <v>1625</v>
      </c>
      <c r="O63" s="28">
        <v>1624</v>
      </c>
      <c r="P63" s="28">
        <v>1581</v>
      </c>
      <c r="Q63" s="28">
        <v>1578.5150000000001</v>
      </c>
    </row>
    <row r="64" spans="1:17" ht="15" x14ac:dyDescent="0.25">
      <c r="A64" s="29"/>
      <c r="B64" s="29"/>
      <c r="C64" s="29"/>
      <c r="D64" s="29"/>
      <c r="E64" s="29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ht="15" x14ac:dyDescent="0.25">
      <c r="A65" s="29"/>
      <c r="B65" s="29"/>
      <c r="C65" s="29" t="s">
        <v>135</v>
      </c>
      <c r="D65" s="29"/>
      <c r="E65" s="29"/>
      <c r="F65" s="28">
        <v>10493</v>
      </c>
      <c r="G65" s="28">
        <v>10431.142</v>
      </c>
      <c r="H65" s="28">
        <v>10576.596</v>
      </c>
      <c r="I65" s="28">
        <v>10555</v>
      </c>
      <c r="J65" s="28">
        <v>10709.127</v>
      </c>
      <c r="K65" s="28">
        <v>10616.571</v>
      </c>
      <c r="L65" s="28">
        <v>10673.628000000001</v>
      </c>
      <c r="M65" s="28">
        <v>10677</v>
      </c>
      <c r="N65" s="28">
        <v>10656.915000000001</v>
      </c>
      <c r="O65" s="28">
        <v>10630.512000000001</v>
      </c>
      <c r="P65" s="28">
        <v>10602</v>
      </c>
      <c r="Q65" s="28">
        <v>10501.449000000001</v>
      </c>
    </row>
    <row r="66" spans="1:17" ht="15" x14ac:dyDescent="0.25">
      <c r="A66" s="29"/>
      <c r="B66" s="29"/>
      <c r="C66" s="29"/>
      <c r="D66" s="29"/>
      <c r="E66" s="29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17" ht="15" x14ac:dyDescent="0.25">
      <c r="A67" s="29"/>
      <c r="B67" s="29"/>
      <c r="C67" s="29" t="s">
        <v>136</v>
      </c>
      <c r="D67" s="29"/>
      <c r="E67" s="29"/>
      <c r="F67" s="28">
        <v>18448</v>
      </c>
      <c r="G67" s="28">
        <v>18403.766</v>
      </c>
      <c r="H67" s="28">
        <v>18403.766</v>
      </c>
      <c r="I67" s="28">
        <v>18403.766</v>
      </c>
      <c r="J67" s="28">
        <v>18090.065999999999</v>
      </c>
      <c r="K67" s="28">
        <v>18090.065999999999</v>
      </c>
      <c r="L67" s="28">
        <v>18089.978999999999</v>
      </c>
      <c r="M67" s="28">
        <v>18089.978999999999</v>
      </c>
      <c r="N67" s="28">
        <v>8060</v>
      </c>
      <c r="O67" s="28">
        <v>0</v>
      </c>
      <c r="P67" s="28">
        <v>0</v>
      </c>
      <c r="Q67" s="28">
        <v>0</v>
      </c>
    </row>
    <row r="68" spans="1:17" ht="15" x14ac:dyDescent="0.25"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1:17" ht="15" x14ac:dyDescent="0.25">
      <c r="A69" s="29" t="s">
        <v>137</v>
      </c>
      <c r="B69" s="29"/>
      <c r="C69" s="29"/>
      <c r="D69" s="29"/>
      <c r="E69" s="29"/>
      <c r="F69" s="8">
        <v>30745</v>
      </c>
      <c r="G69" s="8">
        <v>30740.780999999999</v>
      </c>
      <c r="H69" s="8">
        <v>30736.531999999999</v>
      </c>
      <c r="I69" s="8">
        <v>26733.446</v>
      </c>
      <c r="J69" s="8">
        <v>38790.997000000003</v>
      </c>
      <c r="K69" s="8">
        <v>38788.110999999997</v>
      </c>
      <c r="L69" s="8">
        <v>38781.955000000002</v>
      </c>
      <c r="M69" s="8">
        <v>38775</v>
      </c>
      <c r="N69" s="8">
        <v>37032.587</v>
      </c>
      <c r="O69" s="8">
        <v>37021</v>
      </c>
      <c r="P69" s="8">
        <v>48015</v>
      </c>
      <c r="Q69" s="8">
        <v>48012.260999999999</v>
      </c>
    </row>
    <row r="70" spans="1:17" x14ac:dyDescent="0.2">
      <c r="F70" s="32"/>
      <c r="G70" s="33"/>
      <c r="H70" s="32"/>
      <c r="I70" s="32"/>
      <c r="J70" s="32"/>
      <c r="K70" s="32"/>
      <c r="L70" s="32"/>
    </row>
    <row r="71" spans="1:17" x14ac:dyDescent="0.2">
      <c r="F71" s="32"/>
      <c r="G71" s="33"/>
      <c r="H71" s="32"/>
      <c r="I71" s="32"/>
      <c r="J71" s="32"/>
      <c r="K71" s="32"/>
      <c r="L71" s="32"/>
    </row>
    <row r="72" spans="1:17" ht="15" x14ac:dyDescent="0.25">
      <c r="A72" s="29"/>
      <c r="B72" s="65"/>
      <c r="C72" s="65"/>
      <c r="D72" s="65"/>
      <c r="E72" s="23" t="s">
        <v>29</v>
      </c>
      <c r="F72" s="65"/>
      <c r="G72" s="65"/>
      <c r="H72" s="65"/>
      <c r="I72" s="65"/>
      <c r="J72" s="65"/>
      <c r="K72" s="65"/>
      <c r="L72" s="65"/>
    </row>
    <row r="73" spans="1:17" x14ac:dyDescent="0.2">
      <c r="B73" s="66"/>
      <c r="C73" s="66"/>
      <c r="D73" s="66"/>
      <c r="E73" s="32" t="s">
        <v>30</v>
      </c>
      <c r="F73" s="66"/>
      <c r="G73" s="66"/>
      <c r="H73" s="66"/>
      <c r="I73" s="66"/>
      <c r="J73" s="66"/>
      <c r="K73" s="66"/>
      <c r="L73" s="66"/>
    </row>
    <row r="74" spans="1:17" ht="15" x14ac:dyDescent="0.25">
      <c r="A74" s="29"/>
      <c r="B74" s="65"/>
      <c r="C74" s="65"/>
      <c r="D74" s="65"/>
      <c r="E74" s="67"/>
      <c r="F74" s="65"/>
      <c r="G74" s="65"/>
      <c r="H74" s="65"/>
      <c r="I74" s="65"/>
      <c r="J74" s="65"/>
      <c r="K74" s="65"/>
      <c r="L74" s="65"/>
    </row>
    <row r="75" spans="1:17" x14ac:dyDescent="0.2">
      <c r="A75" s="34"/>
      <c r="B75" s="35"/>
      <c r="C75" s="35"/>
    </row>
    <row r="76" spans="1:17" x14ac:dyDescent="0.2">
      <c r="A76" s="34"/>
      <c r="B76" s="35" t="s">
        <v>21</v>
      </c>
      <c r="C76" s="35"/>
      <c r="D76" s="35"/>
      <c r="E76" s="35"/>
      <c r="F76" s="35"/>
      <c r="G76" s="37"/>
    </row>
    <row r="78" spans="1:17" x14ac:dyDescent="0.2">
      <c r="A78" s="35"/>
      <c r="B78" s="35"/>
      <c r="C78" s="35"/>
    </row>
    <row r="79" spans="1:17" x14ac:dyDescent="0.2">
      <c r="A79" s="36"/>
      <c r="B79" s="35"/>
      <c r="C79" s="35"/>
    </row>
  </sheetData>
  <mergeCells count="4">
    <mergeCell ref="A5:E5"/>
    <mergeCell ref="A1:Q1"/>
    <mergeCell ref="A2:Q2"/>
    <mergeCell ref="A3:Q3"/>
  </mergeCells>
  <printOptions horizontalCentered="1"/>
  <pageMargins left="0" right="0" top="0.45866141700000002" bottom="0.59055118110236204" header="0.511811023622047" footer="0.511811023622047"/>
  <pageSetup paperSize="9" scale="6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81"/>
  <sheetViews>
    <sheetView zoomScaleNormal="100" workbookViewId="0">
      <selection activeCell="A2" sqref="A2:Q2"/>
    </sheetView>
  </sheetViews>
  <sheetFormatPr defaultColWidth="8.85546875" defaultRowHeight="14.25" x14ac:dyDescent="0.2"/>
  <cols>
    <col min="1" max="2" width="0.42578125" style="23" customWidth="1"/>
    <col min="3" max="3" width="1" style="23" customWidth="1"/>
    <col min="4" max="4" width="0.85546875" style="23" customWidth="1"/>
    <col min="5" max="5" width="31.28515625" style="23" customWidth="1"/>
    <col min="6" max="6" width="10.42578125" style="23" customWidth="1"/>
    <col min="7" max="7" width="10.85546875" style="23" customWidth="1"/>
    <col min="8" max="8" width="11.140625" style="23" customWidth="1"/>
    <col min="9" max="9" width="10.85546875" style="23" customWidth="1"/>
    <col min="10" max="10" width="10.28515625" style="23" customWidth="1"/>
    <col min="11" max="11" width="10.42578125" style="23" customWidth="1"/>
    <col min="12" max="12" width="11" style="23" customWidth="1"/>
    <col min="13" max="13" width="10.28515625" style="23" customWidth="1"/>
    <col min="14" max="14" width="11" style="23" customWidth="1"/>
    <col min="15" max="15" width="10.7109375" style="23" customWidth="1"/>
    <col min="16" max="16" width="10.42578125" style="23" customWidth="1"/>
    <col min="17" max="17" width="11" style="23" customWidth="1"/>
    <col min="18" max="256" width="9.140625" style="23"/>
    <col min="257" max="258" width="0.42578125" style="23" customWidth="1"/>
    <col min="259" max="259" width="1" style="23" customWidth="1"/>
    <col min="260" max="260" width="0.85546875" style="23" customWidth="1"/>
    <col min="261" max="261" width="21.85546875" style="23" customWidth="1"/>
    <col min="262" max="262" width="10.42578125" style="23" customWidth="1"/>
    <col min="263" max="263" width="10.85546875" style="23" customWidth="1"/>
    <col min="264" max="264" width="11.140625" style="23" customWidth="1"/>
    <col min="265" max="265" width="10.85546875" style="23" customWidth="1"/>
    <col min="266" max="266" width="10.28515625" style="23" customWidth="1"/>
    <col min="267" max="267" width="10.42578125" style="23" customWidth="1"/>
    <col min="268" max="268" width="11" style="23" customWidth="1"/>
    <col min="269" max="269" width="10.28515625" style="23" customWidth="1"/>
    <col min="270" max="270" width="11" style="23" customWidth="1"/>
    <col min="271" max="271" width="10.7109375" style="23" customWidth="1"/>
    <col min="272" max="272" width="10.42578125" style="23" customWidth="1"/>
    <col min="273" max="273" width="11" style="23" customWidth="1"/>
    <col min="274" max="512" width="9.140625" style="23"/>
    <col min="513" max="514" width="0.42578125" style="23" customWidth="1"/>
    <col min="515" max="515" width="1" style="23" customWidth="1"/>
    <col min="516" max="516" width="0.85546875" style="23" customWidth="1"/>
    <col min="517" max="517" width="21.85546875" style="23" customWidth="1"/>
    <col min="518" max="518" width="10.42578125" style="23" customWidth="1"/>
    <col min="519" max="519" width="10.85546875" style="23" customWidth="1"/>
    <col min="520" max="520" width="11.140625" style="23" customWidth="1"/>
    <col min="521" max="521" width="10.85546875" style="23" customWidth="1"/>
    <col min="522" max="522" width="10.28515625" style="23" customWidth="1"/>
    <col min="523" max="523" width="10.42578125" style="23" customWidth="1"/>
    <col min="524" max="524" width="11" style="23" customWidth="1"/>
    <col min="525" max="525" width="10.28515625" style="23" customWidth="1"/>
    <col min="526" max="526" width="11" style="23" customWidth="1"/>
    <col min="527" max="527" width="10.7109375" style="23" customWidth="1"/>
    <col min="528" max="528" width="10.42578125" style="23" customWidth="1"/>
    <col min="529" max="529" width="11" style="23" customWidth="1"/>
    <col min="530" max="768" width="9.140625" style="23"/>
    <col min="769" max="770" width="0.42578125" style="23" customWidth="1"/>
    <col min="771" max="771" width="1" style="23" customWidth="1"/>
    <col min="772" max="772" width="0.85546875" style="23" customWidth="1"/>
    <col min="773" max="773" width="21.85546875" style="23" customWidth="1"/>
    <col min="774" max="774" width="10.42578125" style="23" customWidth="1"/>
    <col min="775" max="775" width="10.85546875" style="23" customWidth="1"/>
    <col min="776" max="776" width="11.140625" style="23" customWidth="1"/>
    <col min="777" max="777" width="10.85546875" style="23" customWidth="1"/>
    <col min="778" max="778" width="10.28515625" style="23" customWidth="1"/>
    <col min="779" max="779" width="10.42578125" style="23" customWidth="1"/>
    <col min="780" max="780" width="11" style="23" customWidth="1"/>
    <col min="781" max="781" width="10.28515625" style="23" customWidth="1"/>
    <col min="782" max="782" width="11" style="23" customWidth="1"/>
    <col min="783" max="783" width="10.7109375" style="23" customWidth="1"/>
    <col min="784" max="784" width="10.42578125" style="23" customWidth="1"/>
    <col min="785" max="785" width="11" style="23" customWidth="1"/>
    <col min="786" max="1024" width="9.140625" style="23"/>
    <col min="1025" max="1026" width="0.42578125" style="23" customWidth="1"/>
    <col min="1027" max="1027" width="1" style="23" customWidth="1"/>
    <col min="1028" max="1028" width="0.85546875" style="23" customWidth="1"/>
    <col min="1029" max="1029" width="21.85546875" style="23" customWidth="1"/>
    <col min="1030" max="1030" width="10.42578125" style="23" customWidth="1"/>
    <col min="1031" max="1031" width="10.85546875" style="23" customWidth="1"/>
    <col min="1032" max="1032" width="11.140625" style="23" customWidth="1"/>
    <col min="1033" max="1033" width="10.85546875" style="23" customWidth="1"/>
    <col min="1034" max="1034" width="10.28515625" style="23" customWidth="1"/>
    <col min="1035" max="1035" width="10.42578125" style="23" customWidth="1"/>
    <col min="1036" max="1036" width="11" style="23" customWidth="1"/>
    <col min="1037" max="1037" width="10.28515625" style="23" customWidth="1"/>
    <col min="1038" max="1038" width="11" style="23" customWidth="1"/>
    <col min="1039" max="1039" width="10.7109375" style="23" customWidth="1"/>
    <col min="1040" max="1040" width="10.42578125" style="23" customWidth="1"/>
    <col min="1041" max="1041" width="11" style="23" customWidth="1"/>
    <col min="1042" max="1280" width="9.140625" style="23"/>
    <col min="1281" max="1282" width="0.42578125" style="23" customWidth="1"/>
    <col min="1283" max="1283" width="1" style="23" customWidth="1"/>
    <col min="1284" max="1284" width="0.85546875" style="23" customWidth="1"/>
    <col min="1285" max="1285" width="21.85546875" style="23" customWidth="1"/>
    <col min="1286" max="1286" width="10.42578125" style="23" customWidth="1"/>
    <col min="1287" max="1287" width="10.85546875" style="23" customWidth="1"/>
    <col min="1288" max="1288" width="11.140625" style="23" customWidth="1"/>
    <col min="1289" max="1289" width="10.85546875" style="23" customWidth="1"/>
    <col min="1290" max="1290" width="10.28515625" style="23" customWidth="1"/>
    <col min="1291" max="1291" width="10.42578125" style="23" customWidth="1"/>
    <col min="1292" max="1292" width="11" style="23" customWidth="1"/>
    <col min="1293" max="1293" width="10.28515625" style="23" customWidth="1"/>
    <col min="1294" max="1294" width="11" style="23" customWidth="1"/>
    <col min="1295" max="1295" width="10.7109375" style="23" customWidth="1"/>
    <col min="1296" max="1296" width="10.42578125" style="23" customWidth="1"/>
    <col min="1297" max="1297" width="11" style="23" customWidth="1"/>
    <col min="1298" max="1536" width="9.140625" style="23"/>
    <col min="1537" max="1538" width="0.42578125" style="23" customWidth="1"/>
    <col min="1539" max="1539" width="1" style="23" customWidth="1"/>
    <col min="1540" max="1540" width="0.85546875" style="23" customWidth="1"/>
    <col min="1541" max="1541" width="21.85546875" style="23" customWidth="1"/>
    <col min="1542" max="1542" width="10.42578125" style="23" customWidth="1"/>
    <col min="1543" max="1543" width="10.85546875" style="23" customWidth="1"/>
    <col min="1544" max="1544" width="11.140625" style="23" customWidth="1"/>
    <col min="1545" max="1545" width="10.85546875" style="23" customWidth="1"/>
    <col min="1546" max="1546" width="10.28515625" style="23" customWidth="1"/>
    <col min="1547" max="1547" width="10.42578125" style="23" customWidth="1"/>
    <col min="1548" max="1548" width="11" style="23" customWidth="1"/>
    <col min="1549" max="1549" width="10.28515625" style="23" customWidth="1"/>
    <col min="1550" max="1550" width="11" style="23" customWidth="1"/>
    <col min="1551" max="1551" width="10.7109375" style="23" customWidth="1"/>
    <col min="1552" max="1552" width="10.42578125" style="23" customWidth="1"/>
    <col min="1553" max="1553" width="11" style="23" customWidth="1"/>
    <col min="1554" max="1792" width="9.140625" style="23"/>
    <col min="1793" max="1794" width="0.42578125" style="23" customWidth="1"/>
    <col min="1795" max="1795" width="1" style="23" customWidth="1"/>
    <col min="1796" max="1796" width="0.85546875" style="23" customWidth="1"/>
    <col min="1797" max="1797" width="21.85546875" style="23" customWidth="1"/>
    <col min="1798" max="1798" width="10.42578125" style="23" customWidth="1"/>
    <col min="1799" max="1799" width="10.85546875" style="23" customWidth="1"/>
    <col min="1800" max="1800" width="11.140625" style="23" customWidth="1"/>
    <col min="1801" max="1801" width="10.85546875" style="23" customWidth="1"/>
    <col min="1802" max="1802" width="10.28515625" style="23" customWidth="1"/>
    <col min="1803" max="1803" width="10.42578125" style="23" customWidth="1"/>
    <col min="1804" max="1804" width="11" style="23" customWidth="1"/>
    <col min="1805" max="1805" width="10.28515625" style="23" customWidth="1"/>
    <col min="1806" max="1806" width="11" style="23" customWidth="1"/>
    <col min="1807" max="1807" width="10.7109375" style="23" customWidth="1"/>
    <col min="1808" max="1808" width="10.42578125" style="23" customWidth="1"/>
    <col min="1809" max="1809" width="11" style="23" customWidth="1"/>
    <col min="1810" max="2048" width="9.140625" style="23"/>
    <col min="2049" max="2050" width="0.42578125" style="23" customWidth="1"/>
    <col min="2051" max="2051" width="1" style="23" customWidth="1"/>
    <col min="2052" max="2052" width="0.85546875" style="23" customWidth="1"/>
    <col min="2053" max="2053" width="21.85546875" style="23" customWidth="1"/>
    <col min="2054" max="2054" width="10.42578125" style="23" customWidth="1"/>
    <col min="2055" max="2055" width="10.85546875" style="23" customWidth="1"/>
    <col min="2056" max="2056" width="11.140625" style="23" customWidth="1"/>
    <col min="2057" max="2057" width="10.85546875" style="23" customWidth="1"/>
    <col min="2058" max="2058" width="10.28515625" style="23" customWidth="1"/>
    <col min="2059" max="2059" width="10.42578125" style="23" customWidth="1"/>
    <col min="2060" max="2060" width="11" style="23" customWidth="1"/>
    <col min="2061" max="2061" width="10.28515625" style="23" customWidth="1"/>
    <col min="2062" max="2062" width="11" style="23" customWidth="1"/>
    <col min="2063" max="2063" width="10.7109375" style="23" customWidth="1"/>
    <col min="2064" max="2064" width="10.42578125" style="23" customWidth="1"/>
    <col min="2065" max="2065" width="11" style="23" customWidth="1"/>
    <col min="2066" max="2304" width="9.140625" style="23"/>
    <col min="2305" max="2306" width="0.42578125" style="23" customWidth="1"/>
    <col min="2307" max="2307" width="1" style="23" customWidth="1"/>
    <col min="2308" max="2308" width="0.85546875" style="23" customWidth="1"/>
    <col min="2309" max="2309" width="21.85546875" style="23" customWidth="1"/>
    <col min="2310" max="2310" width="10.42578125" style="23" customWidth="1"/>
    <col min="2311" max="2311" width="10.85546875" style="23" customWidth="1"/>
    <col min="2312" max="2312" width="11.140625" style="23" customWidth="1"/>
    <col min="2313" max="2313" width="10.85546875" style="23" customWidth="1"/>
    <col min="2314" max="2314" width="10.28515625" style="23" customWidth="1"/>
    <col min="2315" max="2315" width="10.42578125" style="23" customWidth="1"/>
    <col min="2316" max="2316" width="11" style="23" customWidth="1"/>
    <col min="2317" max="2317" width="10.28515625" style="23" customWidth="1"/>
    <col min="2318" max="2318" width="11" style="23" customWidth="1"/>
    <col min="2319" max="2319" width="10.7109375" style="23" customWidth="1"/>
    <col min="2320" max="2320" width="10.42578125" style="23" customWidth="1"/>
    <col min="2321" max="2321" width="11" style="23" customWidth="1"/>
    <col min="2322" max="2560" width="9.140625" style="23"/>
    <col min="2561" max="2562" width="0.42578125" style="23" customWidth="1"/>
    <col min="2563" max="2563" width="1" style="23" customWidth="1"/>
    <col min="2564" max="2564" width="0.85546875" style="23" customWidth="1"/>
    <col min="2565" max="2565" width="21.85546875" style="23" customWidth="1"/>
    <col min="2566" max="2566" width="10.42578125" style="23" customWidth="1"/>
    <col min="2567" max="2567" width="10.85546875" style="23" customWidth="1"/>
    <col min="2568" max="2568" width="11.140625" style="23" customWidth="1"/>
    <col min="2569" max="2569" width="10.85546875" style="23" customWidth="1"/>
    <col min="2570" max="2570" width="10.28515625" style="23" customWidth="1"/>
    <col min="2571" max="2571" width="10.42578125" style="23" customWidth="1"/>
    <col min="2572" max="2572" width="11" style="23" customWidth="1"/>
    <col min="2573" max="2573" width="10.28515625" style="23" customWidth="1"/>
    <col min="2574" max="2574" width="11" style="23" customWidth="1"/>
    <col min="2575" max="2575" width="10.7109375" style="23" customWidth="1"/>
    <col min="2576" max="2576" width="10.42578125" style="23" customWidth="1"/>
    <col min="2577" max="2577" width="11" style="23" customWidth="1"/>
    <col min="2578" max="2816" width="9.140625" style="23"/>
    <col min="2817" max="2818" width="0.42578125" style="23" customWidth="1"/>
    <col min="2819" max="2819" width="1" style="23" customWidth="1"/>
    <col min="2820" max="2820" width="0.85546875" style="23" customWidth="1"/>
    <col min="2821" max="2821" width="21.85546875" style="23" customWidth="1"/>
    <col min="2822" max="2822" width="10.42578125" style="23" customWidth="1"/>
    <col min="2823" max="2823" width="10.85546875" style="23" customWidth="1"/>
    <col min="2824" max="2824" width="11.140625" style="23" customWidth="1"/>
    <col min="2825" max="2825" width="10.85546875" style="23" customWidth="1"/>
    <col min="2826" max="2826" width="10.28515625" style="23" customWidth="1"/>
    <col min="2827" max="2827" width="10.42578125" style="23" customWidth="1"/>
    <col min="2828" max="2828" width="11" style="23" customWidth="1"/>
    <col min="2829" max="2829" width="10.28515625" style="23" customWidth="1"/>
    <col min="2830" max="2830" width="11" style="23" customWidth="1"/>
    <col min="2831" max="2831" width="10.7109375" style="23" customWidth="1"/>
    <col min="2832" max="2832" width="10.42578125" style="23" customWidth="1"/>
    <col min="2833" max="2833" width="11" style="23" customWidth="1"/>
    <col min="2834" max="3072" width="9.140625" style="23"/>
    <col min="3073" max="3074" width="0.42578125" style="23" customWidth="1"/>
    <col min="3075" max="3075" width="1" style="23" customWidth="1"/>
    <col min="3076" max="3076" width="0.85546875" style="23" customWidth="1"/>
    <col min="3077" max="3077" width="21.85546875" style="23" customWidth="1"/>
    <col min="3078" max="3078" width="10.42578125" style="23" customWidth="1"/>
    <col min="3079" max="3079" width="10.85546875" style="23" customWidth="1"/>
    <col min="3080" max="3080" width="11.140625" style="23" customWidth="1"/>
    <col min="3081" max="3081" width="10.85546875" style="23" customWidth="1"/>
    <col min="3082" max="3082" width="10.28515625" style="23" customWidth="1"/>
    <col min="3083" max="3083" width="10.42578125" style="23" customWidth="1"/>
    <col min="3084" max="3084" width="11" style="23" customWidth="1"/>
    <col min="3085" max="3085" width="10.28515625" style="23" customWidth="1"/>
    <col min="3086" max="3086" width="11" style="23" customWidth="1"/>
    <col min="3087" max="3087" width="10.7109375" style="23" customWidth="1"/>
    <col min="3088" max="3088" width="10.42578125" style="23" customWidth="1"/>
    <col min="3089" max="3089" width="11" style="23" customWidth="1"/>
    <col min="3090" max="3328" width="9.140625" style="23"/>
    <col min="3329" max="3330" width="0.42578125" style="23" customWidth="1"/>
    <col min="3331" max="3331" width="1" style="23" customWidth="1"/>
    <col min="3332" max="3332" width="0.85546875" style="23" customWidth="1"/>
    <col min="3333" max="3333" width="21.85546875" style="23" customWidth="1"/>
    <col min="3334" max="3334" width="10.42578125" style="23" customWidth="1"/>
    <col min="3335" max="3335" width="10.85546875" style="23" customWidth="1"/>
    <col min="3336" max="3336" width="11.140625" style="23" customWidth="1"/>
    <col min="3337" max="3337" width="10.85546875" style="23" customWidth="1"/>
    <col min="3338" max="3338" width="10.28515625" style="23" customWidth="1"/>
    <col min="3339" max="3339" width="10.42578125" style="23" customWidth="1"/>
    <col min="3340" max="3340" width="11" style="23" customWidth="1"/>
    <col min="3341" max="3341" width="10.28515625" style="23" customWidth="1"/>
    <col min="3342" max="3342" width="11" style="23" customWidth="1"/>
    <col min="3343" max="3343" width="10.7109375" style="23" customWidth="1"/>
    <col min="3344" max="3344" width="10.42578125" style="23" customWidth="1"/>
    <col min="3345" max="3345" width="11" style="23" customWidth="1"/>
    <col min="3346" max="3584" width="9.140625" style="23"/>
    <col min="3585" max="3586" width="0.42578125" style="23" customWidth="1"/>
    <col min="3587" max="3587" width="1" style="23" customWidth="1"/>
    <col min="3588" max="3588" width="0.85546875" style="23" customWidth="1"/>
    <col min="3589" max="3589" width="21.85546875" style="23" customWidth="1"/>
    <col min="3590" max="3590" width="10.42578125" style="23" customWidth="1"/>
    <col min="3591" max="3591" width="10.85546875" style="23" customWidth="1"/>
    <col min="3592" max="3592" width="11.140625" style="23" customWidth="1"/>
    <col min="3593" max="3593" width="10.85546875" style="23" customWidth="1"/>
    <col min="3594" max="3594" width="10.28515625" style="23" customWidth="1"/>
    <col min="3595" max="3595" width="10.42578125" style="23" customWidth="1"/>
    <col min="3596" max="3596" width="11" style="23" customWidth="1"/>
    <col min="3597" max="3597" width="10.28515625" style="23" customWidth="1"/>
    <col min="3598" max="3598" width="11" style="23" customWidth="1"/>
    <col min="3599" max="3599" width="10.7109375" style="23" customWidth="1"/>
    <col min="3600" max="3600" width="10.42578125" style="23" customWidth="1"/>
    <col min="3601" max="3601" width="11" style="23" customWidth="1"/>
    <col min="3602" max="3840" width="9.140625" style="23"/>
    <col min="3841" max="3842" width="0.42578125" style="23" customWidth="1"/>
    <col min="3843" max="3843" width="1" style="23" customWidth="1"/>
    <col min="3844" max="3844" width="0.85546875" style="23" customWidth="1"/>
    <col min="3845" max="3845" width="21.85546875" style="23" customWidth="1"/>
    <col min="3846" max="3846" width="10.42578125" style="23" customWidth="1"/>
    <col min="3847" max="3847" width="10.85546875" style="23" customWidth="1"/>
    <col min="3848" max="3848" width="11.140625" style="23" customWidth="1"/>
    <col min="3849" max="3849" width="10.85546875" style="23" customWidth="1"/>
    <col min="3850" max="3850" width="10.28515625" style="23" customWidth="1"/>
    <col min="3851" max="3851" width="10.42578125" style="23" customWidth="1"/>
    <col min="3852" max="3852" width="11" style="23" customWidth="1"/>
    <col min="3853" max="3853" width="10.28515625" style="23" customWidth="1"/>
    <col min="3854" max="3854" width="11" style="23" customWidth="1"/>
    <col min="3855" max="3855" width="10.7109375" style="23" customWidth="1"/>
    <col min="3856" max="3856" width="10.42578125" style="23" customWidth="1"/>
    <col min="3857" max="3857" width="11" style="23" customWidth="1"/>
    <col min="3858" max="4096" width="9.140625" style="23"/>
    <col min="4097" max="4098" width="0.42578125" style="23" customWidth="1"/>
    <col min="4099" max="4099" width="1" style="23" customWidth="1"/>
    <col min="4100" max="4100" width="0.85546875" style="23" customWidth="1"/>
    <col min="4101" max="4101" width="21.85546875" style="23" customWidth="1"/>
    <col min="4102" max="4102" width="10.42578125" style="23" customWidth="1"/>
    <col min="4103" max="4103" width="10.85546875" style="23" customWidth="1"/>
    <col min="4104" max="4104" width="11.140625" style="23" customWidth="1"/>
    <col min="4105" max="4105" width="10.85546875" style="23" customWidth="1"/>
    <col min="4106" max="4106" width="10.28515625" style="23" customWidth="1"/>
    <col min="4107" max="4107" width="10.42578125" style="23" customWidth="1"/>
    <col min="4108" max="4108" width="11" style="23" customWidth="1"/>
    <col min="4109" max="4109" width="10.28515625" style="23" customWidth="1"/>
    <col min="4110" max="4110" width="11" style="23" customWidth="1"/>
    <col min="4111" max="4111" width="10.7109375" style="23" customWidth="1"/>
    <col min="4112" max="4112" width="10.42578125" style="23" customWidth="1"/>
    <col min="4113" max="4113" width="11" style="23" customWidth="1"/>
    <col min="4114" max="4352" width="9.140625" style="23"/>
    <col min="4353" max="4354" width="0.42578125" style="23" customWidth="1"/>
    <col min="4355" max="4355" width="1" style="23" customWidth="1"/>
    <col min="4356" max="4356" width="0.85546875" style="23" customWidth="1"/>
    <col min="4357" max="4357" width="21.85546875" style="23" customWidth="1"/>
    <col min="4358" max="4358" width="10.42578125" style="23" customWidth="1"/>
    <col min="4359" max="4359" width="10.85546875" style="23" customWidth="1"/>
    <col min="4360" max="4360" width="11.140625" style="23" customWidth="1"/>
    <col min="4361" max="4361" width="10.85546875" style="23" customWidth="1"/>
    <col min="4362" max="4362" width="10.28515625" style="23" customWidth="1"/>
    <col min="4363" max="4363" width="10.42578125" style="23" customWidth="1"/>
    <col min="4364" max="4364" width="11" style="23" customWidth="1"/>
    <col min="4365" max="4365" width="10.28515625" style="23" customWidth="1"/>
    <col min="4366" max="4366" width="11" style="23" customWidth="1"/>
    <col min="4367" max="4367" width="10.7109375" style="23" customWidth="1"/>
    <col min="4368" max="4368" width="10.42578125" style="23" customWidth="1"/>
    <col min="4369" max="4369" width="11" style="23" customWidth="1"/>
    <col min="4370" max="4608" width="9.140625" style="23"/>
    <col min="4609" max="4610" width="0.42578125" style="23" customWidth="1"/>
    <col min="4611" max="4611" width="1" style="23" customWidth="1"/>
    <col min="4612" max="4612" width="0.85546875" style="23" customWidth="1"/>
    <col min="4613" max="4613" width="21.85546875" style="23" customWidth="1"/>
    <col min="4614" max="4614" width="10.42578125" style="23" customWidth="1"/>
    <col min="4615" max="4615" width="10.85546875" style="23" customWidth="1"/>
    <col min="4616" max="4616" width="11.140625" style="23" customWidth="1"/>
    <col min="4617" max="4617" width="10.85546875" style="23" customWidth="1"/>
    <col min="4618" max="4618" width="10.28515625" style="23" customWidth="1"/>
    <col min="4619" max="4619" width="10.42578125" style="23" customWidth="1"/>
    <col min="4620" max="4620" width="11" style="23" customWidth="1"/>
    <col min="4621" max="4621" width="10.28515625" style="23" customWidth="1"/>
    <col min="4622" max="4622" width="11" style="23" customWidth="1"/>
    <col min="4623" max="4623" width="10.7109375" style="23" customWidth="1"/>
    <col min="4624" max="4624" width="10.42578125" style="23" customWidth="1"/>
    <col min="4625" max="4625" width="11" style="23" customWidth="1"/>
    <col min="4626" max="4864" width="9.140625" style="23"/>
    <col min="4865" max="4866" width="0.42578125" style="23" customWidth="1"/>
    <col min="4867" max="4867" width="1" style="23" customWidth="1"/>
    <col min="4868" max="4868" width="0.85546875" style="23" customWidth="1"/>
    <col min="4869" max="4869" width="21.85546875" style="23" customWidth="1"/>
    <col min="4870" max="4870" width="10.42578125" style="23" customWidth="1"/>
    <col min="4871" max="4871" width="10.85546875" style="23" customWidth="1"/>
    <col min="4872" max="4872" width="11.140625" style="23" customWidth="1"/>
    <col min="4873" max="4873" width="10.85546875" style="23" customWidth="1"/>
    <col min="4874" max="4874" width="10.28515625" style="23" customWidth="1"/>
    <col min="4875" max="4875" width="10.42578125" style="23" customWidth="1"/>
    <col min="4876" max="4876" width="11" style="23" customWidth="1"/>
    <col min="4877" max="4877" width="10.28515625" style="23" customWidth="1"/>
    <col min="4878" max="4878" width="11" style="23" customWidth="1"/>
    <col min="4879" max="4879" width="10.7109375" style="23" customWidth="1"/>
    <col min="4880" max="4880" width="10.42578125" style="23" customWidth="1"/>
    <col min="4881" max="4881" width="11" style="23" customWidth="1"/>
    <col min="4882" max="5120" width="9.140625" style="23"/>
    <col min="5121" max="5122" width="0.42578125" style="23" customWidth="1"/>
    <col min="5123" max="5123" width="1" style="23" customWidth="1"/>
    <col min="5124" max="5124" width="0.85546875" style="23" customWidth="1"/>
    <col min="5125" max="5125" width="21.85546875" style="23" customWidth="1"/>
    <col min="5126" max="5126" width="10.42578125" style="23" customWidth="1"/>
    <col min="5127" max="5127" width="10.85546875" style="23" customWidth="1"/>
    <col min="5128" max="5128" width="11.140625" style="23" customWidth="1"/>
    <col min="5129" max="5129" width="10.85546875" style="23" customWidth="1"/>
    <col min="5130" max="5130" width="10.28515625" style="23" customWidth="1"/>
    <col min="5131" max="5131" width="10.42578125" style="23" customWidth="1"/>
    <col min="5132" max="5132" width="11" style="23" customWidth="1"/>
    <col min="5133" max="5133" width="10.28515625" style="23" customWidth="1"/>
    <col min="5134" max="5134" width="11" style="23" customWidth="1"/>
    <col min="5135" max="5135" width="10.7109375" style="23" customWidth="1"/>
    <col min="5136" max="5136" width="10.42578125" style="23" customWidth="1"/>
    <col min="5137" max="5137" width="11" style="23" customWidth="1"/>
    <col min="5138" max="5376" width="9.140625" style="23"/>
    <col min="5377" max="5378" width="0.42578125" style="23" customWidth="1"/>
    <col min="5379" max="5379" width="1" style="23" customWidth="1"/>
    <col min="5380" max="5380" width="0.85546875" style="23" customWidth="1"/>
    <col min="5381" max="5381" width="21.85546875" style="23" customWidth="1"/>
    <col min="5382" max="5382" width="10.42578125" style="23" customWidth="1"/>
    <col min="5383" max="5383" width="10.85546875" style="23" customWidth="1"/>
    <col min="5384" max="5384" width="11.140625" style="23" customWidth="1"/>
    <col min="5385" max="5385" width="10.85546875" style="23" customWidth="1"/>
    <col min="5386" max="5386" width="10.28515625" style="23" customWidth="1"/>
    <col min="5387" max="5387" width="10.42578125" style="23" customWidth="1"/>
    <col min="5388" max="5388" width="11" style="23" customWidth="1"/>
    <col min="5389" max="5389" width="10.28515625" style="23" customWidth="1"/>
    <col min="5390" max="5390" width="11" style="23" customWidth="1"/>
    <col min="5391" max="5391" width="10.7109375" style="23" customWidth="1"/>
    <col min="5392" max="5392" width="10.42578125" style="23" customWidth="1"/>
    <col min="5393" max="5393" width="11" style="23" customWidth="1"/>
    <col min="5394" max="5632" width="9.140625" style="23"/>
    <col min="5633" max="5634" width="0.42578125" style="23" customWidth="1"/>
    <col min="5635" max="5635" width="1" style="23" customWidth="1"/>
    <col min="5636" max="5636" width="0.85546875" style="23" customWidth="1"/>
    <col min="5637" max="5637" width="21.85546875" style="23" customWidth="1"/>
    <col min="5638" max="5638" width="10.42578125" style="23" customWidth="1"/>
    <col min="5639" max="5639" width="10.85546875" style="23" customWidth="1"/>
    <col min="5640" max="5640" width="11.140625" style="23" customWidth="1"/>
    <col min="5641" max="5641" width="10.85546875" style="23" customWidth="1"/>
    <col min="5642" max="5642" width="10.28515625" style="23" customWidth="1"/>
    <col min="5643" max="5643" width="10.42578125" style="23" customWidth="1"/>
    <col min="5644" max="5644" width="11" style="23" customWidth="1"/>
    <col min="5645" max="5645" width="10.28515625" style="23" customWidth="1"/>
    <col min="5646" max="5646" width="11" style="23" customWidth="1"/>
    <col min="5647" max="5647" width="10.7109375" style="23" customWidth="1"/>
    <col min="5648" max="5648" width="10.42578125" style="23" customWidth="1"/>
    <col min="5649" max="5649" width="11" style="23" customWidth="1"/>
    <col min="5650" max="5888" width="9.140625" style="23"/>
    <col min="5889" max="5890" width="0.42578125" style="23" customWidth="1"/>
    <col min="5891" max="5891" width="1" style="23" customWidth="1"/>
    <col min="5892" max="5892" width="0.85546875" style="23" customWidth="1"/>
    <col min="5893" max="5893" width="21.85546875" style="23" customWidth="1"/>
    <col min="5894" max="5894" width="10.42578125" style="23" customWidth="1"/>
    <col min="5895" max="5895" width="10.85546875" style="23" customWidth="1"/>
    <col min="5896" max="5896" width="11.140625" style="23" customWidth="1"/>
    <col min="5897" max="5897" width="10.85546875" style="23" customWidth="1"/>
    <col min="5898" max="5898" width="10.28515625" style="23" customWidth="1"/>
    <col min="5899" max="5899" width="10.42578125" style="23" customWidth="1"/>
    <col min="5900" max="5900" width="11" style="23" customWidth="1"/>
    <col min="5901" max="5901" width="10.28515625" style="23" customWidth="1"/>
    <col min="5902" max="5902" width="11" style="23" customWidth="1"/>
    <col min="5903" max="5903" width="10.7109375" style="23" customWidth="1"/>
    <col min="5904" max="5904" width="10.42578125" style="23" customWidth="1"/>
    <col min="5905" max="5905" width="11" style="23" customWidth="1"/>
    <col min="5906" max="6144" width="9.140625" style="23"/>
    <col min="6145" max="6146" width="0.42578125" style="23" customWidth="1"/>
    <col min="6147" max="6147" width="1" style="23" customWidth="1"/>
    <col min="6148" max="6148" width="0.85546875" style="23" customWidth="1"/>
    <col min="6149" max="6149" width="21.85546875" style="23" customWidth="1"/>
    <col min="6150" max="6150" width="10.42578125" style="23" customWidth="1"/>
    <col min="6151" max="6151" width="10.85546875" style="23" customWidth="1"/>
    <col min="6152" max="6152" width="11.140625" style="23" customWidth="1"/>
    <col min="6153" max="6153" width="10.85546875" style="23" customWidth="1"/>
    <col min="6154" max="6154" width="10.28515625" style="23" customWidth="1"/>
    <col min="6155" max="6155" width="10.42578125" style="23" customWidth="1"/>
    <col min="6156" max="6156" width="11" style="23" customWidth="1"/>
    <col min="6157" max="6157" width="10.28515625" style="23" customWidth="1"/>
    <col min="6158" max="6158" width="11" style="23" customWidth="1"/>
    <col min="6159" max="6159" width="10.7109375" style="23" customWidth="1"/>
    <col min="6160" max="6160" width="10.42578125" style="23" customWidth="1"/>
    <col min="6161" max="6161" width="11" style="23" customWidth="1"/>
    <col min="6162" max="6400" width="9.140625" style="23"/>
    <col min="6401" max="6402" width="0.42578125" style="23" customWidth="1"/>
    <col min="6403" max="6403" width="1" style="23" customWidth="1"/>
    <col min="6404" max="6404" width="0.85546875" style="23" customWidth="1"/>
    <col min="6405" max="6405" width="21.85546875" style="23" customWidth="1"/>
    <col min="6406" max="6406" width="10.42578125" style="23" customWidth="1"/>
    <col min="6407" max="6407" width="10.85546875" style="23" customWidth="1"/>
    <col min="6408" max="6408" width="11.140625" style="23" customWidth="1"/>
    <col min="6409" max="6409" width="10.85546875" style="23" customWidth="1"/>
    <col min="6410" max="6410" width="10.28515625" style="23" customWidth="1"/>
    <col min="6411" max="6411" width="10.42578125" style="23" customWidth="1"/>
    <col min="6412" max="6412" width="11" style="23" customWidth="1"/>
    <col min="6413" max="6413" width="10.28515625" style="23" customWidth="1"/>
    <col min="6414" max="6414" width="11" style="23" customWidth="1"/>
    <col min="6415" max="6415" width="10.7109375" style="23" customWidth="1"/>
    <col min="6416" max="6416" width="10.42578125" style="23" customWidth="1"/>
    <col min="6417" max="6417" width="11" style="23" customWidth="1"/>
    <col min="6418" max="6656" width="9.140625" style="23"/>
    <col min="6657" max="6658" width="0.42578125" style="23" customWidth="1"/>
    <col min="6659" max="6659" width="1" style="23" customWidth="1"/>
    <col min="6660" max="6660" width="0.85546875" style="23" customWidth="1"/>
    <col min="6661" max="6661" width="21.85546875" style="23" customWidth="1"/>
    <col min="6662" max="6662" width="10.42578125" style="23" customWidth="1"/>
    <col min="6663" max="6663" width="10.85546875" style="23" customWidth="1"/>
    <col min="6664" max="6664" width="11.140625" style="23" customWidth="1"/>
    <col min="6665" max="6665" width="10.85546875" style="23" customWidth="1"/>
    <col min="6666" max="6666" width="10.28515625" style="23" customWidth="1"/>
    <col min="6667" max="6667" width="10.42578125" style="23" customWidth="1"/>
    <col min="6668" max="6668" width="11" style="23" customWidth="1"/>
    <col min="6669" max="6669" width="10.28515625" style="23" customWidth="1"/>
    <col min="6670" max="6670" width="11" style="23" customWidth="1"/>
    <col min="6671" max="6671" width="10.7109375" style="23" customWidth="1"/>
    <col min="6672" max="6672" width="10.42578125" style="23" customWidth="1"/>
    <col min="6673" max="6673" width="11" style="23" customWidth="1"/>
    <col min="6674" max="6912" width="9.140625" style="23"/>
    <col min="6913" max="6914" width="0.42578125" style="23" customWidth="1"/>
    <col min="6915" max="6915" width="1" style="23" customWidth="1"/>
    <col min="6916" max="6916" width="0.85546875" style="23" customWidth="1"/>
    <col min="6917" max="6917" width="21.85546875" style="23" customWidth="1"/>
    <col min="6918" max="6918" width="10.42578125" style="23" customWidth="1"/>
    <col min="6919" max="6919" width="10.85546875" style="23" customWidth="1"/>
    <col min="6920" max="6920" width="11.140625" style="23" customWidth="1"/>
    <col min="6921" max="6921" width="10.85546875" style="23" customWidth="1"/>
    <col min="6922" max="6922" width="10.28515625" style="23" customWidth="1"/>
    <col min="6923" max="6923" width="10.42578125" style="23" customWidth="1"/>
    <col min="6924" max="6924" width="11" style="23" customWidth="1"/>
    <col min="6925" max="6925" width="10.28515625" style="23" customWidth="1"/>
    <col min="6926" max="6926" width="11" style="23" customWidth="1"/>
    <col min="6927" max="6927" width="10.7109375" style="23" customWidth="1"/>
    <col min="6928" max="6928" width="10.42578125" style="23" customWidth="1"/>
    <col min="6929" max="6929" width="11" style="23" customWidth="1"/>
    <col min="6930" max="7168" width="9.140625" style="23"/>
    <col min="7169" max="7170" width="0.42578125" style="23" customWidth="1"/>
    <col min="7171" max="7171" width="1" style="23" customWidth="1"/>
    <col min="7172" max="7172" width="0.85546875" style="23" customWidth="1"/>
    <col min="7173" max="7173" width="21.85546875" style="23" customWidth="1"/>
    <col min="7174" max="7174" width="10.42578125" style="23" customWidth="1"/>
    <col min="7175" max="7175" width="10.85546875" style="23" customWidth="1"/>
    <col min="7176" max="7176" width="11.140625" style="23" customWidth="1"/>
    <col min="7177" max="7177" width="10.85546875" style="23" customWidth="1"/>
    <col min="7178" max="7178" width="10.28515625" style="23" customWidth="1"/>
    <col min="7179" max="7179" width="10.42578125" style="23" customWidth="1"/>
    <col min="7180" max="7180" width="11" style="23" customWidth="1"/>
    <col min="7181" max="7181" width="10.28515625" style="23" customWidth="1"/>
    <col min="7182" max="7182" width="11" style="23" customWidth="1"/>
    <col min="7183" max="7183" width="10.7109375" style="23" customWidth="1"/>
    <col min="7184" max="7184" width="10.42578125" style="23" customWidth="1"/>
    <col min="7185" max="7185" width="11" style="23" customWidth="1"/>
    <col min="7186" max="7424" width="9.140625" style="23"/>
    <col min="7425" max="7426" width="0.42578125" style="23" customWidth="1"/>
    <col min="7427" max="7427" width="1" style="23" customWidth="1"/>
    <col min="7428" max="7428" width="0.85546875" style="23" customWidth="1"/>
    <col min="7429" max="7429" width="21.85546875" style="23" customWidth="1"/>
    <col min="7430" max="7430" width="10.42578125" style="23" customWidth="1"/>
    <col min="7431" max="7431" width="10.85546875" style="23" customWidth="1"/>
    <col min="7432" max="7432" width="11.140625" style="23" customWidth="1"/>
    <col min="7433" max="7433" width="10.85546875" style="23" customWidth="1"/>
    <col min="7434" max="7434" width="10.28515625" style="23" customWidth="1"/>
    <col min="7435" max="7435" width="10.42578125" style="23" customWidth="1"/>
    <col min="7436" max="7436" width="11" style="23" customWidth="1"/>
    <col min="7437" max="7437" width="10.28515625" style="23" customWidth="1"/>
    <col min="7438" max="7438" width="11" style="23" customWidth="1"/>
    <col min="7439" max="7439" width="10.7109375" style="23" customWidth="1"/>
    <col min="7440" max="7440" width="10.42578125" style="23" customWidth="1"/>
    <col min="7441" max="7441" width="11" style="23" customWidth="1"/>
    <col min="7442" max="7680" width="9.140625" style="23"/>
    <col min="7681" max="7682" width="0.42578125" style="23" customWidth="1"/>
    <col min="7683" max="7683" width="1" style="23" customWidth="1"/>
    <col min="7684" max="7684" width="0.85546875" style="23" customWidth="1"/>
    <col min="7685" max="7685" width="21.85546875" style="23" customWidth="1"/>
    <col min="7686" max="7686" width="10.42578125" style="23" customWidth="1"/>
    <col min="7687" max="7687" width="10.85546875" style="23" customWidth="1"/>
    <col min="7688" max="7688" width="11.140625" style="23" customWidth="1"/>
    <col min="7689" max="7689" width="10.85546875" style="23" customWidth="1"/>
    <col min="7690" max="7690" width="10.28515625" style="23" customWidth="1"/>
    <col min="7691" max="7691" width="10.42578125" style="23" customWidth="1"/>
    <col min="7692" max="7692" width="11" style="23" customWidth="1"/>
    <col min="7693" max="7693" width="10.28515625" style="23" customWidth="1"/>
    <col min="7694" max="7694" width="11" style="23" customWidth="1"/>
    <col min="7695" max="7695" width="10.7109375" style="23" customWidth="1"/>
    <col min="7696" max="7696" width="10.42578125" style="23" customWidth="1"/>
    <col min="7697" max="7697" width="11" style="23" customWidth="1"/>
    <col min="7698" max="7936" width="9.140625" style="23"/>
    <col min="7937" max="7938" width="0.42578125" style="23" customWidth="1"/>
    <col min="7939" max="7939" width="1" style="23" customWidth="1"/>
    <col min="7940" max="7940" width="0.85546875" style="23" customWidth="1"/>
    <col min="7941" max="7941" width="21.85546875" style="23" customWidth="1"/>
    <col min="7942" max="7942" width="10.42578125" style="23" customWidth="1"/>
    <col min="7943" max="7943" width="10.85546875" style="23" customWidth="1"/>
    <col min="7944" max="7944" width="11.140625" style="23" customWidth="1"/>
    <col min="7945" max="7945" width="10.85546875" style="23" customWidth="1"/>
    <col min="7946" max="7946" width="10.28515625" style="23" customWidth="1"/>
    <col min="7947" max="7947" width="10.42578125" style="23" customWidth="1"/>
    <col min="7948" max="7948" width="11" style="23" customWidth="1"/>
    <col min="7949" max="7949" width="10.28515625" style="23" customWidth="1"/>
    <col min="7950" max="7950" width="11" style="23" customWidth="1"/>
    <col min="7951" max="7951" width="10.7109375" style="23" customWidth="1"/>
    <col min="7952" max="7952" width="10.42578125" style="23" customWidth="1"/>
    <col min="7953" max="7953" width="11" style="23" customWidth="1"/>
    <col min="7954" max="8192" width="9.140625" style="23"/>
    <col min="8193" max="8194" width="0.42578125" style="23" customWidth="1"/>
    <col min="8195" max="8195" width="1" style="23" customWidth="1"/>
    <col min="8196" max="8196" width="0.85546875" style="23" customWidth="1"/>
    <col min="8197" max="8197" width="21.85546875" style="23" customWidth="1"/>
    <col min="8198" max="8198" width="10.42578125" style="23" customWidth="1"/>
    <col min="8199" max="8199" width="10.85546875" style="23" customWidth="1"/>
    <col min="8200" max="8200" width="11.140625" style="23" customWidth="1"/>
    <col min="8201" max="8201" width="10.85546875" style="23" customWidth="1"/>
    <col min="8202" max="8202" width="10.28515625" style="23" customWidth="1"/>
    <col min="8203" max="8203" width="10.42578125" style="23" customWidth="1"/>
    <col min="8204" max="8204" width="11" style="23" customWidth="1"/>
    <col min="8205" max="8205" width="10.28515625" style="23" customWidth="1"/>
    <col min="8206" max="8206" width="11" style="23" customWidth="1"/>
    <col min="8207" max="8207" width="10.7109375" style="23" customWidth="1"/>
    <col min="8208" max="8208" width="10.42578125" style="23" customWidth="1"/>
    <col min="8209" max="8209" width="11" style="23" customWidth="1"/>
    <col min="8210" max="8448" width="9.140625" style="23"/>
    <col min="8449" max="8450" width="0.42578125" style="23" customWidth="1"/>
    <col min="8451" max="8451" width="1" style="23" customWidth="1"/>
    <col min="8452" max="8452" width="0.85546875" style="23" customWidth="1"/>
    <col min="8453" max="8453" width="21.85546875" style="23" customWidth="1"/>
    <col min="8454" max="8454" width="10.42578125" style="23" customWidth="1"/>
    <col min="8455" max="8455" width="10.85546875" style="23" customWidth="1"/>
    <col min="8456" max="8456" width="11.140625" style="23" customWidth="1"/>
    <col min="8457" max="8457" width="10.85546875" style="23" customWidth="1"/>
    <col min="8458" max="8458" width="10.28515625" style="23" customWidth="1"/>
    <col min="8459" max="8459" width="10.42578125" style="23" customWidth="1"/>
    <col min="8460" max="8460" width="11" style="23" customWidth="1"/>
    <col min="8461" max="8461" width="10.28515625" style="23" customWidth="1"/>
    <col min="8462" max="8462" width="11" style="23" customWidth="1"/>
    <col min="8463" max="8463" width="10.7109375" style="23" customWidth="1"/>
    <col min="8464" max="8464" width="10.42578125" style="23" customWidth="1"/>
    <col min="8465" max="8465" width="11" style="23" customWidth="1"/>
    <col min="8466" max="8704" width="9.140625" style="23"/>
    <col min="8705" max="8706" width="0.42578125" style="23" customWidth="1"/>
    <col min="8707" max="8707" width="1" style="23" customWidth="1"/>
    <col min="8708" max="8708" width="0.85546875" style="23" customWidth="1"/>
    <col min="8709" max="8709" width="21.85546875" style="23" customWidth="1"/>
    <col min="8710" max="8710" width="10.42578125" style="23" customWidth="1"/>
    <col min="8711" max="8711" width="10.85546875" style="23" customWidth="1"/>
    <col min="8712" max="8712" width="11.140625" style="23" customWidth="1"/>
    <col min="8713" max="8713" width="10.85546875" style="23" customWidth="1"/>
    <col min="8714" max="8714" width="10.28515625" style="23" customWidth="1"/>
    <col min="8715" max="8715" width="10.42578125" style="23" customWidth="1"/>
    <col min="8716" max="8716" width="11" style="23" customWidth="1"/>
    <col min="8717" max="8717" width="10.28515625" style="23" customWidth="1"/>
    <col min="8718" max="8718" width="11" style="23" customWidth="1"/>
    <col min="8719" max="8719" width="10.7109375" style="23" customWidth="1"/>
    <col min="8720" max="8720" width="10.42578125" style="23" customWidth="1"/>
    <col min="8721" max="8721" width="11" style="23" customWidth="1"/>
    <col min="8722" max="8960" width="9.140625" style="23"/>
    <col min="8961" max="8962" width="0.42578125" style="23" customWidth="1"/>
    <col min="8963" max="8963" width="1" style="23" customWidth="1"/>
    <col min="8964" max="8964" width="0.85546875" style="23" customWidth="1"/>
    <col min="8965" max="8965" width="21.85546875" style="23" customWidth="1"/>
    <col min="8966" max="8966" width="10.42578125" style="23" customWidth="1"/>
    <col min="8967" max="8967" width="10.85546875" style="23" customWidth="1"/>
    <col min="8968" max="8968" width="11.140625" style="23" customWidth="1"/>
    <col min="8969" max="8969" width="10.85546875" style="23" customWidth="1"/>
    <col min="8970" max="8970" width="10.28515625" style="23" customWidth="1"/>
    <col min="8971" max="8971" width="10.42578125" style="23" customWidth="1"/>
    <col min="8972" max="8972" width="11" style="23" customWidth="1"/>
    <col min="8973" max="8973" width="10.28515625" style="23" customWidth="1"/>
    <col min="8974" max="8974" width="11" style="23" customWidth="1"/>
    <col min="8975" max="8975" width="10.7109375" style="23" customWidth="1"/>
    <col min="8976" max="8976" width="10.42578125" style="23" customWidth="1"/>
    <col min="8977" max="8977" width="11" style="23" customWidth="1"/>
    <col min="8978" max="9216" width="9.140625" style="23"/>
    <col min="9217" max="9218" width="0.42578125" style="23" customWidth="1"/>
    <col min="9219" max="9219" width="1" style="23" customWidth="1"/>
    <col min="9220" max="9220" width="0.85546875" style="23" customWidth="1"/>
    <col min="9221" max="9221" width="21.85546875" style="23" customWidth="1"/>
    <col min="9222" max="9222" width="10.42578125" style="23" customWidth="1"/>
    <col min="9223" max="9223" width="10.85546875" style="23" customWidth="1"/>
    <col min="9224" max="9224" width="11.140625" style="23" customWidth="1"/>
    <col min="9225" max="9225" width="10.85546875" style="23" customWidth="1"/>
    <col min="9226" max="9226" width="10.28515625" style="23" customWidth="1"/>
    <col min="9227" max="9227" width="10.42578125" style="23" customWidth="1"/>
    <col min="9228" max="9228" width="11" style="23" customWidth="1"/>
    <col min="9229" max="9229" width="10.28515625" style="23" customWidth="1"/>
    <col min="9230" max="9230" width="11" style="23" customWidth="1"/>
    <col min="9231" max="9231" width="10.7109375" style="23" customWidth="1"/>
    <col min="9232" max="9232" width="10.42578125" style="23" customWidth="1"/>
    <col min="9233" max="9233" width="11" style="23" customWidth="1"/>
    <col min="9234" max="9472" width="9.140625" style="23"/>
    <col min="9473" max="9474" width="0.42578125" style="23" customWidth="1"/>
    <col min="9475" max="9475" width="1" style="23" customWidth="1"/>
    <col min="9476" max="9476" width="0.85546875" style="23" customWidth="1"/>
    <col min="9477" max="9477" width="21.85546875" style="23" customWidth="1"/>
    <col min="9478" max="9478" width="10.42578125" style="23" customWidth="1"/>
    <col min="9479" max="9479" width="10.85546875" style="23" customWidth="1"/>
    <col min="9480" max="9480" width="11.140625" style="23" customWidth="1"/>
    <col min="9481" max="9481" width="10.85546875" style="23" customWidth="1"/>
    <col min="9482" max="9482" width="10.28515625" style="23" customWidth="1"/>
    <col min="9483" max="9483" width="10.42578125" style="23" customWidth="1"/>
    <col min="9484" max="9484" width="11" style="23" customWidth="1"/>
    <col min="9485" max="9485" width="10.28515625" style="23" customWidth="1"/>
    <col min="9486" max="9486" width="11" style="23" customWidth="1"/>
    <col min="9487" max="9487" width="10.7109375" style="23" customWidth="1"/>
    <col min="9488" max="9488" width="10.42578125" style="23" customWidth="1"/>
    <col min="9489" max="9489" width="11" style="23" customWidth="1"/>
    <col min="9490" max="9728" width="9.140625" style="23"/>
    <col min="9729" max="9730" width="0.42578125" style="23" customWidth="1"/>
    <col min="9731" max="9731" width="1" style="23" customWidth="1"/>
    <col min="9732" max="9732" width="0.85546875" style="23" customWidth="1"/>
    <col min="9733" max="9733" width="21.85546875" style="23" customWidth="1"/>
    <col min="9734" max="9734" width="10.42578125" style="23" customWidth="1"/>
    <col min="9735" max="9735" width="10.85546875" style="23" customWidth="1"/>
    <col min="9736" max="9736" width="11.140625" style="23" customWidth="1"/>
    <col min="9737" max="9737" width="10.85546875" style="23" customWidth="1"/>
    <col min="9738" max="9738" width="10.28515625" style="23" customWidth="1"/>
    <col min="9739" max="9739" width="10.42578125" style="23" customWidth="1"/>
    <col min="9740" max="9740" width="11" style="23" customWidth="1"/>
    <col min="9741" max="9741" width="10.28515625" style="23" customWidth="1"/>
    <col min="9742" max="9742" width="11" style="23" customWidth="1"/>
    <col min="9743" max="9743" width="10.7109375" style="23" customWidth="1"/>
    <col min="9744" max="9744" width="10.42578125" style="23" customWidth="1"/>
    <col min="9745" max="9745" width="11" style="23" customWidth="1"/>
    <col min="9746" max="9984" width="9.140625" style="23"/>
    <col min="9985" max="9986" width="0.42578125" style="23" customWidth="1"/>
    <col min="9987" max="9987" width="1" style="23" customWidth="1"/>
    <col min="9988" max="9988" width="0.85546875" style="23" customWidth="1"/>
    <col min="9989" max="9989" width="21.85546875" style="23" customWidth="1"/>
    <col min="9990" max="9990" width="10.42578125" style="23" customWidth="1"/>
    <col min="9991" max="9991" width="10.85546875" style="23" customWidth="1"/>
    <col min="9992" max="9992" width="11.140625" style="23" customWidth="1"/>
    <col min="9993" max="9993" width="10.85546875" style="23" customWidth="1"/>
    <col min="9994" max="9994" width="10.28515625" style="23" customWidth="1"/>
    <col min="9995" max="9995" width="10.42578125" style="23" customWidth="1"/>
    <col min="9996" max="9996" width="11" style="23" customWidth="1"/>
    <col min="9997" max="9997" width="10.28515625" style="23" customWidth="1"/>
    <col min="9998" max="9998" width="11" style="23" customWidth="1"/>
    <col min="9999" max="9999" width="10.7109375" style="23" customWidth="1"/>
    <col min="10000" max="10000" width="10.42578125" style="23" customWidth="1"/>
    <col min="10001" max="10001" width="11" style="23" customWidth="1"/>
    <col min="10002" max="10240" width="9.140625" style="23"/>
    <col min="10241" max="10242" width="0.42578125" style="23" customWidth="1"/>
    <col min="10243" max="10243" width="1" style="23" customWidth="1"/>
    <col min="10244" max="10244" width="0.85546875" style="23" customWidth="1"/>
    <col min="10245" max="10245" width="21.85546875" style="23" customWidth="1"/>
    <col min="10246" max="10246" width="10.42578125" style="23" customWidth="1"/>
    <col min="10247" max="10247" width="10.85546875" style="23" customWidth="1"/>
    <col min="10248" max="10248" width="11.140625" style="23" customWidth="1"/>
    <col min="10249" max="10249" width="10.85546875" style="23" customWidth="1"/>
    <col min="10250" max="10250" width="10.28515625" style="23" customWidth="1"/>
    <col min="10251" max="10251" width="10.42578125" style="23" customWidth="1"/>
    <col min="10252" max="10252" width="11" style="23" customWidth="1"/>
    <col min="10253" max="10253" width="10.28515625" style="23" customWidth="1"/>
    <col min="10254" max="10254" width="11" style="23" customWidth="1"/>
    <col min="10255" max="10255" width="10.7109375" style="23" customWidth="1"/>
    <col min="10256" max="10256" width="10.42578125" style="23" customWidth="1"/>
    <col min="10257" max="10257" width="11" style="23" customWidth="1"/>
    <col min="10258" max="10496" width="9.140625" style="23"/>
    <col min="10497" max="10498" width="0.42578125" style="23" customWidth="1"/>
    <col min="10499" max="10499" width="1" style="23" customWidth="1"/>
    <col min="10500" max="10500" width="0.85546875" style="23" customWidth="1"/>
    <col min="10501" max="10501" width="21.85546875" style="23" customWidth="1"/>
    <col min="10502" max="10502" width="10.42578125" style="23" customWidth="1"/>
    <col min="10503" max="10503" width="10.85546875" style="23" customWidth="1"/>
    <col min="10504" max="10504" width="11.140625" style="23" customWidth="1"/>
    <col min="10505" max="10505" width="10.85546875" style="23" customWidth="1"/>
    <col min="10506" max="10506" width="10.28515625" style="23" customWidth="1"/>
    <col min="10507" max="10507" width="10.42578125" style="23" customWidth="1"/>
    <col min="10508" max="10508" width="11" style="23" customWidth="1"/>
    <col min="10509" max="10509" width="10.28515625" style="23" customWidth="1"/>
    <col min="10510" max="10510" width="11" style="23" customWidth="1"/>
    <col min="10511" max="10511" width="10.7109375" style="23" customWidth="1"/>
    <col min="10512" max="10512" width="10.42578125" style="23" customWidth="1"/>
    <col min="10513" max="10513" width="11" style="23" customWidth="1"/>
    <col min="10514" max="10752" width="9.140625" style="23"/>
    <col min="10753" max="10754" width="0.42578125" style="23" customWidth="1"/>
    <col min="10755" max="10755" width="1" style="23" customWidth="1"/>
    <col min="10756" max="10756" width="0.85546875" style="23" customWidth="1"/>
    <col min="10757" max="10757" width="21.85546875" style="23" customWidth="1"/>
    <col min="10758" max="10758" width="10.42578125" style="23" customWidth="1"/>
    <col min="10759" max="10759" width="10.85546875" style="23" customWidth="1"/>
    <col min="10760" max="10760" width="11.140625" style="23" customWidth="1"/>
    <col min="10761" max="10761" width="10.85546875" style="23" customWidth="1"/>
    <col min="10762" max="10762" width="10.28515625" style="23" customWidth="1"/>
    <col min="10763" max="10763" width="10.42578125" style="23" customWidth="1"/>
    <col min="10764" max="10764" width="11" style="23" customWidth="1"/>
    <col min="10765" max="10765" width="10.28515625" style="23" customWidth="1"/>
    <col min="10766" max="10766" width="11" style="23" customWidth="1"/>
    <col min="10767" max="10767" width="10.7109375" style="23" customWidth="1"/>
    <col min="10768" max="10768" width="10.42578125" style="23" customWidth="1"/>
    <col min="10769" max="10769" width="11" style="23" customWidth="1"/>
    <col min="10770" max="11008" width="9.140625" style="23"/>
    <col min="11009" max="11010" width="0.42578125" style="23" customWidth="1"/>
    <col min="11011" max="11011" width="1" style="23" customWidth="1"/>
    <col min="11012" max="11012" width="0.85546875" style="23" customWidth="1"/>
    <col min="11013" max="11013" width="21.85546875" style="23" customWidth="1"/>
    <col min="11014" max="11014" width="10.42578125" style="23" customWidth="1"/>
    <col min="11015" max="11015" width="10.85546875" style="23" customWidth="1"/>
    <col min="11016" max="11016" width="11.140625" style="23" customWidth="1"/>
    <col min="11017" max="11017" width="10.85546875" style="23" customWidth="1"/>
    <col min="11018" max="11018" width="10.28515625" style="23" customWidth="1"/>
    <col min="11019" max="11019" width="10.42578125" style="23" customWidth="1"/>
    <col min="11020" max="11020" width="11" style="23" customWidth="1"/>
    <col min="11021" max="11021" width="10.28515625" style="23" customWidth="1"/>
    <col min="11022" max="11022" width="11" style="23" customWidth="1"/>
    <col min="11023" max="11023" width="10.7109375" style="23" customWidth="1"/>
    <col min="11024" max="11024" width="10.42578125" style="23" customWidth="1"/>
    <col min="11025" max="11025" width="11" style="23" customWidth="1"/>
    <col min="11026" max="11264" width="9.140625" style="23"/>
    <col min="11265" max="11266" width="0.42578125" style="23" customWidth="1"/>
    <col min="11267" max="11267" width="1" style="23" customWidth="1"/>
    <col min="11268" max="11268" width="0.85546875" style="23" customWidth="1"/>
    <col min="11269" max="11269" width="21.85546875" style="23" customWidth="1"/>
    <col min="11270" max="11270" width="10.42578125" style="23" customWidth="1"/>
    <col min="11271" max="11271" width="10.85546875" style="23" customWidth="1"/>
    <col min="11272" max="11272" width="11.140625" style="23" customWidth="1"/>
    <col min="11273" max="11273" width="10.85546875" style="23" customWidth="1"/>
    <col min="11274" max="11274" width="10.28515625" style="23" customWidth="1"/>
    <col min="11275" max="11275" width="10.42578125" style="23" customWidth="1"/>
    <col min="11276" max="11276" width="11" style="23" customWidth="1"/>
    <col min="11277" max="11277" width="10.28515625" style="23" customWidth="1"/>
    <col min="11278" max="11278" width="11" style="23" customWidth="1"/>
    <col min="11279" max="11279" width="10.7109375" style="23" customWidth="1"/>
    <col min="11280" max="11280" width="10.42578125" style="23" customWidth="1"/>
    <col min="11281" max="11281" width="11" style="23" customWidth="1"/>
    <col min="11282" max="11520" width="9.140625" style="23"/>
    <col min="11521" max="11522" width="0.42578125" style="23" customWidth="1"/>
    <col min="11523" max="11523" width="1" style="23" customWidth="1"/>
    <col min="11524" max="11524" width="0.85546875" style="23" customWidth="1"/>
    <col min="11525" max="11525" width="21.85546875" style="23" customWidth="1"/>
    <col min="11526" max="11526" width="10.42578125" style="23" customWidth="1"/>
    <col min="11527" max="11527" width="10.85546875" style="23" customWidth="1"/>
    <col min="11528" max="11528" width="11.140625" style="23" customWidth="1"/>
    <col min="11529" max="11529" width="10.85546875" style="23" customWidth="1"/>
    <col min="11530" max="11530" width="10.28515625" style="23" customWidth="1"/>
    <col min="11531" max="11531" width="10.42578125" style="23" customWidth="1"/>
    <col min="11532" max="11532" width="11" style="23" customWidth="1"/>
    <col min="11533" max="11533" width="10.28515625" style="23" customWidth="1"/>
    <col min="11534" max="11534" width="11" style="23" customWidth="1"/>
    <col min="11535" max="11535" width="10.7109375" style="23" customWidth="1"/>
    <col min="11536" max="11536" width="10.42578125" style="23" customWidth="1"/>
    <col min="11537" max="11537" width="11" style="23" customWidth="1"/>
    <col min="11538" max="11776" width="9.140625" style="23"/>
    <col min="11777" max="11778" width="0.42578125" style="23" customWidth="1"/>
    <col min="11779" max="11779" width="1" style="23" customWidth="1"/>
    <col min="11780" max="11780" width="0.85546875" style="23" customWidth="1"/>
    <col min="11781" max="11781" width="21.85546875" style="23" customWidth="1"/>
    <col min="11782" max="11782" width="10.42578125" style="23" customWidth="1"/>
    <col min="11783" max="11783" width="10.85546875" style="23" customWidth="1"/>
    <col min="11784" max="11784" width="11.140625" style="23" customWidth="1"/>
    <col min="11785" max="11785" width="10.85546875" style="23" customWidth="1"/>
    <col min="11786" max="11786" width="10.28515625" style="23" customWidth="1"/>
    <col min="11787" max="11787" width="10.42578125" style="23" customWidth="1"/>
    <col min="11788" max="11788" width="11" style="23" customWidth="1"/>
    <col min="11789" max="11789" width="10.28515625" style="23" customWidth="1"/>
    <col min="11790" max="11790" width="11" style="23" customWidth="1"/>
    <col min="11791" max="11791" width="10.7109375" style="23" customWidth="1"/>
    <col min="11792" max="11792" width="10.42578125" style="23" customWidth="1"/>
    <col min="11793" max="11793" width="11" style="23" customWidth="1"/>
    <col min="11794" max="12032" width="9.140625" style="23"/>
    <col min="12033" max="12034" width="0.42578125" style="23" customWidth="1"/>
    <col min="12035" max="12035" width="1" style="23" customWidth="1"/>
    <col min="12036" max="12036" width="0.85546875" style="23" customWidth="1"/>
    <col min="12037" max="12037" width="21.85546875" style="23" customWidth="1"/>
    <col min="12038" max="12038" width="10.42578125" style="23" customWidth="1"/>
    <col min="12039" max="12039" width="10.85546875" style="23" customWidth="1"/>
    <col min="12040" max="12040" width="11.140625" style="23" customWidth="1"/>
    <col min="12041" max="12041" width="10.85546875" style="23" customWidth="1"/>
    <col min="12042" max="12042" width="10.28515625" style="23" customWidth="1"/>
    <col min="12043" max="12043" width="10.42578125" style="23" customWidth="1"/>
    <col min="12044" max="12044" width="11" style="23" customWidth="1"/>
    <col min="12045" max="12045" width="10.28515625" style="23" customWidth="1"/>
    <col min="12046" max="12046" width="11" style="23" customWidth="1"/>
    <col min="12047" max="12047" width="10.7109375" style="23" customWidth="1"/>
    <col min="12048" max="12048" width="10.42578125" style="23" customWidth="1"/>
    <col min="12049" max="12049" width="11" style="23" customWidth="1"/>
    <col min="12050" max="12288" width="9.140625" style="23"/>
    <col min="12289" max="12290" width="0.42578125" style="23" customWidth="1"/>
    <col min="12291" max="12291" width="1" style="23" customWidth="1"/>
    <col min="12292" max="12292" width="0.85546875" style="23" customWidth="1"/>
    <col min="12293" max="12293" width="21.85546875" style="23" customWidth="1"/>
    <col min="12294" max="12294" width="10.42578125" style="23" customWidth="1"/>
    <col min="12295" max="12295" width="10.85546875" style="23" customWidth="1"/>
    <col min="12296" max="12296" width="11.140625" style="23" customWidth="1"/>
    <col min="12297" max="12297" width="10.85546875" style="23" customWidth="1"/>
    <col min="12298" max="12298" width="10.28515625" style="23" customWidth="1"/>
    <col min="12299" max="12299" width="10.42578125" style="23" customWidth="1"/>
    <col min="12300" max="12300" width="11" style="23" customWidth="1"/>
    <col min="12301" max="12301" width="10.28515625" style="23" customWidth="1"/>
    <col min="12302" max="12302" width="11" style="23" customWidth="1"/>
    <col min="12303" max="12303" width="10.7109375" style="23" customWidth="1"/>
    <col min="12304" max="12304" width="10.42578125" style="23" customWidth="1"/>
    <col min="12305" max="12305" width="11" style="23" customWidth="1"/>
    <col min="12306" max="12544" width="9.140625" style="23"/>
    <col min="12545" max="12546" width="0.42578125" style="23" customWidth="1"/>
    <col min="12547" max="12547" width="1" style="23" customWidth="1"/>
    <col min="12548" max="12548" width="0.85546875" style="23" customWidth="1"/>
    <col min="12549" max="12549" width="21.85546875" style="23" customWidth="1"/>
    <col min="12550" max="12550" width="10.42578125" style="23" customWidth="1"/>
    <col min="12551" max="12551" width="10.85546875" style="23" customWidth="1"/>
    <col min="12552" max="12552" width="11.140625" style="23" customWidth="1"/>
    <col min="12553" max="12553" width="10.85546875" style="23" customWidth="1"/>
    <col min="12554" max="12554" width="10.28515625" style="23" customWidth="1"/>
    <col min="12555" max="12555" width="10.42578125" style="23" customWidth="1"/>
    <col min="12556" max="12556" width="11" style="23" customWidth="1"/>
    <col min="12557" max="12557" width="10.28515625" style="23" customWidth="1"/>
    <col min="12558" max="12558" width="11" style="23" customWidth="1"/>
    <col min="12559" max="12559" width="10.7109375" style="23" customWidth="1"/>
    <col min="12560" max="12560" width="10.42578125" style="23" customWidth="1"/>
    <col min="12561" max="12561" width="11" style="23" customWidth="1"/>
    <col min="12562" max="12800" width="9.140625" style="23"/>
    <col min="12801" max="12802" width="0.42578125" style="23" customWidth="1"/>
    <col min="12803" max="12803" width="1" style="23" customWidth="1"/>
    <col min="12804" max="12804" width="0.85546875" style="23" customWidth="1"/>
    <col min="12805" max="12805" width="21.85546875" style="23" customWidth="1"/>
    <col min="12806" max="12806" width="10.42578125" style="23" customWidth="1"/>
    <col min="12807" max="12807" width="10.85546875" style="23" customWidth="1"/>
    <col min="12808" max="12808" width="11.140625" style="23" customWidth="1"/>
    <col min="12809" max="12809" width="10.85546875" style="23" customWidth="1"/>
    <col min="12810" max="12810" width="10.28515625" style="23" customWidth="1"/>
    <col min="12811" max="12811" width="10.42578125" style="23" customWidth="1"/>
    <col min="12812" max="12812" width="11" style="23" customWidth="1"/>
    <col min="12813" max="12813" width="10.28515625" style="23" customWidth="1"/>
    <col min="12814" max="12814" width="11" style="23" customWidth="1"/>
    <col min="12815" max="12815" width="10.7109375" style="23" customWidth="1"/>
    <col min="12816" max="12816" width="10.42578125" style="23" customWidth="1"/>
    <col min="12817" max="12817" width="11" style="23" customWidth="1"/>
    <col min="12818" max="13056" width="9.140625" style="23"/>
    <col min="13057" max="13058" width="0.42578125" style="23" customWidth="1"/>
    <col min="13059" max="13059" width="1" style="23" customWidth="1"/>
    <col min="13060" max="13060" width="0.85546875" style="23" customWidth="1"/>
    <col min="13061" max="13061" width="21.85546875" style="23" customWidth="1"/>
    <col min="13062" max="13062" width="10.42578125" style="23" customWidth="1"/>
    <col min="13063" max="13063" width="10.85546875" style="23" customWidth="1"/>
    <col min="13064" max="13064" width="11.140625" style="23" customWidth="1"/>
    <col min="13065" max="13065" width="10.85546875" style="23" customWidth="1"/>
    <col min="13066" max="13066" width="10.28515625" style="23" customWidth="1"/>
    <col min="13067" max="13067" width="10.42578125" style="23" customWidth="1"/>
    <col min="13068" max="13068" width="11" style="23" customWidth="1"/>
    <col min="13069" max="13069" width="10.28515625" style="23" customWidth="1"/>
    <col min="13070" max="13070" width="11" style="23" customWidth="1"/>
    <col min="13071" max="13071" width="10.7109375" style="23" customWidth="1"/>
    <col min="13072" max="13072" width="10.42578125" style="23" customWidth="1"/>
    <col min="13073" max="13073" width="11" style="23" customWidth="1"/>
    <col min="13074" max="13312" width="9.140625" style="23"/>
    <col min="13313" max="13314" width="0.42578125" style="23" customWidth="1"/>
    <col min="13315" max="13315" width="1" style="23" customWidth="1"/>
    <col min="13316" max="13316" width="0.85546875" style="23" customWidth="1"/>
    <col min="13317" max="13317" width="21.85546875" style="23" customWidth="1"/>
    <col min="13318" max="13318" width="10.42578125" style="23" customWidth="1"/>
    <col min="13319" max="13319" width="10.85546875" style="23" customWidth="1"/>
    <col min="13320" max="13320" width="11.140625" style="23" customWidth="1"/>
    <col min="13321" max="13321" width="10.85546875" style="23" customWidth="1"/>
    <col min="13322" max="13322" width="10.28515625" style="23" customWidth="1"/>
    <col min="13323" max="13323" width="10.42578125" style="23" customWidth="1"/>
    <col min="13324" max="13324" width="11" style="23" customWidth="1"/>
    <col min="13325" max="13325" width="10.28515625" style="23" customWidth="1"/>
    <col min="13326" max="13326" width="11" style="23" customWidth="1"/>
    <col min="13327" max="13327" width="10.7109375" style="23" customWidth="1"/>
    <col min="13328" max="13328" width="10.42578125" style="23" customWidth="1"/>
    <col min="13329" max="13329" width="11" style="23" customWidth="1"/>
    <col min="13330" max="13568" width="9.140625" style="23"/>
    <col min="13569" max="13570" width="0.42578125" style="23" customWidth="1"/>
    <col min="13571" max="13571" width="1" style="23" customWidth="1"/>
    <col min="13572" max="13572" width="0.85546875" style="23" customWidth="1"/>
    <col min="13573" max="13573" width="21.85546875" style="23" customWidth="1"/>
    <col min="13574" max="13574" width="10.42578125" style="23" customWidth="1"/>
    <col min="13575" max="13575" width="10.85546875" style="23" customWidth="1"/>
    <col min="13576" max="13576" width="11.140625" style="23" customWidth="1"/>
    <col min="13577" max="13577" width="10.85546875" style="23" customWidth="1"/>
    <col min="13578" max="13578" width="10.28515625" style="23" customWidth="1"/>
    <col min="13579" max="13579" width="10.42578125" style="23" customWidth="1"/>
    <col min="13580" max="13580" width="11" style="23" customWidth="1"/>
    <col min="13581" max="13581" width="10.28515625" style="23" customWidth="1"/>
    <col min="13582" max="13582" width="11" style="23" customWidth="1"/>
    <col min="13583" max="13583" width="10.7109375" style="23" customWidth="1"/>
    <col min="13584" max="13584" width="10.42578125" style="23" customWidth="1"/>
    <col min="13585" max="13585" width="11" style="23" customWidth="1"/>
    <col min="13586" max="13824" width="9.140625" style="23"/>
    <col min="13825" max="13826" width="0.42578125" style="23" customWidth="1"/>
    <col min="13827" max="13827" width="1" style="23" customWidth="1"/>
    <col min="13828" max="13828" width="0.85546875" style="23" customWidth="1"/>
    <col min="13829" max="13829" width="21.85546875" style="23" customWidth="1"/>
    <col min="13830" max="13830" width="10.42578125" style="23" customWidth="1"/>
    <col min="13831" max="13831" width="10.85546875" style="23" customWidth="1"/>
    <col min="13832" max="13832" width="11.140625" style="23" customWidth="1"/>
    <col min="13833" max="13833" width="10.85546875" style="23" customWidth="1"/>
    <col min="13834" max="13834" width="10.28515625" style="23" customWidth="1"/>
    <col min="13835" max="13835" width="10.42578125" style="23" customWidth="1"/>
    <col min="13836" max="13836" width="11" style="23" customWidth="1"/>
    <col min="13837" max="13837" width="10.28515625" style="23" customWidth="1"/>
    <col min="13838" max="13838" width="11" style="23" customWidth="1"/>
    <col min="13839" max="13839" width="10.7109375" style="23" customWidth="1"/>
    <col min="13840" max="13840" width="10.42578125" style="23" customWidth="1"/>
    <col min="13841" max="13841" width="11" style="23" customWidth="1"/>
    <col min="13842" max="14080" width="9.140625" style="23"/>
    <col min="14081" max="14082" width="0.42578125" style="23" customWidth="1"/>
    <col min="14083" max="14083" width="1" style="23" customWidth="1"/>
    <col min="14084" max="14084" width="0.85546875" style="23" customWidth="1"/>
    <col min="14085" max="14085" width="21.85546875" style="23" customWidth="1"/>
    <col min="14086" max="14086" width="10.42578125" style="23" customWidth="1"/>
    <col min="14087" max="14087" width="10.85546875" style="23" customWidth="1"/>
    <col min="14088" max="14088" width="11.140625" style="23" customWidth="1"/>
    <col min="14089" max="14089" width="10.85546875" style="23" customWidth="1"/>
    <col min="14090" max="14090" width="10.28515625" style="23" customWidth="1"/>
    <col min="14091" max="14091" width="10.42578125" style="23" customWidth="1"/>
    <col min="14092" max="14092" width="11" style="23" customWidth="1"/>
    <col min="14093" max="14093" width="10.28515625" style="23" customWidth="1"/>
    <col min="14094" max="14094" width="11" style="23" customWidth="1"/>
    <col min="14095" max="14095" width="10.7109375" style="23" customWidth="1"/>
    <col min="14096" max="14096" width="10.42578125" style="23" customWidth="1"/>
    <col min="14097" max="14097" width="11" style="23" customWidth="1"/>
    <col min="14098" max="14336" width="9.140625" style="23"/>
    <col min="14337" max="14338" width="0.42578125" style="23" customWidth="1"/>
    <col min="14339" max="14339" width="1" style="23" customWidth="1"/>
    <col min="14340" max="14340" width="0.85546875" style="23" customWidth="1"/>
    <col min="14341" max="14341" width="21.85546875" style="23" customWidth="1"/>
    <col min="14342" max="14342" width="10.42578125" style="23" customWidth="1"/>
    <col min="14343" max="14343" width="10.85546875" style="23" customWidth="1"/>
    <col min="14344" max="14344" width="11.140625" style="23" customWidth="1"/>
    <col min="14345" max="14345" width="10.85546875" style="23" customWidth="1"/>
    <col min="14346" max="14346" width="10.28515625" style="23" customWidth="1"/>
    <col min="14347" max="14347" width="10.42578125" style="23" customWidth="1"/>
    <col min="14348" max="14348" width="11" style="23" customWidth="1"/>
    <col min="14349" max="14349" width="10.28515625" style="23" customWidth="1"/>
    <col min="14350" max="14350" width="11" style="23" customWidth="1"/>
    <col min="14351" max="14351" width="10.7109375" style="23" customWidth="1"/>
    <col min="14352" max="14352" width="10.42578125" style="23" customWidth="1"/>
    <col min="14353" max="14353" width="11" style="23" customWidth="1"/>
    <col min="14354" max="14592" width="9.140625" style="23"/>
    <col min="14593" max="14594" width="0.42578125" style="23" customWidth="1"/>
    <col min="14595" max="14595" width="1" style="23" customWidth="1"/>
    <col min="14596" max="14596" width="0.85546875" style="23" customWidth="1"/>
    <col min="14597" max="14597" width="21.85546875" style="23" customWidth="1"/>
    <col min="14598" max="14598" width="10.42578125" style="23" customWidth="1"/>
    <col min="14599" max="14599" width="10.85546875" style="23" customWidth="1"/>
    <col min="14600" max="14600" width="11.140625" style="23" customWidth="1"/>
    <col min="14601" max="14601" width="10.85546875" style="23" customWidth="1"/>
    <col min="14602" max="14602" width="10.28515625" style="23" customWidth="1"/>
    <col min="14603" max="14603" width="10.42578125" style="23" customWidth="1"/>
    <col min="14604" max="14604" width="11" style="23" customWidth="1"/>
    <col min="14605" max="14605" width="10.28515625" style="23" customWidth="1"/>
    <col min="14606" max="14606" width="11" style="23" customWidth="1"/>
    <col min="14607" max="14607" width="10.7109375" style="23" customWidth="1"/>
    <col min="14608" max="14608" width="10.42578125" style="23" customWidth="1"/>
    <col min="14609" max="14609" width="11" style="23" customWidth="1"/>
    <col min="14610" max="14848" width="9.140625" style="23"/>
    <col min="14849" max="14850" width="0.42578125" style="23" customWidth="1"/>
    <col min="14851" max="14851" width="1" style="23" customWidth="1"/>
    <col min="14852" max="14852" width="0.85546875" style="23" customWidth="1"/>
    <col min="14853" max="14853" width="21.85546875" style="23" customWidth="1"/>
    <col min="14854" max="14854" width="10.42578125" style="23" customWidth="1"/>
    <col min="14855" max="14855" width="10.85546875" style="23" customWidth="1"/>
    <col min="14856" max="14856" width="11.140625" style="23" customWidth="1"/>
    <col min="14857" max="14857" width="10.85546875" style="23" customWidth="1"/>
    <col min="14858" max="14858" width="10.28515625" style="23" customWidth="1"/>
    <col min="14859" max="14859" width="10.42578125" style="23" customWidth="1"/>
    <col min="14860" max="14860" width="11" style="23" customWidth="1"/>
    <col min="14861" max="14861" width="10.28515625" style="23" customWidth="1"/>
    <col min="14862" max="14862" width="11" style="23" customWidth="1"/>
    <col min="14863" max="14863" width="10.7109375" style="23" customWidth="1"/>
    <col min="14864" max="14864" width="10.42578125" style="23" customWidth="1"/>
    <col min="14865" max="14865" width="11" style="23" customWidth="1"/>
    <col min="14866" max="15104" width="9.140625" style="23"/>
    <col min="15105" max="15106" width="0.42578125" style="23" customWidth="1"/>
    <col min="15107" max="15107" width="1" style="23" customWidth="1"/>
    <col min="15108" max="15108" width="0.85546875" style="23" customWidth="1"/>
    <col min="15109" max="15109" width="21.85546875" style="23" customWidth="1"/>
    <col min="15110" max="15110" width="10.42578125" style="23" customWidth="1"/>
    <col min="15111" max="15111" width="10.85546875" style="23" customWidth="1"/>
    <col min="15112" max="15112" width="11.140625" style="23" customWidth="1"/>
    <col min="15113" max="15113" width="10.85546875" style="23" customWidth="1"/>
    <col min="15114" max="15114" width="10.28515625" style="23" customWidth="1"/>
    <col min="15115" max="15115" width="10.42578125" style="23" customWidth="1"/>
    <col min="15116" max="15116" width="11" style="23" customWidth="1"/>
    <col min="15117" max="15117" width="10.28515625" style="23" customWidth="1"/>
    <col min="15118" max="15118" width="11" style="23" customWidth="1"/>
    <col min="15119" max="15119" width="10.7109375" style="23" customWidth="1"/>
    <col min="15120" max="15120" width="10.42578125" style="23" customWidth="1"/>
    <col min="15121" max="15121" width="11" style="23" customWidth="1"/>
    <col min="15122" max="15360" width="9.140625" style="23"/>
    <col min="15361" max="15362" width="0.42578125" style="23" customWidth="1"/>
    <col min="15363" max="15363" width="1" style="23" customWidth="1"/>
    <col min="15364" max="15364" width="0.85546875" style="23" customWidth="1"/>
    <col min="15365" max="15365" width="21.85546875" style="23" customWidth="1"/>
    <col min="15366" max="15366" width="10.42578125" style="23" customWidth="1"/>
    <col min="15367" max="15367" width="10.85546875" style="23" customWidth="1"/>
    <col min="15368" max="15368" width="11.140625" style="23" customWidth="1"/>
    <col min="15369" max="15369" width="10.85546875" style="23" customWidth="1"/>
    <col min="15370" max="15370" width="10.28515625" style="23" customWidth="1"/>
    <col min="15371" max="15371" width="10.42578125" style="23" customWidth="1"/>
    <col min="15372" max="15372" width="11" style="23" customWidth="1"/>
    <col min="15373" max="15373" width="10.28515625" style="23" customWidth="1"/>
    <col min="15374" max="15374" width="11" style="23" customWidth="1"/>
    <col min="15375" max="15375" width="10.7109375" style="23" customWidth="1"/>
    <col min="15376" max="15376" width="10.42578125" style="23" customWidth="1"/>
    <col min="15377" max="15377" width="11" style="23" customWidth="1"/>
    <col min="15378" max="15616" width="9.140625" style="23"/>
    <col min="15617" max="15618" width="0.42578125" style="23" customWidth="1"/>
    <col min="15619" max="15619" width="1" style="23" customWidth="1"/>
    <col min="15620" max="15620" width="0.85546875" style="23" customWidth="1"/>
    <col min="15621" max="15621" width="21.85546875" style="23" customWidth="1"/>
    <col min="15622" max="15622" width="10.42578125" style="23" customWidth="1"/>
    <col min="15623" max="15623" width="10.85546875" style="23" customWidth="1"/>
    <col min="15624" max="15624" width="11.140625" style="23" customWidth="1"/>
    <col min="15625" max="15625" width="10.85546875" style="23" customWidth="1"/>
    <col min="15626" max="15626" width="10.28515625" style="23" customWidth="1"/>
    <col min="15627" max="15627" width="10.42578125" style="23" customWidth="1"/>
    <col min="15628" max="15628" width="11" style="23" customWidth="1"/>
    <col min="15629" max="15629" width="10.28515625" style="23" customWidth="1"/>
    <col min="15630" max="15630" width="11" style="23" customWidth="1"/>
    <col min="15631" max="15631" width="10.7109375" style="23" customWidth="1"/>
    <col min="15632" max="15632" width="10.42578125" style="23" customWidth="1"/>
    <col min="15633" max="15633" width="11" style="23" customWidth="1"/>
    <col min="15634" max="15872" width="9.140625" style="23"/>
    <col min="15873" max="15874" width="0.42578125" style="23" customWidth="1"/>
    <col min="15875" max="15875" width="1" style="23" customWidth="1"/>
    <col min="15876" max="15876" width="0.85546875" style="23" customWidth="1"/>
    <col min="15877" max="15877" width="21.85546875" style="23" customWidth="1"/>
    <col min="15878" max="15878" width="10.42578125" style="23" customWidth="1"/>
    <col min="15879" max="15879" width="10.85546875" style="23" customWidth="1"/>
    <col min="15880" max="15880" width="11.140625" style="23" customWidth="1"/>
    <col min="15881" max="15881" width="10.85546875" style="23" customWidth="1"/>
    <col min="15882" max="15882" width="10.28515625" style="23" customWidth="1"/>
    <col min="15883" max="15883" width="10.42578125" style="23" customWidth="1"/>
    <col min="15884" max="15884" width="11" style="23" customWidth="1"/>
    <col min="15885" max="15885" width="10.28515625" style="23" customWidth="1"/>
    <col min="15886" max="15886" width="11" style="23" customWidth="1"/>
    <col min="15887" max="15887" width="10.7109375" style="23" customWidth="1"/>
    <col min="15888" max="15888" width="10.42578125" style="23" customWidth="1"/>
    <col min="15889" max="15889" width="11" style="23" customWidth="1"/>
    <col min="15890" max="16128" width="9.140625" style="23"/>
    <col min="16129" max="16130" width="0.42578125" style="23" customWidth="1"/>
    <col min="16131" max="16131" width="1" style="23" customWidth="1"/>
    <col min="16132" max="16132" width="0.85546875" style="23" customWidth="1"/>
    <col min="16133" max="16133" width="21.85546875" style="23" customWidth="1"/>
    <col min="16134" max="16134" width="10.42578125" style="23" customWidth="1"/>
    <col min="16135" max="16135" width="10.85546875" style="23" customWidth="1"/>
    <col min="16136" max="16136" width="11.140625" style="23" customWidth="1"/>
    <col min="16137" max="16137" width="10.85546875" style="23" customWidth="1"/>
    <col min="16138" max="16138" width="10.28515625" style="23" customWidth="1"/>
    <col min="16139" max="16139" width="10.42578125" style="23" customWidth="1"/>
    <col min="16140" max="16140" width="11" style="23" customWidth="1"/>
    <col min="16141" max="16141" width="10.28515625" style="23" customWidth="1"/>
    <col min="16142" max="16142" width="11" style="23" customWidth="1"/>
    <col min="16143" max="16143" width="10.7109375" style="23" customWidth="1"/>
    <col min="16144" max="16144" width="10.42578125" style="23" customWidth="1"/>
    <col min="16145" max="16145" width="11" style="23" customWidth="1"/>
    <col min="16146" max="16384" width="9.140625" style="23"/>
  </cols>
  <sheetData>
    <row r="1" spans="1:17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x14ac:dyDescent="0.25">
      <c r="A2" s="96" t="s">
        <v>217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22.5" customHeight="1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7" s="63" customFormat="1" ht="15" thickTop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15" x14ac:dyDescent="0.25">
      <c r="A7" s="27" t="s">
        <v>107</v>
      </c>
      <c r="B7" s="27"/>
      <c r="C7" s="27"/>
      <c r="D7" s="27"/>
      <c r="E7" s="27"/>
      <c r="F7" s="6">
        <f t="shared" ref="F7:Q7" si="0">+F9+F71</f>
        <v>1743057.5250000001</v>
      </c>
      <c r="G7" s="6">
        <f t="shared" si="0"/>
        <v>1757724.814</v>
      </c>
      <c r="H7" s="6">
        <f t="shared" si="0"/>
        <v>1777682.38</v>
      </c>
      <c r="I7" s="6">
        <f t="shared" si="0"/>
        <v>1808264</v>
      </c>
      <c r="J7" s="6">
        <f t="shared" si="0"/>
        <v>1832494.264</v>
      </c>
      <c r="K7" s="6">
        <f t="shared" si="0"/>
        <v>1843415.1649999996</v>
      </c>
      <c r="L7" s="6">
        <f t="shared" si="0"/>
        <v>1897612.2650000001</v>
      </c>
      <c r="M7" s="6">
        <f t="shared" si="0"/>
        <v>1899059.6316</v>
      </c>
      <c r="N7" s="6">
        <f t="shared" si="0"/>
        <v>1959317.58</v>
      </c>
      <c r="O7" s="6">
        <f t="shared" si="0"/>
        <v>1960386.0449999999</v>
      </c>
      <c r="P7" s="6">
        <f t="shared" si="0"/>
        <v>1993270.5339999995</v>
      </c>
      <c r="Q7" s="6">
        <f t="shared" si="0"/>
        <v>2001375.2799999996</v>
      </c>
    </row>
    <row r="8" spans="1:17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x14ac:dyDescent="0.25">
      <c r="B9" s="27" t="s">
        <v>108</v>
      </c>
      <c r="C9" s="27"/>
      <c r="D9" s="27"/>
      <c r="E9" s="27"/>
      <c r="F9" s="8">
        <f>+F10+F29+F59+F63+F65+F67+F69</f>
        <v>1722794.273</v>
      </c>
      <c r="G9" s="8">
        <f>+G10+G29+G59+G63+G65+G67+G69-1</f>
        <v>1737471.814</v>
      </c>
      <c r="H9" s="8">
        <f t="shared" ref="H9:Q9" si="1">+H10+H29+H59+H63+H65+H67+H69</f>
        <v>1744889.38</v>
      </c>
      <c r="I9" s="8">
        <f t="shared" si="1"/>
        <v>1780475</v>
      </c>
      <c r="J9" s="8">
        <f t="shared" si="1"/>
        <v>1804712.264</v>
      </c>
      <c r="K9" s="8">
        <f t="shared" si="1"/>
        <v>1815636.7009999997</v>
      </c>
      <c r="L9" s="8">
        <f t="shared" si="1"/>
        <v>1868617.2650000001</v>
      </c>
      <c r="M9" s="8">
        <f t="shared" si="1"/>
        <v>1869423.6316</v>
      </c>
      <c r="N9" s="8">
        <f t="shared" si="1"/>
        <v>1929685.58</v>
      </c>
      <c r="O9" s="8">
        <f t="shared" si="1"/>
        <v>1929937.0449999999</v>
      </c>
      <c r="P9" s="8">
        <f t="shared" si="1"/>
        <v>1962514.3909999996</v>
      </c>
      <c r="Q9" s="8">
        <f t="shared" si="1"/>
        <v>1970627.2559999996</v>
      </c>
    </row>
    <row r="10" spans="1:17" ht="15" x14ac:dyDescent="0.25">
      <c r="B10" s="27"/>
      <c r="C10" s="27" t="s">
        <v>24</v>
      </c>
      <c r="D10" s="27"/>
      <c r="E10" s="27"/>
      <c r="F10" s="8">
        <f t="shared" ref="F10:Q10" si="2">+F11+F18</f>
        <v>1263712.2379999999</v>
      </c>
      <c r="G10" s="8">
        <f t="shared" si="2"/>
        <v>1278299.9550000001</v>
      </c>
      <c r="H10" s="8">
        <f t="shared" si="2"/>
        <v>1285680.3799999999</v>
      </c>
      <c r="I10" s="8">
        <f t="shared" si="2"/>
        <v>1309732</v>
      </c>
      <c r="J10" s="8">
        <f t="shared" si="2"/>
        <v>1334069.06</v>
      </c>
      <c r="K10" s="8">
        <f t="shared" si="2"/>
        <v>1344895.21</v>
      </c>
      <c r="L10" s="8">
        <f t="shared" si="2"/>
        <v>1386451.9410000001</v>
      </c>
      <c r="M10" s="8">
        <f t="shared" si="2"/>
        <v>1391046.0806</v>
      </c>
      <c r="N10" s="8">
        <f t="shared" si="2"/>
        <v>1433215.0290000001</v>
      </c>
      <c r="O10" s="8">
        <f t="shared" si="2"/>
        <v>1414675.98</v>
      </c>
      <c r="P10" s="8">
        <f t="shared" si="2"/>
        <v>1451108.629</v>
      </c>
      <c r="Q10" s="8">
        <f t="shared" si="2"/>
        <v>1465925.3049999999</v>
      </c>
    </row>
    <row r="11" spans="1:17" ht="15" x14ac:dyDescent="0.25">
      <c r="B11" s="29"/>
      <c r="C11" s="29"/>
      <c r="D11" s="29" t="s">
        <v>109</v>
      </c>
      <c r="E11" s="29"/>
      <c r="F11" s="8">
        <f t="shared" ref="F11:Q11" si="3">SUM(F13:F17)</f>
        <v>510825.67999999993</v>
      </c>
      <c r="G11" s="8">
        <f t="shared" si="3"/>
        <v>511521.48</v>
      </c>
      <c r="H11" s="8">
        <f t="shared" si="3"/>
        <v>515192.38</v>
      </c>
      <c r="I11" s="8">
        <f t="shared" si="3"/>
        <v>535482</v>
      </c>
      <c r="J11" s="8">
        <f t="shared" si="3"/>
        <v>533785.88</v>
      </c>
      <c r="K11" s="8">
        <f t="shared" si="3"/>
        <v>540825.88</v>
      </c>
      <c r="L11" s="8">
        <f t="shared" si="3"/>
        <v>569047.01100000006</v>
      </c>
      <c r="M11" s="8">
        <f t="shared" si="3"/>
        <v>553537.80059999996</v>
      </c>
      <c r="N11" s="8">
        <f t="shared" si="3"/>
        <v>552770.0290000001</v>
      </c>
      <c r="O11" s="8">
        <f t="shared" si="3"/>
        <v>542762</v>
      </c>
      <c r="P11" s="8">
        <f t="shared" si="3"/>
        <v>562552.049</v>
      </c>
      <c r="Q11" s="8">
        <f t="shared" si="3"/>
        <v>577584</v>
      </c>
    </row>
    <row r="12" spans="1:17" ht="15" x14ac:dyDescent="0.25">
      <c r="A12" s="29"/>
      <c r="B12" s="29"/>
      <c r="C12" s="29"/>
      <c r="D12" s="29"/>
      <c r="E12" s="2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">
      <c r="E13" s="23" t="s">
        <v>139</v>
      </c>
      <c r="F13" s="30">
        <v>0</v>
      </c>
      <c r="G13" s="30">
        <v>0</v>
      </c>
      <c r="H13" s="30">
        <v>10312.6</v>
      </c>
      <c r="I13" s="30">
        <v>1242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</row>
    <row r="14" spans="1:17" x14ac:dyDescent="0.2">
      <c r="E14" s="23" t="s">
        <v>104</v>
      </c>
      <c r="F14" s="30">
        <f>53153.7+65000</f>
        <v>118153.7</v>
      </c>
      <c r="G14" s="30">
        <v>113437.7</v>
      </c>
      <c r="H14" s="30">
        <v>124874.9</v>
      </c>
      <c r="I14" s="30">
        <v>111393</v>
      </c>
      <c r="J14" s="30">
        <v>93127.1</v>
      </c>
      <c r="K14" s="30">
        <v>90969.2</v>
      </c>
      <c r="L14" s="30">
        <v>93699.6</v>
      </c>
      <c r="M14" s="30">
        <f>32442.8006+65000</f>
        <v>97442.800600000002</v>
      </c>
      <c r="N14" s="30">
        <v>102140.9</v>
      </c>
      <c r="O14" s="30">
        <v>99933</v>
      </c>
      <c r="P14" s="30">
        <v>97448.4</v>
      </c>
      <c r="Q14" s="30">
        <v>91529</v>
      </c>
    </row>
    <row r="15" spans="1:17" x14ac:dyDescent="0.2">
      <c r="E15" s="23" t="s">
        <v>105</v>
      </c>
      <c r="F15" s="30">
        <f>57480.9+60000</f>
        <v>117480.9</v>
      </c>
      <c r="G15" s="30">
        <v>120610.7</v>
      </c>
      <c r="H15" s="30">
        <v>143872.5</v>
      </c>
      <c r="I15" s="30">
        <v>181875</v>
      </c>
      <c r="J15" s="30">
        <v>189661.3</v>
      </c>
      <c r="K15" s="30">
        <v>191371.1</v>
      </c>
      <c r="L15" s="30">
        <v>188278.63099999999</v>
      </c>
      <c r="M15" s="30">
        <f>121795+60000</f>
        <v>181795</v>
      </c>
      <c r="N15" s="30">
        <v>166437.049</v>
      </c>
      <c r="O15" s="30">
        <v>166962</v>
      </c>
      <c r="P15" s="30">
        <v>173906.24900000001</v>
      </c>
      <c r="Q15" s="30">
        <v>174987</v>
      </c>
    </row>
    <row r="16" spans="1:17" x14ac:dyDescent="0.2">
      <c r="E16" s="23" t="s">
        <v>106</v>
      </c>
      <c r="F16" s="30">
        <f>225623.08+49568</f>
        <v>275191.07999999996</v>
      </c>
      <c r="G16" s="30">
        <v>277473.08</v>
      </c>
      <c r="H16" s="30">
        <v>236132.38</v>
      </c>
      <c r="I16" s="30">
        <v>240972</v>
      </c>
      <c r="J16" s="30">
        <v>250997.48</v>
      </c>
      <c r="K16" s="30">
        <v>258485.58</v>
      </c>
      <c r="L16" s="30">
        <v>287068.78000000003</v>
      </c>
      <c r="M16" s="30">
        <f>224732+49568</f>
        <v>274300</v>
      </c>
      <c r="N16" s="30">
        <v>284192.08</v>
      </c>
      <c r="O16" s="30">
        <v>275867</v>
      </c>
      <c r="P16" s="30">
        <v>291197.40000000002</v>
      </c>
      <c r="Q16" s="30">
        <v>311068</v>
      </c>
    </row>
    <row r="17" spans="1:17" x14ac:dyDescent="0.2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 ht="15" x14ac:dyDescent="0.25">
      <c r="B18" s="29"/>
      <c r="C18" s="29"/>
      <c r="D18" s="29" t="s">
        <v>110</v>
      </c>
      <c r="E18" s="29"/>
      <c r="F18" s="8">
        <f t="shared" ref="F18:L18" si="4">SUM(F19:F27)</f>
        <v>752886.55799999984</v>
      </c>
      <c r="G18" s="8">
        <f t="shared" si="4"/>
        <v>766778.47499999998</v>
      </c>
      <c r="H18" s="8">
        <f t="shared" si="4"/>
        <v>770488</v>
      </c>
      <c r="I18" s="8">
        <f t="shared" si="4"/>
        <v>774250</v>
      </c>
      <c r="J18" s="8">
        <f t="shared" si="4"/>
        <v>800283.18</v>
      </c>
      <c r="K18" s="8">
        <f t="shared" si="4"/>
        <v>804069.33000000007</v>
      </c>
      <c r="L18" s="8">
        <f t="shared" si="4"/>
        <v>817404.93</v>
      </c>
      <c r="M18" s="8">
        <f>SUM(M19:M27)</f>
        <v>837508.28000000014</v>
      </c>
      <c r="N18" s="8">
        <f>SUM(N19:N27)</f>
        <v>880445</v>
      </c>
      <c r="O18" s="8">
        <f>SUM(O19:O27)</f>
        <v>871913.98</v>
      </c>
      <c r="P18" s="8">
        <f>SUM(P19:P27)</f>
        <v>888556.58</v>
      </c>
      <c r="Q18" s="8">
        <f>SUM(Q19:Q27)</f>
        <v>888341.30499999993</v>
      </c>
    </row>
    <row r="19" spans="1:17" x14ac:dyDescent="0.2">
      <c r="E19" s="23" t="s">
        <v>111</v>
      </c>
      <c r="F19" s="30">
        <v>90386.027000000002</v>
      </c>
      <c r="G19" s="30">
        <v>90386</v>
      </c>
      <c r="H19" s="30">
        <v>90386</v>
      </c>
      <c r="I19" s="30">
        <v>70032</v>
      </c>
      <c r="J19" s="30">
        <v>76249.527000000002</v>
      </c>
      <c r="K19" s="30">
        <v>70326.027000000002</v>
      </c>
      <c r="L19" s="30">
        <v>70326.027000000002</v>
      </c>
      <c r="M19" s="30">
        <v>58591.027000000002</v>
      </c>
      <c r="N19" s="30">
        <v>72630</v>
      </c>
      <c r="O19" s="30">
        <v>53993.226999999999</v>
      </c>
      <c r="P19" s="30">
        <v>53993.226999999999</v>
      </c>
      <c r="Q19" s="30">
        <v>59144.826999999997</v>
      </c>
    </row>
    <row r="20" spans="1:17" x14ac:dyDescent="0.2">
      <c r="E20" s="23" t="s">
        <v>28</v>
      </c>
      <c r="F20" s="30">
        <v>73669.5</v>
      </c>
      <c r="G20" s="30">
        <v>73669</v>
      </c>
      <c r="H20" s="30">
        <v>79520</v>
      </c>
      <c r="I20" s="30">
        <v>81533</v>
      </c>
      <c r="J20" s="30">
        <v>86736.922000000006</v>
      </c>
      <c r="K20" s="30">
        <v>87178.521999999997</v>
      </c>
      <c r="L20" s="30">
        <v>87178.521999999997</v>
      </c>
      <c r="M20" s="30">
        <v>88912.721999999994</v>
      </c>
      <c r="N20" s="30">
        <v>98435</v>
      </c>
      <c r="O20" s="30">
        <v>98435.322</v>
      </c>
      <c r="P20" s="30">
        <v>104465.22199999999</v>
      </c>
      <c r="Q20" s="30">
        <v>105072.522</v>
      </c>
    </row>
    <row r="21" spans="1:17" x14ac:dyDescent="0.2">
      <c r="E21" s="23" t="s">
        <v>112</v>
      </c>
      <c r="F21" s="30">
        <v>59349</v>
      </c>
      <c r="G21" s="30">
        <v>66250</v>
      </c>
      <c r="H21" s="30">
        <v>67600</v>
      </c>
      <c r="I21" s="30">
        <v>75944</v>
      </c>
      <c r="J21" s="30">
        <v>82556.399999999994</v>
      </c>
      <c r="K21" s="30">
        <v>82556.399999999994</v>
      </c>
      <c r="L21" s="30">
        <v>87216.4</v>
      </c>
      <c r="M21" s="30">
        <v>103603.4</v>
      </c>
      <c r="N21" s="30">
        <v>111177</v>
      </c>
      <c r="O21" s="30">
        <v>118522.2</v>
      </c>
      <c r="P21" s="30">
        <v>125506.4</v>
      </c>
      <c r="Q21" s="30">
        <v>125525.3</v>
      </c>
    </row>
    <row r="22" spans="1:17" x14ac:dyDescent="0.2">
      <c r="E22" s="23" t="s">
        <v>27</v>
      </c>
      <c r="F22" s="30">
        <v>228642.875</v>
      </c>
      <c r="G22" s="30">
        <v>233987.47500000001</v>
      </c>
      <c r="H22" s="30">
        <v>227639</v>
      </c>
      <c r="I22" s="30">
        <v>236289</v>
      </c>
      <c r="J22" s="30">
        <v>239881.67499999999</v>
      </c>
      <c r="K22" s="30">
        <v>243502.47500000001</v>
      </c>
      <c r="L22" s="30">
        <v>242632.27499999999</v>
      </c>
      <c r="M22" s="30">
        <v>249459.07500000001</v>
      </c>
      <c r="N22" s="30">
        <v>255323</v>
      </c>
      <c r="O22" s="30">
        <v>262339.375</v>
      </c>
      <c r="P22" s="30">
        <v>262064.07500000001</v>
      </c>
      <c r="Q22" s="30">
        <v>255863.6</v>
      </c>
    </row>
    <row r="23" spans="1:17" x14ac:dyDescent="0.2">
      <c r="E23" s="23" t="s">
        <v>26</v>
      </c>
      <c r="F23" s="30">
        <v>127943.6</v>
      </c>
      <c r="G23" s="30">
        <v>129591</v>
      </c>
      <c r="H23" s="30">
        <v>118387</v>
      </c>
      <c r="I23" s="30">
        <v>123378</v>
      </c>
      <c r="J23" s="30">
        <v>127784.8</v>
      </c>
      <c r="K23" s="30">
        <v>129920.9</v>
      </c>
      <c r="L23" s="30">
        <v>134613.9</v>
      </c>
      <c r="M23" s="30">
        <v>138487.4</v>
      </c>
      <c r="N23" s="30">
        <v>143930</v>
      </c>
      <c r="O23" s="30">
        <v>139232.6</v>
      </c>
      <c r="P23" s="30">
        <v>139232.6</v>
      </c>
      <c r="Q23" s="30">
        <v>139232.6</v>
      </c>
    </row>
    <row r="24" spans="1:17" x14ac:dyDescent="0.2">
      <c r="E24" s="23" t="s">
        <v>113</v>
      </c>
      <c r="F24" s="30">
        <v>128342.44500000001</v>
      </c>
      <c r="G24" s="30">
        <v>128342</v>
      </c>
      <c r="H24" s="30">
        <v>142403</v>
      </c>
      <c r="I24" s="30">
        <v>142521</v>
      </c>
      <c r="J24" s="30">
        <v>142520.745</v>
      </c>
      <c r="K24" s="30">
        <v>142520.745</v>
      </c>
      <c r="L24" s="30">
        <v>147373.54500000001</v>
      </c>
      <c r="M24" s="30">
        <v>147385.04500000001</v>
      </c>
      <c r="N24" s="30">
        <v>147852</v>
      </c>
      <c r="O24" s="30">
        <v>148042.245</v>
      </c>
      <c r="P24" s="30">
        <v>148398.64499999999</v>
      </c>
      <c r="Q24" s="30">
        <v>148600.94500000001</v>
      </c>
    </row>
    <row r="25" spans="1:17" x14ac:dyDescent="0.2">
      <c r="E25" s="23" t="s">
        <v>114</v>
      </c>
      <c r="F25" s="30">
        <v>36254.010999999999</v>
      </c>
      <c r="G25" s="30">
        <v>36254</v>
      </c>
      <c r="H25" s="30">
        <v>36254</v>
      </c>
      <c r="I25" s="30">
        <v>36254</v>
      </c>
      <c r="J25" s="30">
        <v>36254.010999999999</v>
      </c>
      <c r="K25" s="30">
        <v>39765.110999999997</v>
      </c>
      <c r="L25" s="30">
        <v>39765.110999999997</v>
      </c>
      <c r="M25" s="30">
        <v>42770.610999999997</v>
      </c>
      <c r="N25" s="30">
        <v>42799</v>
      </c>
      <c r="O25" s="30">
        <v>43049.911</v>
      </c>
      <c r="P25" s="30">
        <v>46597.311000000002</v>
      </c>
      <c r="Q25" s="30">
        <v>46602.411</v>
      </c>
    </row>
    <row r="26" spans="1:17" x14ac:dyDescent="0.2">
      <c r="E26" s="23" t="s">
        <v>115</v>
      </c>
      <c r="F26" s="30">
        <v>8202.1</v>
      </c>
      <c r="G26" s="30">
        <v>8202</v>
      </c>
      <c r="H26" s="30">
        <v>8202</v>
      </c>
      <c r="I26" s="30">
        <v>8202</v>
      </c>
      <c r="J26" s="30">
        <v>8202.1</v>
      </c>
      <c r="K26" s="30">
        <v>8202.1</v>
      </c>
      <c r="L26" s="30">
        <v>8202.1</v>
      </c>
      <c r="M26" s="30">
        <v>8202</v>
      </c>
      <c r="N26" s="30">
        <v>8202</v>
      </c>
      <c r="O26" s="30">
        <v>8202.1</v>
      </c>
      <c r="P26" s="30">
        <v>8202.1</v>
      </c>
      <c r="Q26" s="30">
        <v>8202.1</v>
      </c>
    </row>
    <row r="27" spans="1:17" x14ac:dyDescent="0.2">
      <c r="E27" s="23" t="s">
        <v>116</v>
      </c>
      <c r="F27" s="30">
        <v>97</v>
      </c>
      <c r="G27" s="30">
        <v>97</v>
      </c>
      <c r="H27" s="30">
        <v>97</v>
      </c>
      <c r="I27" s="30">
        <v>97</v>
      </c>
      <c r="J27" s="30">
        <v>97</v>
      </c>
      <c r="K27" s="30">
        <v>97.05</v>
      </c>
      <c r="L27" s="30">
        <v>97.05</v>
      </c>
      <c r="M27" s="30">
        <v>97</v>
      </c>
      <c r="N27" s="30">
        <v>97</v>
      </c>
      <c r="O27" s="30">
        <v>97</v>
      </c>
      <c r="P27" s="30">
        <v>97</v>
      </c>
      <c r="Q27" s="30">
        <v>97</v>
      </c>
    </row>
    <row r="28" spans="1:17" x14ac:dyDescent="0.2"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15" x14ac:dyDescent="0.25">
      <c r="B29" s="29"/>
      <c r="C29" s="29" t="s">
        <v>117</v>
      </c>
      <c r="D29" s="29"/>
      <c r="E29" s="29"/>
      <c r="F29" s="8">
        <f t="shared" ref="F29:Q29" si="5">+F30+F36+F38+F40+F46+F51+F53+F57</f>
        <v>360829.43899999995</v>
      </c>
      <c r="G29" s="8">
        <f t="shared" si="5"/>
        <v>360894</v>
      </c>
      <c r="H29" s="8">
        <f t="shared" si="5"/>
        <v>360906</v>
      </c>
      <c r="I29" s="8">
        <f t="shared" si="5"/>
        <v>360830</v>
      </c>
      <c r="J29" s="8">
        <f t="shared" si="5"/>
        <v>360791.20399999997</v>
      </c>
      <c r="K29" s="8">
        <f t="shared" si="5"/>
        <v>360880.25099999999</v>
      </c>
      <c r="L29" s="8">
        <f t="shared" si="5"/>
        <v>372274.86399999994</v>
      </c>
      <c r="M29" s="8">
        <f t="shared" si="5"/>
        <v>365996</v>
      </c>
      <c r="N29" s="8">
        <f t="shared" si="5"/>
        <v>366034</v>
      </c>
      <c r="O29" s="8">
        <f t="shared" si="5"/>
        <v>372217.565</v>
      </c>
      <c r="P29" s="8">
        <f t="shared" si="5"/>
        <v>368717.33899999998</v>
      </c>
      <c r="Q29" s="8">
        <f t="shared" si="5"/>
        <v>368717.33899999998</v>
      </c>
    </row>
    <row r="30" spans="1:17" ht="15" x14ac:dyDescent="0.25">
      <c r="B30" s="29"/>
      <c r="C30" s="29"/>
      <c r="D30" s="29" t="s">
        <v>118</v>
      </c>
      <c r="E30" s="29"/>
      <c r="F30" s="8">
        <f t="shared" ref="F30:P30" si="6">SUM(F32:F34)</f>
        <v>206784.58899999998</v>
      </c>
      <c r="G30" s="8">
        <f t="shared" si="6"/>
        <v>206785</v>
      </c>
      <c r="H30" s="8">
        <f t="shared" si="6"/>
        <v>206785</v>
      </c>
      <c r="I30" s="8">
        <f t="shared" si="6"/>
        <v>206785</v>
      </c>
      <c r="J30" s="8">
        <f t="shared" si="6"/>
        <v>206784.58899999998</v>
      </c>
      <c r="K30" s="8">
        <f t="shared" si="6"/>
        <v>206784.58899999998</v>
      </c>
      <c r="L30" s="8">
        <f t="shared" si="6"/>
        <v>248490.01399999997</v>
      </c>
      <c r="M30" s="8">
        <f>SUM(M32:M34)</f>
        <v>248490</v>
      </c>
      <c r="N30" s="8">
        <f>SUM(N32:N34)</f>
        <v>248490</v>
      </c>
      <c r="O30" s="8">
        <f t="shared" si="6"/>
        <v>248489.565</v>
      </c>
      <c r="P30" s="8">
        <f t="shared" si="6"/>
        <v>248489.72399999999</v>
      </c>
      <c r="Q30" s="8">
        <f>SUM(Q32:Q34)</f>
        <v>248489.72399999999</v>
      </c>
    </row>
    <row r="31" spans="1:17" ht="15" x14ac:dyDescent="0.25">
      <c r="A31" s="29"/>
      <c r="B31" s="29"/>
      <c r="C31" s="29"/>
      <c r="D31" s="29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17" x14ac:dyDescent="0.2">
      <c r="E32" s="23" t="s">
        <v>119</v>
      </c>
      <c r="F32" s="30">
        <v>91494.73</v>
      </c>
      <c r="G32" s="30">
        <v>91495</v>
      </c>
      <c r="H32" s="30">
        <v>91495</v>
      </c>
      <c r="I32" s="30">
        <v>91495</v>
      </c>
      <c r="J32" s="30">
        <v>91494.73</v>
      </c>
      <c r="K32" s="30">
        <v>91494.73</v>
      </c>
      <c r="L32" s="30">
        <v>115005</v>
      </c>
      <c r="M32" s="30">
        <v>115005</v>
      </c>
      <c r="N32" s="30">
        <v>115005</v>
      </c>
      <c r="O32" s="30">
        <v>114995.605</v>
      </c>
      <c r="P32" s="30">
        <v>114995.605</v>
      </c>
      <c r="Q32" s="30">
        <v>114995.605</v>
      </c>
    </row>
    <row r="33" spans="1:17" x14ac:dyDescent="0.2">
      <c r="E33" s="23" t="s">
        <v>120</v>
      </c>
      <c r="F33" s="30">
        <v>37993.159</v>
      </c>
      <c r="G33" s="30">
        <v>37993</v>
      </c>
      <c r="H33" s="30">
        <v>37993</v>
      </c>
      <c r="I33" s="30">
        <v>37993</v>
      </c>
      <c r="J33" s="30">
        <v>37993.159</v>
      </c>
      <c r="K33" s="30">
        <v>37993.159</v>
      </c>
      <c r="L33" s="30">
        <v>37993.159</v>
      </c>
      <c r="M33" s="30">
        <v>37993</v>
      </c>
      <c r="N33" s="30">
        <v>37993</v>
      </c>
      <c r="O33" s="30">
        <v>37993</v>
      </c>
      <c r="P33" s="30">
        <v>37993.159</v>
      </c>
      <c r="Q33" s="30">
        <v>37993.159</v>
      </c>
    </row>
    <row r="34" spans="1:17" x14ac:dyDescent="0.2">
      <c r="E34" s="23" t="s">
        <v>121</v>
      </c>
      <c r="F34" s="30">
        <v>77296.7</v>
      </c>
      <c r="G34" s="30">
        <v>77297</v>
      </c>
      <c r="H34" s="30">
        <v>77297</v>
      </c>
      <c r="I34" s="30">
        <v>77297</v>
      </c>
      <c r="J34" s="30">
        <v>77296.7</v>
      </c>
      <c r="K34" s="30">
        <v>77296.7</v>
      </c>
      <c r="L34" s="30">
        <v>95491.854999999996</v>
      </c>
      <c r="M34" s="30">
        <v>95492</v>
      </c>
      <c r="N34" s="30">
        <v>95492</v>
      </c>
      <c r="O34" s="30">
        <v>95500.96</v>
      </c>
      <c r="P34" s="30">
        <v>95500.96</v>
      </c>
      <c r="Q34" s="30">
        <v>95500.96</v>
      </c>
    </row>
    <row r="35" spans="1:17" x14ac:dyDescent="0.2"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ht="15" x14ac:dyDescent="0.25">
      <c r="B36" s="29"/>
      <c r="C36" s="29"/>
      <c r="D36" s="29" t="s">
        <v>122</v>
      </c>
      <c r="E36" s="29"/>
      <c r="F36" s="28">
        <v>30260</v>
      </c>
      <c r="G36" s="28">
        <v>30260</v>
      </c>
      <c r="H36" s="28">
        <v>30260</v>
      </c>
      <c r="I36" s="28">
        <v>30260</v>
      </c>
      <c r="J36" s="28">
        <v>30260</v>
      </c>
      <c r="K36" s="28">
        <v>30260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</row>
    <row r="37" spans="1:17" x14ac:dyDescent="0.2"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ht="15" x14ac:dyDescent="0.25">
      <c r="C38" s="29"/>
      <c r="D38" s="29" t="s">
        <v>123</v>
      </c>
      <c r="E38" s="29"/>
      <c r="F38" s="28">
        <v>8000</v>
      </c>
      <c r="G38" s="28">
        <v>8000</v>
      </c>
      <c r="H38" s="28">
        <v>8000</v>
      </c>
      <c r="I38" s="28">
        <v>8000</v>
      </c>
      <c r="J38" s="28">
        <v>8000</v>
      </c>
      <c r="K38" s="28">
        <v>8000</v>
      </c>
      <c r="L38" s="28">
        <v>8000</v>
      </c>
      <c r="M38" s="28">
        <v>8000</v>
      </c>
      <c r="N38" s="28">
        <v>8000</v>
      </c>
      <c r="O38" s="28">
        <v>8000</v>
      </c>
      <c r="P38" s="28">
        <v>8000</v>
      </c>
      <c r="Q38" s="28">
        <v>8000</v>
      </c>
    </row>
    <row r="39" spans="1:17" x14ac:dyDescent="0.2"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 ht="15" x14ac:dyDescent="0.25">
      <c r="C40" s="29"/>
      <c r="D40" s="29" t="s">
        <v>124</v>
      </c>
      <c r="E40" s="29"/>
      <c r="F40" s="8">
        <f t="shared" ref="F40:P40" si="7">SUM(F42:F44)</f>
        <v>45590</v>
      </c>
      <c r="G40" s="8">
        <f t="shared" si="7"/>
        <v>45590</v>
      </c>
      <c r="H40" s="8">
        <f t="shared" si="7"/>
        <v>45590</v>
      </c>
      <c r="I40" s="8">
        <f t="shared" si="7"/>
        <v>45590</v>
      </c>
      <c r="J40" s="8">
        <f t="shared" si="7"/>
        <v>45590</v>
      </c>
      <c r="K40" s="8">
        <f t="shared" si="7"/>
        <v>45590</v>
      </c>
      <c r="L40" s="8">
        <f t="shared" si="7"/>
        <v>45590</v>
      </c>
      <c r="M40" s="8">
        <f>SUM(M42:M44)</f>
        <v>45590</v>
      </c>
      <c r="N40" s="8">
        <f>SUM(N42:N44)</f>
        <v>45590</v>
      </c>
      <c r="O40" s="8">
        <f t="shared" si="7"/>
        <v>45590</v>
      </c>
      <c r="P40" s="8">
        <f t="shared" si="7"/>
        <v>45590</v>
      </c>
      <c r="Q40" s="8">
        <f>SUM(Q42:Q44)</f>
        <v>45590</v>
      </c>
    </row>
    <row r="41" spans="1:17" ht="15" x14ac:dyDescent="0.25">
      <c r="A41" s="29"/>
      <c r="B41" s="29"/>
      <c r="C41" s="29"/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1:17" x14ac:dyDescent="0.2">
      <c r="E42" s="23" t="s">
        <v>119</v>
      </c>
      <c r="F42" s="30">
        <v>8230</v>
      </c>
      <c r="G42" s="30">
        <v>8230</v>
      </c>
      <c r="H42" s="30">
        <v>8230</v>
      </c>
      <c r="I42" s="30">
        <v>8230</v>
      </c>
      <c r="J42" s="30">
        <v>8230</v>
      </c>
      <c r="K42" s="30">
        <v>8230</v>
      </c>
      <c r="L42" s="30">
        <v>8230</v>
      </c>
      <c r="M42" s="30">
        <v>8230</v>
      </c>
      <c r="N42" s="30">
        <v>8230</v>
      </c>
      <c r="O42" s="30">
        <v>8230</v>
      </c>
      <c r="P42" s="30">
        <v>8230</v>
      </c>
      <c r="Q42" s="30">
        <v>8230</v>
      </c>
    </row>
    <row r="43" spans="1:17" x14ac:dyDescent="0.2">
      <c r="E43" s="23" t="s">
        <v>121</v>
      </c>
      <c r="F43" s="30">
        <v>30660</v>
      </c>
      <c r="G43" s="30">
        <v>30660</v>
      </c>
      <c r="H43" s="30">
        <v>30660</v>
      </c>
      <c r="I43" s="30">
        <v>30660</v>
      </c>
      <c r="J43" s="30">
        <v>30660</v>
      </c>
      <c r="K43" s="30">
        <v>30660</v>
      </c>
      <c r="L43" s="30">
        <v>30660</v>
      </c>
      <c r="M43" s="30">
        <v>30660</v>
      </c>
      <c r="N43" s="30">
        <v>30660</v>
      </c>
      <c r="O43" s="30">
        <v>30660</v>
      </c>
      <c r="P43" s="30">
        <v>30660</v>
      </c>
      <c r="Q43" s="30">
        <v>30660</v>
      </c>
    </row>
    <row r="44" spans="1:17" x14ac:dyDescent="0.2">
      <c r="E44" s="23" t="s">
        <v>125</v>
      </c>
      <c r="F44" s="30">
        <v>6700</v>
      </c>
      <c r="G44" s="64">
        <v>6700</v>
      </c>
      <c r="H44" s="64">
        <v>6700</v>
      </c>
      <c r="I44" s="64">
        <v>6700</v>
      </c>
      <c r="J44" s="64">
        <v>6700</v>
      </c>
      <c r="K44" s="64">
        <v>6700</v>
      </c>
      <c r="L44" s="64">
        <v>6700</v>
      </c>
      <c r="M44" s="64">
        <v>6700</v>
      </c>
      <c r="N44" s="64">
        <v>6700</v>
      </c>
      <c r="O44" s="30">
        <v>6700</v>
      </c>
      <c r="P44" s="30">
        <v>6700</v>
      </c>
      <c r="Q44" s="64">
        <v>6700</v>
      </c>
    </row>
    <row r="45" spans="1:17" x14ac:dyDescent="0.2"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5" x14ac:dyDescent="0.25">
      <c r="B46" s="29"/>
      <c r="C46" s="29"/>
      <c r="D46" s="29" t="s">
        <v>138</v>
      </c>
      <c r="E46" s="29"/>
      <c r="F46" s="8">
        <f t="shared" ref="F46:L46" si="8">SUM(F48:F49)</f>
        <v>11810</v>
      </c>
      <c r="G46" s="8">
        <f t="shared" si="8"/>
        <v>11810</v>
      </c>
      <c r="H46" s="8">
        <f t="shared" si="8"/>
        <v>11810</v>
      </c>
      <c r="I46" s="8">
        <f t="shared" si="8"/>
        <v>11810</v>
      </c>
      <c r="J46" s="8">
        <f t="shared" si="8"/>
        <v>11810</v>
      </c>
      <c r="K46" s="8">
        <f t="shared" si="8"/>
        <v>11810</v>
      </c>
      <c r="L46" s="8">
        <f t="shared" si="8"/>
        <v>11810</v>
      </c>
      <c r="M46" s="8">
        <f>SUM(M48:M49)</f>
        <v>5480</v>
      </c>
      <c r="N46" s="8">
        <f>SUM(N48:N49)</f>
        <v>5480</v>
      </c>
      <c r="O46" s="8">
        <f>SUM(O48:O50)</f>
        <v>5480</v>
      </c>
      <c r="P46" s="8">
        <f>SUM(P48:P50)</f>
        <v>5480</v>
      </c>
      <c r="Q46" s="8">
        <f>SUM(Q48:Q49)</f>
        <v>5480</v>
      </c>
    </row>
    <row r="47" spans="1:17" x14ac:dyDescent="0.2"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x14ac:dyDescent="0.2">
      <c r="E48" s="23" t="s">
        <v>119</v>
      </c>
      <c r="F48" s="30">
        <v>6330</v>
      </c>
      <c r="G48" s="30">
        <v>6330</v>
      </c>
      <c r="H48" s="30">
        <v>6330</v>
      </c>
      <c r="I48" s="30">
        <v>6330</v>
      </c>
      <c r="J48" s="30">
        <v>6330</v>
      </c>
      <c r="K48" s="30">
        <v>6330</v>
      </c>
      <c r="L48" s="30">
        <v>6330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</row>
    <row r="49" spans="1:17" x14ac:dyDescent="0.2">
      <c r="E49" s="23" t="s">
        <v>121</v>
      </c>
      <c r="F49" s="30">
        <v>5480</v>
      </c>
      <c r="G49" s="30">
        <v>5480</v>
      </c>
      <c r="H49" s="30">
        <v>5480</v>
      </c>
      <c r="I49" s="30">
        <v>5480</v>
      </c>
      <c r="J49" s="30">
        <v>5480</v>
      </c>
      <c r="K49" s="30">
        <v>5480</v>
      </c>
      <c r="L49" s="30">
        <v>5480</v>
      </c>
      <c r="M49" s="30">
        <v>5480</v>
      </c>
      <c r="N49" s="30">
        <v>5480</v>
      </c>
      <c r="O49" s="30">
        <v>5480</v>
      </c>
      <c r="P49" s="30">
        <v>5480</v>
      </c>
      <c r="Q49" s="30">
        <v>5480</v>
      </c>
    </row>
    <row r="50" spans="1:17" x14ac:dyDescent="0.2">
      <c r="O50" s="30"/>
      <c r="P50" s="30"/>
    </row>
    <row r="51" spans="1:17" ht="15" x14ac:dyDescent="0.25">
      <c r="B51" s="29"/>
      <c r="C51" s="29"/>
      <c r="D51" s="29" t="s">
        <v>127</v>
      </c>
      <c r="E51" s="29"/>
      <c r="F51" s="28">
        <v>9157.6149999999998</v>
      </c>
      <c r="G51" s="28">
        <v>9158</v>
      </c>
      <c r="H51" s="28">
        <v>9158</v>
      </c>
      <c r="I51" s="28">
        <v>9158</v>
      </c>
      <c r="J51" s="28">
        <v>9157.6149999999998</v>
      </c>
      <c r="K51" s="28">
        <v>9157.6149999999998</v>
      </c>
      <c r="L51" s="28">
        <v>9157.6149999999998</v>
      </c>
      <c r="M51" s="28">
        <v>9158</v>
      </c>
      <c r="N51" s="28">
        <v>9158</v>
      </c>
      <c r="O51" s="28">
        <v>16158</v>
      </c>
      <c r="P51" s="28">
        <v>16157.615</v>
      </c>
      <c r="Q51" s="28">
        <v>16157.615</v>
      </c>
    </row>
    <row r="52" spans="1:17" x14ac:dyDescent="0.2"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5" x14ac:dyDescent="0.25">
      <c r="B53" s="29"/>
      <c r="C53" s="29"/>
      <c r="D53" s="29" t="s">
        <v>128</v>
      </c>
      <c r="E53" s="29"/>
      <c r="F53" s="8">
        <f t="shared" ref="F53:Q53" si="9">SUM(F55:F55)</f>
        <v>14227.235000000001</v>
      </c>
      <c r="G53" s="8">
        <f t="shared" si="9"/>
        <v>14291</v>
      </c>
      <c r="H53" s="8">
        <f t="shared" si="9"/>
        <v>14303</v>
      </c>
      <c r="I53" s="8">
        <f t="shared" si="9"/>
        <v>14227</v>
      </c>
      <c r="J53" s="8">
        <f t="shared" si="9"/>
        <v>14189</v>
      </c>
      <c r="K53" s="8">
        <f t="shared" si="9"/>
        <v>14278.047</v>
      </c>
      <c r="L53" s="8">
        <f t="shared" si="9"/>
        <v>14227.235000000001</v>
      </c>
      <c r="M53" s="8">
        <f t="shared" si="9"/>
        <v>14278</v>
      </c>
      <c r="N53" s="8">
        <f t="shared" si="9"/>
        <v>14316</v>
      </c>
      <c r="O53" s="8">
        <f t="shared" si="9"/>
        <v>13500</v>
      </c>
      <c r="P53" s="8">
        <f t="shared" si="9"/>
        <v>10000</v>
      </c>
      <c r="Q53" s="8">
        <f t="shared" si="9"/>
        <v>10000</v>
      </c>
    </row>
    <row r="54" spans="1:17" ht="5.25" customHeight="1" x14ac:dyDescent="0.25">
      <c r="B54" s="29"/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x14ac:dyDescent="0.2">
      <c r="E55" s="23" t="s">
        <v>119</v>
      </c>
      <c r="F55" s="30">
        <v>14227.235000000001</v>
      </c>
      <c r="G55" s="30">
        <v>14291</v>
      </c>
      <c r="H55" s="30">
        <v>14303</v>
      </c>
      <c r="I55" s="30">
        <v>14227</v>
      </c>
      <c r="J55" s="30">
        <v>14189</v>
      </c>
      <c r="K55" s="30">
        <v>14278.047</v>
      </c>
      <c r="L55" s="30">
        <v>14227.235000000001</v>
      </c>
      <c r="M55" s="30">
        <v>14278</v>
      </c>
      <c r="N55" s="30">
        <v>14316</v>
      </c>
      <c r="O55" s="30">
        <v>13500</v>
      </c>
      <c r="P55" s="30">
        <v>10000</v>
      </c>
      <c r="Q55" s="30">
        <v>10000</v>
      </c>
    </row>
    <row r="56" spans="1:17" x14ac:dyDescent="0.2"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15" x14ac:dyDescent="0.25">
      <c r="B57" s="29"/>
      <c r="C57" s="29"/>
      <c r="D57" s="29" t="s">
        <v>140</v>
      </c>
      <c r="E57" s="29"/>
      <c r="F57" s="28">
        <v>35000</v>
      </c>
      <c r="G57" s="28">
        <v>35000</v>
      </c>
      <c r="H57" s="28">
        <v>35000</v>
      </c>
      <c r="I57" s="28">
        <v>35000</v>
      </c>
      <c r="J57" s="28">
        <v>35000</v>
      </c>
      <c r="K57" s="28">
        <v>35000</v>
      </c>
      <c r="L57" s="28">
        <v>35000</v>
      </c>
      <c r="M57" s="28">
        <v>35000</v>
      </c>
      <c r="N57" s="28">
        <v>35000</v>
      </c>
      <c r="O57" s="28">
        <v>35000</v>
      </c>
      <c r="P57" s="28">
        <v>35000</v>
      </c>
      <c r="Q57" s="28">
        <v>35000</v>
      </c>
    </row>
    <row r="58" spans="1:17" x14ac:dyDescent="0.2"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15" x14ac:dyDescent="0.25">
      <c r="C59" s="31"/>
      <c r="D59" s="29" t="s">
        <v>175</v>
      </c>
      <c r="E59" s="29"/>
      <c r="F59" s="8">
        <f t="shared" ref="F59:M59" si="10">SUM(F61)</f>
        <v>5645.9</v>
      </c>
      <c r="G59" s="8">
        <f t="shared" si="10"/>
        <v>5646</v>
      </c>
      <c r="H59" s="8">
        <f t="shared" si="10"/>
        <v>5646</v>
      </c>
      <c r="I59" s="8">
        <f t="shared" si="10"/>
        <v>17194</v>
      </c>
      <c r="J59" s="8">
        <f t="shared" si="10"/>
        <v>17194</v>
      </c>
      <c r="K59" s="8">
        <f t="shared" si="10"/>
        <v>17193.900000000001</v>
      </c>
      <c r="L59" s="8">
        <f t="shared" si="10"/>
        <v>17193.900000000001</v>
      </c>
      <c r="M59" s="8">
        <f t="shared" si="10"/>
        <v>17194</v>
      </c>
      <c r="N59" s="8">
        <f>SUM(N60:N61)</f>
        <v>24857</v>
      </c>
      <c r="O59" s="8">
        <f>SUM(O60:O61)</f>
        <v>24856.5</v>
      </c>
      <c r="P59" s="8">
        <f>SUM(P60:P61)</f>
        <v>24856.400000000001</v>
      </c>
      <c r="Q59" s="8">
        <f>SUM(Q60:Q61)</f>
        <v>24856.400000000001</v>
      </c>
    </row>
    <row r="60" spans="1:17" x14ac:dyDescent="0.2">
      <c r="C60" s="57"/>
      <c r="E60" s="23" t="s">
        <v>141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7663</v>
      </c>
      <c r="O60" s="30">
        <v>7662.5</v>
      </c>
      <c r="P60" s="30">
        <v>7662.5</v>
      </c>
      <c r="Q60" s="68">
        <v>7662.5</v>
      </c>
    </row>
    <row r="61" spans="1:17" ht="15" x14ac:dyDescent="0.25">
      <c r="D61" s="29"/>
      <c r="E61" s="23" t="s">
        <v>132</v>
      </c>
      <c r="F61" s="30">
        <v>5645.9</v>
      </c>
      <c r="G61" s="30">
        <v>5646</v>
      </c>
      <c r="H61" s="30">
        <v>5646</v>
      </c>
      <c r="I61" s="30">
        <v>17194</v>
      </c>
      <c r="J61" s="30">
        <v>17194</v>
      </c>
      <c r="K61" s="30">
        <v>17193.900000000001</v>
      </c>
      <c r="L61" s="30">
        <v>17193.900000000001</v>
      </c>
      <c r="M61" s="30">
        <v>17194</v>
      </c>
      <c r="N61" s="30">
        <v>17194</v>
      </c>
      <c r="O61" s="30">
        <v>17194</v>
      </c>
      <c r="P61" s="30">
        <v>17193.900000000001</v>
      </c>
      <c r="Q61" s="30">
        <v>17193.900000000001</v>
      </c>
    </row>
    <row r="62" spans="1:17" ht="15" x14ac:dyDescent="0.25">
      <c r="C62" s="31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1:17" ht="15" x14ac:dyDescent="0.25">
      <c r="A63" s="29"/>
      <c r="B63" s="29"/>
      <c r="C63" s="29" t="s">
        <v>133</v>
      </c>
      <c r="D63" s="29"/>
      <c r="E63" s="29"/>
      <c r="F63" s="28">
        <f>79643.55-97</f>
        <v>79546.55</v>
      </c>
      <c r="G63" s="28">
        <f>79643.55-97</f>
        <v>79546.55</v>
      </c>
      <c r="H63" s="28">
        <f>79644-97</f>
        <v>79547</v>
      </c>
      <c r="I63" s="28">
        <f>79644-97</f>
        <v>79547</v>
      </c>
      <c r="J63" s="28">
        <f>79643-97</f>
        <v>79546</v>
      </c>
      <c r="K63" s="28">
        <f>79643-97</f>
        <v>79546</v>
      </c>
      <c r="L63" s="28">
        <f>79603-97</f>
        <v>79506</v>
      </c>
      <c r="M63" s="28">
        <f>79603-97</f>
        <v>79506</v>
      </c>
      <c r="N63" s="28">
        <f>79603-97</f>
        <v>79506</v>
      </c>
      <c r="O63" s="28">
        <f>79603-97</f>
        <v>79506</v>
      </c>
      <c r="P63" s="28">
        <f>79603-97</f>
        <v>79506</v>
      </c>
      <c r="Q63" s="28">
        <f>79603.463-97</f>
        <v>79506.463000000003</v>
      </c>
    </row>
    <row r="64" spans="1:17" ht="15" x14ac:dyDescent="0.25">
      <c r="A64" s="29"/>
      <c r="B64" s="29"/>
      <c r="C64" s="29"/>
      <c r="D64" s="29"/>
      <c r="E64" s="29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ht="15" x14ac:dyDescent="0.25">
      <c r="A65" s="29"/>
      <c r="B65" s="29"/>
      <c r="C65" s="29" t="s">
        <v>134</v>
      </c>
      <c r="D65" s="29"/>
      <c r="E65" s="29"/>
      <c r="F65" s="28">
        <v>2415.5509999999999</v>
      </c>
      <c r="G65" s="28">
        <v>2415.5509999999999</v>
      </c>
      <c r="H65" s="28">
        <v>2416</v>
      </c>
      <c r="I65" s="28">
        <v>2416</v>
      </c>
      <c r="J65" s="28">
        <v>2416</v>
      </c>
      <c r="K65" s="28">
        <v>2415.5509999999999</v>
      </c>
      <c r="L65" s="28">
        <v>2415.5509999999999</v>
      </c>
      <c r="M65" s="28">
        <v>2415.5509999999999</v>
      </c>
      <c r="N65" s="28">
        <v>2415.5509999999999</v>
      </c>
      <c r="O65" s="28">
        <v>2416</v>
      </c>
      <c r="P65" s="28">
        <v>2415.5549999999998</v>
      </c>
      <c r="Q65" s="28">
        <v>2415.5509999999999</v>
      </c>
    </row>
    <row r="66" spans="1:17" ht="15" x14ac:dyDescent="0.25">
      <c r="A66" s="29"/>
      <c r="B66" s="29"/>
      <c r="C66" s="29"/>
      <c r="D66" s="29"/>
      <c r="E66" s="29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17" ht="15" x14ac:dyDescent="0.25">
      <c r="A67" s="29"/>
      <c r="B67" s="29"/>
      <c r="C67" s="29" t="s">
        <v>135</v>
      </c>
      <c r="D67" s="29"/>
      <c r="E67" s="29"/>
      <c r="F67" s="28">
        <v>10419.637000000001</v>
      </c>
      <c r="G67" s="28">
        <v>10449</v>
      </c>
      <c r="H67" s="28">
        <v>10472</v>
      </c>
      <c r="I67" s="28">
        <v>10534</v>
      </c>
      <c r="J67" s="28">
        <v>10488</v>
      </c>
      <c r="K67" s="28">
        <v>10496.67</v>
      </c>
      <c r="L67" s="28">
        <v>10568.419</v>
      </c>
      <c r="M67" s="28">
        <v>10651</v>
      </c>
      <c r="N67" s="28">
        <v>10639</v>
      </c>
      <c r="O67" s="28">
        <v>10709</v>
      </c>
      <c r="P67" s="28">
        <v>10637.89</v>
      </c>
      <c r="Q67" s="28">
        <v>10609.22</v>
      </c>
    </row>
    <row r="68" spans="1:17" ht="15" x14ac:dyDescent="0.25">
      <c r="A68" s="29"/>
      <c r="B68" s="29"/>
      <c r="C68" s="29"/>
      <c r="D68" s="29"/>
      <c r="E68" s="29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1:17" ht="15" x14ac:dyDescent="0.25">
      <c r="A69" s="29"/>
      <c r="B69" s="29"/>
      <c r="C69" s="29" t="s">
        <v>136</v>
      </c>
      <c r="D69" s="29"/>
      <c r="E69" s="29"/>
      <c r="F69" s="28">
        <v>224.958</v>
      </c>
      <c r="G69" s="28">
        <v>221.75800000000001</v>
      </c>
      <c r="H69" s="28">
        <v>222</v>
      </c>
      <c r="I69" s="28">
        <v>222</v>
      </c>
      <c r="J69" s="28">
        <v>208</v>
      </c>
      <c r="K69" s="28">
        <v>209.119</v>
      </c>
      <c r="L69" s="28">
        <v>206.59</v>
      </c>
      <c r="M69" s="28">
        <v>2615</v>
      </c>
      <c r="N69" s="28">
        <v>13019</v>
      </c>
      <c r="O69" s="28">
        <v>25556</v>
      </c>
      <c r="P69" s="28">
        <v>25272.578000000001</v>
      </c>
      <c r="Q69" s="28">
        <v>18596.977999999999</v>
      </c>
    </row>
    <row r="70" spans="1:17" ht="15" x14ac:dyDescent="0.25"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ht="15" x14ac:dyDescent="0.25">
      <c r="A71" s="29" t="s">
        <v>137</v>
      </c>
      <c r="B71" s="29"/>
      <c r="C71" s="29"/>
      <c r="D71" s="29"/>
      <c r="E71" s="29"/>
      <c r="F71" s="8">
        <v>20263.252</v>
      </c>
      <c r="G71" s="8">
        <v>20253</v>
      </c>
      <c r="H71" s="8">
        <v>32793</v>
      </c>
      <c r="I71" s="8">
        <v>27789</v>
      </c>
      <c r="J71" s="8">
        <v>27782</v>
      </c>
      <c r="K71" s="8">
        <v>27778.464</v>
      </c>
      <c r="L71" s="8">
        <v>28995</v>
      </c>
      <c r="M71" s="8">
        <v>29636</v>
      </c>
      <c r="N71" s="8">
        <v>29632</v>
      </c>
      <c r="O71" s="8">
        <v>30449</v>
      </c>
      <c r="P71" s="8">
        <v>30756.143</v>
      </c>
      <c r="Q71" s="8">
        <v>30748.024000000001</v>
      </c>
    </row>
    <row r="72" spans="1:17" x14ac:dyDescent="0.2">
      <c r="F72" s="32"/>
      <c r="G72" s="33"/>
      <c r="H72" s="32"/>
      <c r="I72" s="32"/>
      <c r="J72" s="32"/>
      <c r="K72" s="32"/>
      <c r="L72" s="32"/>
      <c r="M72" s="32"/>
      <c r="N72" s="32"/>
      <c r="O72" s="32"/>
      <c r="P72" s="32"/>
    </row>
    <row r="73" spans="1:17" x14ac:dyDescent="0.2">
      <c r="F73" s="32"/>
      <c r="G73" s="33"/>
      <c r="H73" s="32"/>
      <c r="I73" s="32"/>
      <c r="J73" s="32"/>
      <c r="K73" s="32"/>
      <c r="L73" s="32"/>
      <c r="M73" s="32"/>
      <c r="N73" s="32"/>
      <c r="O73" s="32"/>
      <c r="P73" s="32"/>
    </row>
    <row r="74" spans="1:17" ht="15" x14ac:dyDescent="0.25">
      <c r="A74" s="29"/>
      <c r="B74" s="65"/>
      <c r="C74" s="65"/>
      <c r="D74" s="65"/>
      <c r="E74" s="23" t="s">
        <v>29</v>
      </c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</row>
    <row r="75" spans="1:17" x14ac:dyDescent="0.2">
      <c r="B75" s="66"/>
      <c r="C75" s="66"/>
      <c r="D75" s="66"/>
      <c r="E75" s="32" t="s">
        <v>30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</row>
    <row r="76" spans="1:17" ht="15" x14ac:dyDescent="0.25">
      <c r="A76" s="29"/>
      <c r="B76" s="65"/>
      <c r="C76" s="65"/>
      <c r="D76" s="65"/>
      <c r="E76" s="67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</row>
    <row r="77" spans="1:17" x14ac:dyDescent="0.2">
      <c r="A77" s="34"/>
      <c r="B77" s="35"/>
      <c r="C77" s="35"/>
    </row>
    <row r="78" spans="1:17" x14ac:dyDescent="0.2">
      <c r="A78" s="34"/>
      <c r="B78" s="35" t="s">
        <v>21</v>
      </c>
      <c r="C78" s="35"/>
      <c r="D78" s="35"/>
      <c r="E78" s="35"/>
      <c r="F78" s="35"/>
      <c r="G78" s="37"/>
    </row>
    <row r="80" spans="1:17" x14ac:dyDescent="0.2">
      <c r="A80" s="35"/>
      <c r="B80" s="35"/>
      <c r="C80" s="35"/>
    </row>
    <row r="81" spans="1:3" x14ac:dyDescent="0.2">
      <c r="A81" s="36"/>
      <c r="B81" s="35"/>
      <c r="C81" s="35"/>
    </row>
  </sheetData>
  <mergeCells count="4">
    <mergeCell ref="A1:Q1"/>
    <mergeCell ref="A2:Q2"/>
    <mergeCell ref="A3:Q3"/>
    <mergeCell ref="A5:E5"/>
  </mergeCells>
  <printOptions horizontalCentered="1"/>
  <pageMargins left="0" right="0" top="0.45866141700000002" bottom="0.59055118110236204" header="0.511811023622047" footer="0.511811023622047"/>
  <pageSetup paperSize="9" scale="6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78"/>
  <sheetViews>
    <sheetView zoomScaleNormal="100" workbookViewId="0">
      <pane xSplit="5" ySplit="7" topLeftCell="F8" activePane="bottomRight" state="frozen"/>
      <selection activeCell="F20" sqref="F20"/>
      <selection pane="topRight" activeCell="F20" sqref="F20"/>
      <selection pane="bottomLeft" activeCell="F20" sqref="F20"/>
      <selection pane="bottomRight" activeCell="A2" sqref="A2:Q2"/>
    </sheetView>
  </sheetViews>
  <sheetFormatPr defaultColWidth="8.85546875" defaultRowHeight="14.25" x14ac:dyDescent="0.2"/>
  <cols>
    <col min="1" max="1" width="0.28515625" style="23" customWidth="1"/>
    <col min="2" max="2" width="1.140625" style="23" customWidth="1"/>
    <col min="3" max="3" width="2.140625" style="23" customWidth="1"/>
    <col min="4" max="4" width="1.28515625" style="23" customWidth="1"/>
    <col min="5" max="5" width="27.7109375" style="23" customWidth="1"/>
    <col min="6" max="6" width="10.28515625" style="23" customWidth="1"/>
    <col min="7" max="7" width="10.42578125" style="23" customWidth="1"/>
    <col min="8" max="8" width="10.7109375" style="23" customWidth="1"/>
    <col min="9" max="9" width="10.28515625" style="23" customWidth="1"/>
    <col min="10" max="11" width="10.7109375" style="23" customWidth="1"/>
    <col min="12" max="12" width="10.85546875" style="23" customWidth="1"/>
    <col min="13" max="13" width="10.28515625" style="23" customWidth="1"/>
    <col min="14" max="14" width="10.42578125" style="23" customWidth="1"/>
    <col min="15" max="15" width="11" style="23" customWidth="1"/>
    <col min="16" max="16" width="11.85546875" style="23" customWidth="1"/>
    <col min="17" max="17" width="11.42578125" style="23" customWidth="1"/>
    <col min="18" max="256" width="9.140625" style="23"/>
    <col min="257" max="257" width="0.28515625" style="23" customWidth="1"/>
    <col min="258" max="258" width="1.140625" style="23" customWidth="1"/>
    <col min="259" max="259" width="2.140625" style="23" customWidth="1"/>
    <col min="260" max="260" width="1.28515625" style="23" customWidth="1"/>
    <col min="261" max="261" width="21.7109375" style="23" customWidth="1"/>
    <col min="262" max="262" width="10.28515625" style="23" customWidth="1"/>
    <col min="263" max="263" width="10.42578125" style="23" customWidth="1"/>
    <col min="264" max="264" width="10.7109375" style="23" customWidth="1"/>
    <col min="265" max="265" width="10.28515625" style="23" customWidth="1"/>
    <col min="266" max="267" width="10.7109375" style="23" customWidth="1"/>
    <col min="268" max="268" width="10.85546875" style="23" customWidth="1"/>
    <col min="269" max="269" width="10.28515625" style="23" customWidth="1"/>
    <col min="270" max="270" width="10.42578125" style="23" customWidth="1"/>
    <col min="271" max="271" width="11" style="23" customWidth="1"/>
    <col min="272" max="272" width="11.85546875" style="23" customWidth="1"/>
    <col min="273" max="273" width="11.42578125" style="23" customWidth="1"/>
    <col min="274" max="512" width="9.140625" style="23"/>
    <col min="513" max="513" width="0.28515625" style="23" customWidth="1"/>
    <col min="514" max="514" width="1.140625" style="23" customWidth="1"/>
    <col min="515" max="515" width="2.140625" style="23" customWidth="1"/>
    <col min="516" max="516" width="1.28515625" style="23" customWidth="1"/>
    <col min="517" max="517" width="21.7109375" style="23" customWidth="1"/>
    <col min="518" max="518" width="10.28515625" style="23" customWidth="1"/>
    <col min="519" max="519" width="10.42578125" style="23" customWidth="1"/>
    <col min="520" max="520" width="10.7109375" style="23" customWidth="1"/>
    <col min="521" max="521" width="10.28515625" style="23" customWidth="1"/>
    <col min="522" max="523" width="10.7109375" style="23" customWidth="1"/>
    <col min="524" max="524" width="10.85546875" style="23" customWidth="1"/>
    <col min="525" max="525" width="10.28515625" style="23" customWidth="1"/>
    <col min="526" max="526" width="10.42578125" style="23" customWidth="1"/>
    <col min="527" max="527" width="11" style="23" customWidth="1"/>
    <col min="528" max="528" width="11.85546875" style="23" customWidth="1"/>
    <col min="529" max="529" width="11.42578125" style="23" customWidth="1"/>
    <col min="530" max="768" width="9.140625" style="23"/>
    <col min="769" max="769" width="0.28515625" style="23" customWidth="1"/>
    <col min="770" max="770" width="1.140625" style="23" customWidth="1"/>
    <col min="771" max="771" width="2.140625" style="23" customWidth="1"/>
    <col min="772" max="772" width="1.28515625" style="23" customWidth="1"/>
    <col min="773" max="773" width="21.7109375" style="23" customWidth="1"/>
    <col min="774" max="774" width="10.28515625" style="23" customWidth="1"/>
    <col min="775" max="775" width="10.42578125" style="23" customWidth="1"/>
    <col min="776" max="776" width="10.7109375" style="23" customWidth="1"/>
    <col min="777" max="777" width="10.28515625" style="23" customWidth="1"/>
    <col min="778" max="779" width="10.7109375" style="23" customWidth="1"/>
    <col min="780" max="780" width="10.85546875" style="23" customWidth="1"/>
    <col min="781" max="781" width="10.28515625" style="23" customWidth="1"/>
    <col min="782" max="782" width="10.42578125" style="23" customWidth="1"/>
    <col min="783" max="783" width="11" style="23" customWidth="1"/>
    <col min="784" max="784" width="11.85546875" style="23" customWidth="1"/>
    <col min="785" max="785" width="11.42578125" style="23" customWidth="1"/>
    <col min="786" max="1024" width="9.140625" style="23"/>
    <col min="1025" max="1025" width="0.28515625" style="23" customWidth="1"/>
    <col min="1026" max="1026" width="1.140625" style="23" customWidth="1"/>
    <col min="1027" max="1027" width="2.140625" style="23" customWidth="1"/>
    <col min="1028" max="1028" width="1.28515625" style="23" customWidth="1"/>
    <col min="1029" max="1029" width="21.7109375" style="23" customWidth="1"/>
    <col min="1030" max="1030" width="10.28515625" style="23" customWidth="1"/>
    <col min="1031" max="1031" width="10.42578125" style="23" customWidth="1"/>
    <col min="1032" max="1032" width="10.7109375" style="23" customWidth="1"/>
    <col min="1033" max="1033" width="10.28515625" style="23" customWidth="1"/>
    <col min="1034" max="1035" width="10.7109375" style="23" customWidth="1"/>
    <col min="1036" max="1036" width="10.85546875" style="23" customWidth="1"/>
    <col min="1037" max="1037" width="10.28515625" style="23" customWidth="1"/>
    <col min="1038" max="1038" width="10.42578125" style="23" customWidth="1"/>
    <col min="1039" max="1039" width="11" style="23" customWidth="1"/>
    <col min="1040" max="1040" width="11.85546875" style="23" customWidth="1"/>
    <col min="1041" max="1041" width="11.42578125" style="23" customWidth="1"/>
    <col min="1042" max="1280" width="9.140625" style="23"/>
    <col min="1281" max="1281" width="0.28515625" style="23" customWidth="1"/>
    <col min="1282" max="1282" width="1.140625" style="23" customWidth="1"/>
    <col min="1283" max="1283" width="2.140625" style="23" customWidth="1"/>
    <col min="1284" max="1284" width="1.28515625" style="23" customWidth="1"/>
    <col min="1285" max="1285" width="21.7109375" style="23" customWidth="1"/>
    <col min="1286" max="1286" width="10.28515625" style="23" customWidth="1"/>
    <col min="1287" max="1287" width="10.42578125" style="23" customWidth="1"/>
    <col min="1288" max="1288" width="10.7109375" style="23" customWidth="1"/>
    <col min="1289" max="1289" width="10.28515625" style="23" customWidth="1"/>
    <col min="1290" max="1291" width="10.7109375" style="23" customWidth="1"/>
    <col min="1292" max="1292" width="10.85546875" style="23" customWidth="1"/>
    <col min="1293" max="1293" width="10.28515625" style="23" customWidth="1"/>
    <col min="1294" max="1294" width="10.42578125" style="23" customWidth="1"/>
    <col min="1295" max="1295" width="11" style="23" customWidth="1"/>
    <col min="1296" max="1296" width="11.85546875" style="23" customWidth="1"/>
    <col min="1297" max="1297" width="11.42578125" style="23" customWidth="1"/>
    <col min="1298" max="1536" width="9.140625" style="23"/>
    <col min="1537" max="1537" width="0.28515625" style="23" customWidth="1"/>
    <col min="1538" max="1538" width="1.140625" style="23" customWidth="1"/>
    <col min="1539" max="1539" width="2.140625" style="23" customWidth="1"/>
    <col min="1540" max="1540" width="1.28515625" style="23" customWidth="1"/>
    <col min="1541" max="1541" width="21.7109375" style="23" customWidth="1"/>
    <col min="1542" max="1542" width="10.28515625" style="23" customWidth="1"/>
    <col min="1543" max="1543" width="10.42578125" style="23" customWidth="1"/>
    <col min="1544" max="1544" width="10.7109375" style="23" customWidth="1"/>
    <col min="1545" max="1545" width="10.28515625" style="23" customWidth="1"/>
    <col min="1546" max="1547" width="10.7109375" style="23" customWidth="1"/>
    <col min="1548" max="1548" width="10.85546875" style="23" customWidth="1"/>
    <col min="1549" max="1549" width="10.28515625" style="23" customWidth="1"/>
    <col min="1550" max="1550" width="10.42578125" style="23" customWidth="1"/>
    <col min="1551" max="1551" width="11" style="23" customWidth="1"/>
    <col min="1552" max="1552" width="11.85546875" style="23" customWidth="1"/>
    <col min="1553" max="1553" width="11.42578125" style="23" customWidth="1"/>
    <col min="1554" max="1792" width="9.140625" style="23"/>
    <col min="1793" max="1793" width="0.28515625" style="23" customWidth="1"/>
    <col min="1794" max="1794" width="1.140625" style="23" customWidth="1"/>
    <col min="1795" max="1795" width="2.140625" style="23" customWidth="1"/>
    <col min="1796" max="1796" width="1.28515625" style="23" customWidth="1"/>
    <col min="1797" max="1797" width="21.7109375" style="23" customWidth="1"/>
    <col min="1798" max="1798" width="10.28515625" style="23" customWidth="1"/>
    <col min="1799" max="1799" width="10.42578125" style="23" customWidth="1"/>
    <col min="1800" max="1800" width="10.7109375" style="23" customWidth="1"/>
    <col min="1801" max="1801" width="10.28515625" style="23" customWidth="1"/>
    <col min="1802" max="1803" width="10.7109375" style="23" customWidth="1"/>
    <col min="1804" max="1804" width="10.85546875" style="23" customWidth="1"/>
    <col min="1805" max="1805" width="10.28515625" style="23" customWidth="1"/>
    <col min="1806" max="1806" width="10.42578125" style="23" customWidth="1"/>
    <col min="1807" max="1807" width="11" style="23" customWidth="1"/>
    <col min="1808" max="1808" width="11.85546875" style="23" customWidth="1"/>
    <col min="1809" max="1809" width="11.42578125" style="23" customWidth="1"/>
    <col min="1810" max="2048" width="9.140625" style="23"/>
    <col min="2049" max="2049" width="0.28515625" style="23" customWidth="1"/>
    <col min="2050" max="2050" width="1.140625" style="23" customWidth="1"/>
    <col min="2051" max="2051" width="2.140625" style="23" customWidth="1"/>
    <col min="2052" max="2052" width="1.28515625" style="23" customWidth="1"/>
    <col min="2053" max="2053" width="21.7109375" style="23" customWidth="1"/>
    <col min="2054" max="2054" width="10.28515625" style="23" customWidth="1"/>
    <col min="2055" max="2055" width="10.42578125" style="23" customWidth="1"/>
    <col min="2056" max="2056" width="10.7109375" style="23" customWidth="1"/>
    <col min="2057" max="2057" width="10.28515625" style="23" customWidth="1"/>
    <col min="2058" max="2059" width="10.7109375" style="23" customWidth="1"/>
    <col min="2060" max="2060" width="10.85546875" style="23" customWidth="1"/>
    <col min="2061" max="2061" width="10.28515625" style="23" customWidth="1"/>
    <col min="2062" max="2062" width="10.42578125" style="23" customWidth="1"/>
    <col min="2063" max="2063" width="11" style="23" customWidth="1"/>
    <col min="2064" max="2064" width="11.85546875" style="23" customWidth="1"/>
    <col min="2065" max="2065" width="11.42578125" style="23" customWidth="1"/>
    <col min="2066" max="2304" width="9.140625" style="23"/>
    <col min="2305" max="2305" width="0.28515625" style="23" customWidth="1"/>
    <col min="2306" max="2306" width="1.140625" style="23" customWidth="1"/>
    <col min="2307" max="2307" width="2.140625" style="23" customWidth="1"/>
    <col min="2308" max="2308" width="1.28515625" style="23" customWidth="1"/>
    <col min="2309" max="2309" width="21.7109375" style="23" customWidth="1"/>
    <col min="2310" max="2310" width="10.28515625" style="23" customWidth="1"/>
    <col min="2311" max="2311" width="10.42578125" style="23" customWidth="1"/>
    <col min="2312" max="2312" width="10.7109375" style="23" customWidth="1"/>
    <col min="2313" max="2313" width="10.28515625" style="23" customWidth="1"/>
    <col min="2314" max="2315" width="10.7109375" style="23" customWidth="1"/>
    <col min="2316" max="2316" width="10.85546875" style="23" customWidth="1"/>
    <col min="2317" max="2317" width="10.28515625" style="23" customWidth="1"/>
    <col min="2318" max="2318" width="10.42578125" style="23" customWidth="1"/>
    <col min="2319" max="2319" width="11" style="23" customWidth="1"/>
    <col min="2320" max="2320" width="11.85546875" style="23" customWidth="1"/>
    <col min="2321" max="2321" width="11.42578125" style="23" customWidth="1"/>
    <col min="2322" max="2560" width="9.140625" style="23"/>
    <col min="2561" max="2561" width="0.28515625" style="23" customWidth="1"/>
    <col min="2562" max="2562" width="1.140625" style="23" customWidth="1"/>
    <col min="2563" max="2563" width="2.140625" style="23" customWidth="1"/>
    <col min="2564" max="2564" width="1.28515625" style="23" customWidth="1"/>
    <col min="2565" max="2565" width="21.7109375" style="23" customWidth="1"/>
    <col min="2566" max="2566" width="10.28515625" style="23" customWidth="1"/>
    <col min="2567" max="2567" width="10.42578125" style="23" customWidth="1"/>
    <col min="2568" max="2568" width="10.7109375" style="23" customWidth="1"/>
    <col min="2569" max="2569" width="10.28515625" style="23" customWidth="1"/>
    <col min="2570" max="2571" width="10.7109375" style="23" customWidth="1"/>
    <col min="2572" max="2572" width="10.85546875" style="23" customWidth="1"/>
    <col min="2573" max="2573" width="10.28515625" style="23" customWidth="1"/>
    <col min="2574" max="2574" width="10.42578125" style="23" customWidth="1"/>
    <col min="2575" max="2575" width="11" style="23" customWidth="1"/>
    <col min="2576" max="2576" width="11.85546875" style="23" customWidth="1"/>
    <col min="2577" max="2577" width="11.42578125" style="23" customWidth="1"/>
    <col min="2578" max="2816" width="9.140625" style="23"/>
    <col min="2817" max="2817" width="0.28515625" style="23" customWidth="1"/>
    <col min="2818" max="2818" width="1.140625" style="23" customWidth="1"/>
    <col min="2819" max="2819" width="2.140625" style="23" customWidth="1"/>
    <col min="2820" max="2820" width="1.28515625" style="23" customWidth="1"/>
    <col min="2821" max="2821" width="21.7109375" style="23" customWidth="1"/>
    <col min="2822" max="2822" width="10.28515625" style="23" customWidth="1"/>
    <col min="2823" max="2823" width="10.42578125" style="23" customWidth="1"/>
    <col min="2824" max="2824" width="10.7109375" style="23" customWidth="1"/>
    <col min="2825" max="2825" width="10.28515625" style="23" customWidth="1"/>
    <col min="2826" max="2827" width="10.7109375" style="23" customWidth="1"/>
    <col min="2828" max="2828" width="10.85546875" style="23" customWidth="1"/>
    <col min="2829" max="2829" width="10.28515625" style="23" customWidth="1"/>
    <col min="2830" max="2830" width="10.42578125" style="23" customWidth="1"/>
    <col min="2831" max="2831" width="11" style="23" customWidth="1"/>
    <col min="2832" max="2832" width="11.85546875" style="23" customWidth="1"/>
    <col min="2833" max="2833" width="11.42578125" style="23" customWidth="1"/>
    <col min="2834" max="3072" width="9.140625" style="23"/>
    <col min="3073" max="3073" width="0.28515625" style="23" customWidth="1"/>
    <col min="3074" max="3074" width="1.140625" style="23" customWidth="1"/>
    <col min="3075" max="3075" width="2.140625" style="23" customWidth="1"/>
    <col min="3076" max="3076" width="1.28515625" style="23" customWidth="1"/>
    <col min="3077" max="3077" width="21.7109375" style="23" customWidth="1"/>
    <col min="3078" max="3078" width="10.28515625" style="23" customWidth="1"/>
    <col min="3079" max="3079" width="10.42578125" style="23" customWidth="1"/>
    <col min="3080" max="3080" width="10.7109375" style="23" customWidth="1"/>
    <col min="3081" max="3081" width="10.28515625" style="23" customWidth="1"/>
    <col min="3082" max="3083" width="10.7109375" style="23" customWidth="1"/>
    <col min="3084" max="3084" width="10.85546875" style="23" customWidth="1"/>
    <col min="3085" max="3085" width="10.28515625" style="23" customWidth="1"/>
    <col min="3086" max="3086" width="10.42578125" style="23" customWidth="1"/>
    <col min="3087" max="3087" width="11" style="23" customWidth="1"/>
    <col min="3088" max="3088" width="11.85546875" style="23" customWidth="1"/>
    <col min="3089" max="3089" width="11.42578125" style="23" customWidth="1"/>
    <col min="3090" max="3328" width="9.140625" style="23"/>
    <col min="3329" max="3329" width="0.28515625" style="23" customWidth="1"/>
    <col min="3330" max="3330" width="1.140625" style="23" customWidth="1"/>
    <col min="3331" max="3331" width="2.140625" style="23" customWidth="1"/>
    <col min="3332" max="3332" width="1.28515625" style="23" customWidth="1"/>
    <col min="3333" max="3333" width="21.7109375" style="23" customWidth="1"/>
    <col min="3334" max="3334" width="10.28515625" style="23" customWidth="1"/>
    <col min="3335" max="3335" width="10.42578125" style="23" customWidth="1"/>
    <col min="3336" max="3336" width="10.7109375" style="23" customWidth="1"/>
    <col min="3337" max="3337" width="10.28515625" style="23" customWidth="1"/>
    <col min="3338" max="3339" width="10.7109375" style="23" customWidth="1"/>
    <col min="3340" max="3340" width="10.85546875" style="23" customWidth="1"/>
    <col min="3341" max="3341" width="10.28515625" style="23" customWidth="1"/>
    <col min="3342" max="3342" width="10.42578125" style="23" customWidth="1"/>
    <col min="3343" max="3343" width="11" style="23" customWidth="1"/>
    <col min="3344" max="3344" width="11.85546875" style="23" customWidth="1"/>
    <col min="3345" max="3345" width="11.42578125" style="23" customWidth="1"/>
    <col min="3346" max="3584" width="9.140625" style="23"/>
    <col min="3585" max="3585" width="0.28515625" style="23" customWidth="1"/>
    <col min="3586" max="3586" width="1.140625" style="23" customWidth="1"/>
    <col min="3587" max="3587" width="2.140625" style="23" customWidth="1"/>
    <col min="3588" max="3588" width="1.28515625" style="23" customWidth="1"/>
    <col min="3589" max="3589" width="21.7109375" style="23" customWidth="1"/>
    <col min="3590" max="3590" width="10.28515625" style="23" customWidth="1"/>
    <col min="3591" max="3591" width="10.42578125" style="23" customWidth="1"/>
    <col min="3592" max="3592" width="10.7109375" style="23" customWidth="1"/>
    <col min="3593" max="3593" width="10.28515625" style="23" customWidth="1"/>
    <col min="3594" max="3595" width="10.7109375" style="23" customWidth="1"/>
    <col min="3596" max="3596" width="10.85546875" style="23" customWidth="1"/>
    <col min="3597" max="3597" width="10.28515625" style="23" customWidth="1"/>
    <col min="3598" max="3598" width="10.42578125" style="23" customWidth="1"/>
    <col min="3599" max="3599" width="11" style="23" customWidth="1"/>
    <col min="3600" max="3600" width="11.85546875" style="23" customWidth="1"/>
    <col min="3601" max="3601" width="11.42578125" style="23" customWidth="1"/>
    <col min="3602" max="3840" width="9.140625" style="23"/>
    <col min="3841" max="3841" width="0.28515625" style="23" customWidth="1"/>
    <col min="3842" max="3842" width="1.140625" style="23" customWidth="1"/>
    <col min="3843" max="3843" width="2.140625" style="23" customWidth="1"/>
    <col min="3844" max="3844" width="1.28515625" style="23" customWidth="1"/>
    <col min="3845" max="3845" width="21.7109375" style="23" customWidth="1"/>
    <col min="3846" max="3846" width="10.28515625" style="23" customWidth="1"/>
    <col min="3847" max="3847" width="10.42578125" style="23" customWidth="1"/>
    <col min="3848" max="3848" width="10.7109375" style="23" customWidth="1"/>
    <col min="3849" max="3849" width="10.28515625" style="23" customWidth="1"/>
    <col min="3850" max="3851" width="10.7109375" style="23" customWidth="1"/>
    <col min="3852" max="3852" width="10.85546875" style="23" customWidth="1"/>
    <col min="3853" max="3853" width="10.28515625" style="23" customWidth="1"/>
    <col min="3854" max="3854" width="10.42578125" style="23" customWidth="1"/>
    <col min="3855" max="3855" width="11" style="23" customWidth="1"/>
    <col min="3856" max="3856" width="11.85546875" style="23" customWidth="1"/>
    <col min="3857" max="3857" width="11.42578125" style="23" customWidth="1"/>
    <col min="3858" max="4096" width="9.140625" style="23"/>
    <col min="4097" max="4097" width="0.28515625" style="23" customWidth="1"/>
    <col min="4098" max="4098" width="1.140625" style="23" customWidth="1"/>
    <col min="4099" max="4099" width="2.140625" style="23" customWidth="1"/>
    <col min="4100" max="4100" width="1.28515625" style="23" customWidth="1"/>
    <col min="4101" max="4101" width="21.7109375" style="23" customWidth="1"/>
    <col min="4102" max="4102" width="10.28515625" style="23" customWidth="1"/>
    <col min="4103" max="4103" width="10.42578125" style="23" customWidth="1"/>
    <col min="4104" max="4104" width="10.7109375" style="23" customWidth="1"/>
    <col min="4105" max="4105" width="10.28515625" style="23" customWidth="1"/>
    <col min="4106" max="4107" width="10.7109375" style="23" customWidth="1"/>
    <col min="4108" max="4108" width="10.85546875" style="23" customWidth="1"/>
    <col min="4109" max="4109" width="10.28515625" style="23" customWidth="1"/>
    <col min="4110" max="4110" width="10.42578125" style="23" customWidth="1"/>
    <col min="4111" max="4111" width="11" style="23" customWidth="1"/>
    <col min="4112" max="4112" width="11.85546875" style="23" customWidth="1"/>
    <col min="4113" max="4113" width="11.42578125" style="23" customWidth="1"/>
    <col min="4114" max="4352" width="9.140625" style="23"/>
    <col min="4353" max="4353" width="0.28515625" style="23" customWidth="1"/>
    <col min="4354" max="4354" width="1.140625" style="23" customWidth="1"/>
    <col min="4355" max="4355" width="2.140625" style="23" customWidth="1"/>
    <col min="4356" max="4356" width="1.28515625" style="23" customWidth="1"/>
    <col min="4357" max="4357" width="21.7109375" style="23" customWidth="1"/>
    <col min="4358" max="4358" width="10.28515625" style="23" customWidth="1"/>
    <col min="4359" max="4359" width="10.42578125" style="23" customWidth="1"/>
    <col min="4360" max="4360" width="10.7109375" style="23" customWidth="1"/>
    <col min="4361" max="4361" width="10.28515625" style="23" customWidth="1"/>
    <col min="4362" max="4363" width="10.7109375" style="23" customWidth="1"/>
    <col min="4364" max="4364" width="10.85546875" style="23" customWidth="1"/>
    <col min="4365" max="4365" width="10.28515625" style="23" customWidth="1"/>
    <col min="4366" max="4366" width="10.42578125" style="23" customWidth="1"/>
    <col min="4367" max="4367" width="11" style="23" customWidth="1"/>
    <col min="4368" max="4368" width="11.85546875" style="23" customWidth="1"/>
    <col min="4369" max="4369" width="11.42578125" style="23" customWidth="1"/>
    <col min="4370" max="4608" width="9.140625" style="23"/>
    <col min="4609" max="4609" width="0.28515625" style="23" customWidth="1"/>
    <col min="4610" max="4610" width="1.140625" style="23" customWidth="1"/>
    <col min="4611" max="4611" width="2.140625" style="23" customWidth="1"/>
    <col min="4612" max="4612" width="1.28515625" style="23" customWidth="1"/>
    <col min="4613" max="4613" width="21.7109375" style="23" customWidth="1"/>
    <col min="4614" max="4614" width="10.28515625" style="23" customWidth="1"/>
    <col min="4615" max="4615" width="10.42578125" style="23" customWidth="1"/>
    <col min="4616" max="4616" width="10.7109375" style="23" customWidth="1"/>
    <col min="4617" max="4617" width="10.28515625" style="23" customWidth="1"/>
    <col min="4618" max="4619" width="10.7109375" style="23" customWidth="1"/>
    <col min="4620" max="4620" width="10.85546875" style="23" customWidth="1"/>
    <col min="4621" max="4621" width="10.28515625" style="23" customWidth="1"/>
    <col min="4622" max="4622" width="10.42578125" style="23" customWidth="1"/>
    <col min="4623" max="4623" width="11" style="23" customWidth="1"/>
    <col min="4624" max="4624" width="11.85546875" style="23" customWidth="1"/>
    <col min="4625" max="4625" width="11.42578125" style="23" customWidth="1"/>
    <col min="4626" max="4864" width="9.140625" style="23"/>
    <col min="4865" max="4865" width="0.28515625" style="23" customWidth="1"/>
    <col min="4866" max="4866" width="1.140625" style="23" customWidth="1"/>
    <col min="4867" max="4867" width="2.140625" style="23" customWidth="1"/>
    <col min="4868" max="4868" width="1.28515625" style="23" customWidth="1"/>
    <col min="4869" max="4869" width="21.7109375" style="23" customWidth="1"/>
    <col min="4870" max="4870" width="10.28515625" style="23" customWidth="1"/>
    <col min="4871" max="4871" width="10.42578125" style="23" customWidth="1"/>
    <col min="4872" max="4872" width="10.7109375" style="23" customWidth="1"/>
    <col min="4873" max="4873" width="10.28515625" style="23" customWidth="1"/>
    <col min="4874" max="4875" width="10.7109375" style="23" customWidth="1"/>
    <col min="4876" max="4876" width="10.85546875" style="23" customWidth="1"/>
    <col min="4877" max="4877" width="10.28515625" style="23" customWidth="1"/>
    <col min="4878" max="4878" width="10.42578125" style="23" customWidth="1"/>
    <col min="4879" max="4879" width="11" style="23" customWidth="1"/>
    <col min="4880" max="4880" width="11.85546875" style="23" customWidth="1"/>
    <col min="4881" max="4881" width="11.42578125" style="23" customWidth="1"/>
    <col min="4882" max="5120" width="9.140625" style="23"/>
    <col min="5121" max="5121" width="0.28515625" style="23" customWidth="1"/>
    <col min="5122" max="5122" width="1.140625" style="23" customWidth="1"/>
    <col min="5123" max="5123" width="2.140625" style="23" customWidth="1"/>
    <col min="5124" max="5124" width="1.28515625" style="23" customWidth="1"/>
    <col min="5125" max="5125" width="21.7109375" style="23" customWidth="1"/>
    <col min="5126" max="5126" width="10.28515625" style="23" customWidth="1"/>
    <col min="5127" max="5127" width="10.42578125" style="23" customWidth="1"/>
    <col min="5128" max="5128" width="10.7109375" style="23" customWidth="1"/>
    <col min="5129" max="5129" width="10.28515625" style="23" customWidth="1"/>
    <col min="5130" max="5131" width="10.7109375" style="23" customWidth="1"/>
    <col min="5132" max="5132" width="10.85546875" style="23" customWidth="1"/>
    <col min="5133" max="5133" width="10.28515625" style="23" customWidth="1"/>
    <col min="5134" max="5134" width="10.42578125" style="23" customWidth="1"/>
    <col min="5135" max="5135" width="11" style="23" customWidth="1"/>
    <col min="5136" max="5136" width="11.85546875" style="23" customWidth="1"/>
    <col min="5137" max="5137" width="11.42578125" style="23" customWidth="1"/>
    <col min="5138" max="5376" width="9.140625" style="23"/>
    <col min="5377" max="5377" width="0.28515625" style="23" customWidth="1"/>
    <col min="5378" max="5378" width="1.140625" style="23" customWidth="1"/>
    <col min="5379" max="5379" width="2.140625" style="23" customWidth="1"/>
    <col min="5380" max="5380" width="1.28515625" style="23" customWidth="1"/>
    <col min="5381" max="5381" width="21.7109375" style="23" customWidth="1"/>
    <col min="5382" max="5382" width="10.28515625" style="23" customWidth="1"/>
    <col min="5383" max="5383" width="10.42578125" style="23" customWidth="1"/>
    <col min="5384" max="5384" width="10.7109375" style="23" customWidth="1"/>
    <col min="5385" max="5385" width="10.28515625" style="23" customWidth="1"/>
    <col min="5386" max="5387" width="10.7109375" style="23" customWidth="1"/>
    <col min="5388" max="5388" width="10.85546875" style="23" customWidth="1"/>
    <col min="5389" max="5389" width="10.28515625" style="23" customWidth="1"/>
    <col min="5390" max="5390" width="10.42578125" style="23" customWidth="1"/>
    <col min="5391" max="5391" width="11" style="23" customWidth="1"/>
    <col min="5392" max="5392" width="11.85546875" style="23" customWidth="1"/>
    <col min="5393" max="5393" width="11.42578125" style="23" customWidth="1"/>
    <col min="5394" max="5632" width="9.140625" style="23"/>
    <col min="5633" max="5633" width="0.28515625" style="23" customWidth="1"/>
    <col min="5634" max="5634" width="1.140625" style="23" customWidth="1"/>
    <col min="5635" max="5635" width="2.140625" style="23" customWidth="1"/>
    <col min="5636" max="5636" width="1.28515625" style="23" customWidth="1"/>
    <col min="5637" max="5637" width="21.7109375" style="23" customWidth="1"/>
    <col min="5638" max="5638" width="10.28515625" style="23" customWidth="1"/>
    <col min="5639" max="5639" width="10.42578125" style="23" customWidth="1"/>
    <col min="5640" max="5640" width="10.7109375" style="23" customWidth="1"/>
    <col min="5641" max="5641" width="10.28515625" style="23" customWidth="1"/>
    <col min="5642" max="5643" width="10.7109375" style="23" customWidth="1"/>
    <col min="5644" max="5644" width="10.85546875" style="23" customWidth="1"/>
    <col min="5645" max="5645" width="10.28515625" style="23" customWidth="1"/>
    <col min="5646" max="5646" width="10.42578125" style="23" customWidth="1"/>
    <col min="5647" max="5647" width="11" style="23" customWidth="1"/>
    <col min="5648" max="5648" width="11.85546875" style="23" customWidth="1"/>
    <col min="5649" max="5649" width="11.42578125" style="23" customWidth="1"/>
    <col min="5650" max="5888" width="9.140625" style="23"/>
    <col min="5889" max="5889" width="0.28515625" style="23" customWidth="1"/>
    <col min="5890" max="5890" width="1.140625" style="23" customWidth="1"/>
    <col min="5891" max="5891" width="2.140625" style="23" customWidth="1"/>
    <col min="5892" max="5892" width="1.28515625" style="23" customWidth="1"/>
    <col min="5893" max="5893" width="21.7109375" style="23" customWidth="1"/>
    <col min="5894" max="5894" width="10.28515625" style="23" customWidth="1"/>
    <col min="5895" max="5895" width="10.42578125" style="23" customWidth="1"/>
    <col min="5896" max="5896" width="10.7109375" style="23" customWidth="1"/>
    <col min="5897" max="5897" width="10.28515625" style="23" customWidth="1"/>
    <col min="5898" max="5899" width="10.7109375" style="23" customWidth="1"/>
    <col min="5900" max="5900" width="10.85546875" style="23" customWidth="1"/>
    <col min="5901" max="5901" width="10.28515625" style="23" customWidth="1"/>
    <col min="5902" max="5902" width="10.42578125" style="23" customWidth="1"/>
    <col min="5903" max="5903" width="11" style="23" customWidth="1"/>
    <col min="5904" max="5904" width="11.85546875" style="23" customWidth="1"/>
    <col min="5905" max="5905" width="11.42578125" style="23" customWidth="1"/>
    <col min="5906" max="6144" width="9.140625" style="23"/>
    <col min="6145" max="6145" width="0.28515625" style="23" customWidth="1"/>
    <col min="6146" max="6146" width="1.140625" style="23" customWidth="1"/>
    <col min="6147" max="6147" width="2.140625" style="23" customWidth="1"/>
    <col min="6148" max="6148" width="1.28515625" style="23" customWidth="1"/>
    <col min="6149" max="6149" width="21.7109375" style="23" customWidth="1"/>
    <col min="6150" max="6150" width="10.28515625" style="23" customWidth="1"/>
    <col min="6151" max="6151" width="10.42578125" style="23" customWidth="1"/>
    <col min="6152" max="6152" width="10.7109375" style="23" customWidth="1"/>
    <col min="6153" max="6153" width="10.28515625" style="23" customWidth="1"/>
    <col min="6154" max="6155" width="10.7109375" style="23" customWidth="1"/>
    <col min="6156" max="6156" width="10.85546875" style="23" customWidth="1"/>
    <col min="6157" max="6157" width="10.28515625" style="23" customWidth="1"/>
    <col min="6158" max="6158" width="10.42578125" style="23" customWidth="1"/>
    <col min="6159" max="6159" width="11" style="23" customWidth="1"/>
    <col min="6160" max="6160" width="11.85546875" style="23" customWidth="1"/>
    <col min="6161" max="6161" width="11.42578125" style="23" customWidth="1"/>
    <col min="6162" max="6400" width="9.140625" style="23"/>
    <col min="6401" max="6401" width="0.28515625" style="23" customWidth="1"/>
    <col min="6402" max="6402" width="1.140625" style="23" customWidth="1"/>
    <col min="6403" max="6403" width="2.140625" style="23" customWidth="1"/>
    <col min="6404" max="6404" width="1.28515625" style="23" customWidth="1"/>
    <col min="6405" max="6405" width="21.7109375" style="23" customWidth="1"/>
    <col min="6406" max="6406" width="10.28515625" style="23" customWidth="1"/>
    <col min="6407" max="6407" width="10.42578125" style="23" customWidth="1"/>
    <col min="6408" max="6408" width="10.7109375" style="23" customWidth="1"/>
    <col min="6409" max="6409" width="10.28515625" style="23" customWidth="1"/>
    <col min="6410" max="6411" width="10.7109375" style="23" customWidth="1"/>
    <col min="6412" max="6412" width="10.85546875" style="23" customWidth="1"/>
    <col min="6413" max="6413" width="10.28515625" style="23" customWidth="1"/>
    <col min="6414" max="6414" width="10.42578125" style="23" customWidth="1"/>
    <col min="6415" max="6415" width="11" style="23" customWidth="1"/>
    <col min="6416" max="6416" width="11.85546875" style="23" customWidth="1"/>
    <col min="6417" max="6417" width="11.42578125" style="23" customWidth="1"/>
    <col min="6418" max="6656" width="9.140625" style="23"/>
    <col min="6657" max="6657" width="0.28515625" style="23" customWidth="1"/>
    <col min="6658" max="6658" width="1.140625" style="23" customWidth="1"/>
    <col min="6659" max="6659" width="2.140625" style="23" customWidth="1"/>
    <col min="6660" max="6660" width="1.28515625" style="23" customWidth="1"/>
    <col min="6661" max="6661" width="21.7109375" style="23" customWidth="1"/>
    <col min="6662" max="6662" width="10.28515625" style="23" customWidth="1"/>
    <col min="6663" max="6663" width="10.42578125" style="23" customWidth="1"/>
    <col min="6664" max="6664" width="10.7109375" style="23" customWidth="1"/>
    <col min="6665" max="6665" width="10.28515625" style="23" customWidth="1"/>
    <col min="6666" max="6667" width="10.7109375" style="23" customWidth="1"/>
    <col min="6668" max="6668" width="10.85546875" style="23" customWidth="1"/>
    <col min="6669" max="6669" width="10.28515625" style="23" customWidth="1"/>
    <col min="6670" max="6670" width="10.42578125" style="23" customWidth="1"/>
    <col min="6671" max="6671" width="11" style="23" customWidth="1"/>
    <col min="6672" max="6672" width="11.85546875" style="23" customWidth="1"/>
    <col min="6673" max="6673" width="11.42578125" style="23" customWidth="1"/>
    <col min="6674" max="6912" width="9.140625" style="23"/>
    <col min="6913" max="6913" width="0.28515625" style="23" customWidth="1"/>
    <col min="6914" max="6914" width="1.140625" style="23" customWidth="1"/>
    <col min="6915" max="6915" width="2.140625" style="23" customWidth="1"/>
    <col min="6916" max="6916" width="1.28515625" style="23" customWidth="1"/>
    <col min="6917" max="6917" width="21.7109375" style="23" customWidth="1"/>
    <col min="6918" max="6918" width="10.28515625" style="23" customWidth="1"/>
    <col min="6919" max="6919" width="10.42578125" style="23" customWidth="1"/>
    <col min="6920" max="6920" width="10.7109375" style="23" customWidth="1"/>
    <col min="6921" max="6921" width="10.28515625" style="23" customWidth="1"/>
    <col min="6922" max="6923" width="10.7109375" style="23" customWidth="1"/>
    <col min="6924" max="6924" width="10.85546875" style="23" customWidth="1"/>
    <col min="6925" max="6925" width="10.28515625" style="23" customWidth="1"/>
    <col min="6926" max="6926" width="10.42578125" style="23" customWidth="1"/>
    <col min="6927" max="6927" width="11" style="23" customWidth="1"/>
    <col min="6928" max="6928" width="11.85546875" style="23" customWidth="1"/>
    <col min="6929" max="6929" width="11.42578125" style="23" customWidth="1"/>
    <col min="6930" max="7168" width="9.140625" style="23"/>
    <col min="7169" max="7169" width="0.28515625" style="23" customWidth="1"/>
    <col min="7170" max="7170" width="1.140625" style="23" customWidth="1"/>
    <col min="7171" max="7171" width="2.140625" style="23" customWidth="1"/>
    <col min="7172" max="7172" width="1.28515625" style="23" customWidth="1"/>
    <col min="7173" max="7173" width="21.7109375" style="23" customWidth="1"/>
    <col min="7174" max="7174" width="10.28515625" style="23" customWidth="1"/>
    <col min="7175" max="7175" width="10.42578125" style="23" customWidth="1"/>
    <col min="7176" max="7176" width="10.7109375" style="23" customWidth="1"/>
    <col min="7177" max="7177" width="10.28515625" style="23" customWidth="1"/>
    <col min="7178" max="7179" width="10.7109375" style="23" customWidth="1"/>
    <col min="7180" max="7180" width="10.85546875" style="23" customWidth="1"/>
    <col min="7181" max="7181" width="10.28515625" style="23" customWidth="1"/>
    <col min="7182" max="7182" width="10.42578125" style="23" customWidth="1"/>
    <col min="7183" max="7183" width="11" style="23" customWidth="1"/>
    <col min="7184" max="7184" width="11.85546875" style="23" customWidth="1"/>
    <col min="7185" max="7185" width="11.42578125" style="23" customWidth="1"/>
    <col min="7186" max="7424" width="9.140625" style="23"/>
    <col min="7425" max="7425" width="0.28515625" style="23" customWidth="1"/>
    <col min="7426" max="7426" width="1.140625" style="23" customWidth="1"/>
    <col min="7427" max="7427" width="2.140625" style="23" customWidth="1"/>
    <col min="7428" max="7428" width="1.28515625" style="23" customWidth="1"/>
    <col min="7429" max="7429" width="21.7109375" style="23" customWidth="1"/>
    <col min="7430" max="7430" width="10.28515625" style="23" customWidth="1"/>
    <col min="7431" max="7431" width="10.42578125" style="23" customWidth="1"/>
    <col min="7432" max="7432" width="10.7109375" style="23" customWidth="1"/>
    <col min="7433" max="7433" width="10.28515625" style="23" customWidth="1"/>
    <col min="7434" max="7435" width="10.7109375" style="23" customWidth="1"/>
    <col min="7436" max="7436" width="10.85546875" style="23" customWidth="1"/>
    <col min="7437" max="7437" width="10.28515625" style="23" customWidth="1"/>
    <col min="7438" max="7438" width="10.42578125" style="23" customWidth="1"/>
    <col min="7439" max="7439" width="11" style="23" customWidth="1"/>
    <col min="7440" max="7440" width="11.85546875" style="23" customWidth="1"/>
    <col min="7441" max="7441" width="11.42578125" style="23" customWidth="1"/>
    <col min="7442" max="7680" width="9.140625" style="23"/>
    <col min="7681" max="7681" width="0.28515625" style="23" customWidth="1"/>
    <col min="7682" max="7682" width="1.140625" style="23" customWidth="1"/>
    <col min="7683" max="7683" width="2.140625" style="23" customWidth="1"/>
    <col min="7684" max="7684" width="1.28515625" style="23" customWidth="1"/>
    <col min="7685" max="7685" width="21.7109375" style="23" customWidth="1"/>
    <col min="7686" max="7686" width="10.28515625" style="23" customWidth="1"/>
    <col min="7687" max="7687" width="10.42578125" style="23" customWidth="1"/>
    <col min="7688" max="7688" width="10.7109375" style="23" customWidth="1"/>
    <col min="7689" max="7689" width="10.28515625" style="23" customWidth="1"/>
    <col min="7690" max="7691" width="10.7109375" style="23" customWidth="1"/>
    <col min="7692" max="7692" width="10.85546875" style="23" customWidth="1"/>
    <col min="7693" max="7693" width="10.28515625" style="23" customWidth="1"/>
    <col min="7694" max="7694" width="10.42578125" style="23" customWidth="1"/>
    <col min="7695" max="7695" width="11" style="23" customWidth="1"/>
    <col min="7696" max="7696" width="11.85546875" style="23" customWidth="1"/>
    <col min="7697" max="7697" width="11.42578125" style="23" customWidth="1"/>
    <col min="7698" max="7936" width="9.140625" style="23"/>
    <col min="7937" max="7937" width="0.28515625" style="23" customWidth="1"/>
    <col min="7938" max="7938" width="1.140625" style="23" customWidth="1"/>
    <col min="7939" max="7939" width="2.140625" style="23" customWidth="1"/>
    <col min="7940" max="7940" width="1.28515625" style="23" customWidth="1"/>
    <col min="7941" max="7941" width="21.7109375" style="23" customWidth="1"/>
    <col min="7942" max="7942" width="10.28515625" style="23" customWidth="1"/>
    <col min="7943" max="7943" width="10.42578125" style="23" customWidth="1"/>
    <col min="7944" max="7944" width="10.7109375" style="23" customWidth="1"/>
    <col min="7945" max="7945" width="10.28515625" style="23" customWidth="1"/>
    <col min="7946" max="7947" width="10.7109375" style="23" customWidth="1"/>
    <col min="7948" max="7948" width="10.85546875" style="23" customWidth="1"/>
    <col min="7949" max="7949" width="10.28515625" style="23" customWidth="1"/>
    <col min="7950" max="7950" width="10.42578125" style="23" customWidth="1"/>
    <col min="7951" max="7951" width="11" style="23" customWidth="1"/>
    <col min="7952" max="7952" width="11.85546875" style="23" customWidth="1"/>
    <col min="7953" max="7953" width="11.42578125" style="23" customWidth="1"/>
    <col min="7954" max="8192" width="9.140625" style="23"/>
    <col min="8193" max="8193" width="0.28515625" style="23" customWidth="1"/>
    <col min="8194" max="8194" width="1.140625" style="23" customWidth="1"/>
    <col min="8195" max="8195" width="2.140625" style="23" customWidth="1"/>
    <col min="8196" max="8196" width="1.28515625" style="23" customWidth="1"/>
    <col min="8197" max="8197" width="21.7109375" style="23" customWidth="1"/>
    <col min="8198" max="8198" width="10.28515625" style="23" customWidth="1"/>
    <col min="8199" max="8199" width="10.42578125" style="23" customWidth="1"/>
    <col min="8200" max="8200" width="10.7109375" style="23" customWidth="1"/>
    <col min="8201" max="8201" width="10.28515625" style="23" customWidth="1"/>
    <col min="8202" max="8203" width="10.7109375" style="23" customWidth="1"/>
    <col min="8204" max="8204" width="10.85546875" style="23" customWidth="1"/>
    <col min="8205" max="8205" width="10.28515625" style="23" customWidth="1"/>
    <col min="8206" max="8206" width="10.42578125" style="23" customWidth="1"/>
    <col min="8207" max="8207" width="11" style="23" customWidth="1"/>
    <col min="8208" max="8208" width="11.85546875" style="23" customWidth="1"/>
    <col min="8209" max="8209" width="11.42578125" style="23" customWidth="1"/>
    <col min="8210" max="8448" width="9.140625" style="23"/>
    <col min="8449" max="8449" width="0.28515625" style="23" customWidth="1"/>
    <col min="8450" max="8450" width="1.140625" style="23" customWidth="1"/>
    <col min="8451" max="8451" width="2.140625" style="23" customWidth="1"/>
    <col min="8452" max="8452" width="1.28515625" style="23" customWidth="1"/>
    <col min="8453" max="8453" width="21.7109375" style="23" customWidth="1"/>
    <col min="8454" max="8454" width="10.28515625" style="23" customWidth="1"/>
    <col min="8455" max="8455" width="10.42578125" style="23" customWidth="1"/>
    <col min="8456" max="8456" width="10.7109375" style="23" customWidth="1"/>
    <col min="8457" max="8457" width="10.28515625" style="23" customWidth="1"/>
    <col min="8458" max="8459" width="10.7109375" style="23" customWidth="1"/>
    <col min="8460" max="8460" width="10.85546875" style="23" customWidth="1"/>
    <col min="8461" max="8461" width="10.28515625" style="23" customWidth="1"/>
    <col min="8462" max="8462" width="10.42578125" style="23" customWidth="1"/>
    <col min="8463" max="8463" width="11" style="23" customWidth="1"/>
    <col min="8464" max="8464" width="11.85546875" style="23" customWidth="1"/>
    <col min="8465" max="8465" width="11.42578125" style="23" customWidth="1"/>
    <col min="8466" max="8704" width="9.140625" style="23"/>
    <col min="8705" max="8705" width="0.28515625" style="23" customWidth="1"/>
    <col min="8706" max="8706" width="1.140625" style="23" customWidth="1"/>
    <col min="8707" max="8707" width="2.140625" style="23" customWidth="1"/>
    <col min="8708" max="8708" width="1.28515625" style="23" customWidth="1"/>
    <col min="8709" max="8709" width="21.7109375" style="23" customWidth="1"/>
    <col min="8710" max="8710" width="10.28515625" style="23" customWidth="1"/>
    <col min="8711" max="8711" width="10.42578125" style="23" customWidth="1"/>
    <col min="8712" max="8712" width="10.7109375" style="23" customWidth="1"/>
    <col min="8713" max="8713" width="10.28515625" style="23" customWidth="1"/>
    <col min="8714" max="8715" width="10.7109375" style="23" customWidth="1"/>
    <col min="8716" max="8716" width="10.85546875" style="23" customWidth="1"/>
    <col min="8717" max="8717" width="10.28515625" style="23" customWidth="1"/>
    <col min="8718" max="8718" width="10.42578125" style="23" customWidth="1"/>
    <col min="8719" max="8719" width="11" style="23" customWidth="1"/>
    <col min="8720" max="8720" width="11.85546875" style="23" customWidth="1"/>
    <col min="8721" max="8721" width="11.42578125" style="23" customWidth="1"/>
    <col min="8722" max="8960" width="9.140625" style="23"/>
    <col min="8961" max="8961" width="0.28515625" style="23" customWidth="1"/>
    <col min="8962" max="8962" width="1.140625" style="23" customWidth="1"/>
    <col min="8963" max="8963" width="2.140625" style="23" customWidth="1"/>
    <col min="8964" max="8964" width="1.28515625" style="23" customWidth="1"/>
    <col min="8965" max="8965" width="21.7109375" style="23" customWidth="1"/>
    <col min="8966" max="8966" width="10.28515625" style="23" customWidth="1"/>
    <col min="8967" max="8967" width="10.42578125" style="23" customWidth="1"/>
    <col min="8968" max="8968" width="10.7109375" style="23" customWidth="1"/>
    <col min="8969" max="8969" width="10.28515625" style="23" customWidth="1"/>
    <col min="8970" max="8971" width="10.7109375" style="23" customWidth="1"/>
    <col min="8972" max="8972" width="10.85546875" style="23" customWidth="1"/>
    <col min="8973" max="8973" width="10.28515625" style="23" customWidth="1"/>
    <col min="8974" max="8974" width="10.42578125" style="23" customWidth="1"/>
    <col min="8975" max="8975" width="11" style="23" customWidth="1"/>
    <col min="8976" max="8976" width="11.85546875" style="23" customWidth="1"/>
    <col min="8977" max="8977" width="11.42578125" style="23" customWidth="1"/>
    <col min="8978" max="9216" width="9.140625" style="23"/>
    <col min="9217" max="9217" width="0.28515625" style="23" customWidth="1"/>
    <col min="9218" max="9218" width="1.140625" style="23" customWidth="1"/>
    <col min="9219" max="9219" width="2.140625" style="23" customWidth="1"/>
    <col min="9220" max="9220" width="1.28515625" style="23" customWidth="1"/>
    <col min="9221" max="9221" width="21.7109375" style="23" customWidth="1"/>
    <col min="9222" max="9222" width="10.28515625" style="23" customWidth="1"/>
    <col min="9223" max="9223" width="10.42578125" style="23" customWidth="1"/>
    <col min="9224" max="9224" width="10.7109375" style="23" customWidth="1"/>
    <col min="9225" max="9225" width="10.28515625" style="23" customWidth="1"/>
    <col min="9226" max="9227" width="10.7109375" style="23" customWidth="1"/>
    <col min="9228" max="9228" width="10.85546875" style="23" customWidth="1"/>
    <col min="9229" max="9229" width="10.28515625" style="23" customWidth="1"/>
    <col min="9230" max="9230" width="10.42578125" style="23" customWidth="1"/>
    <col min="9231" max="9231" width="11" style="23" customWidth="1"/>
    <col min="9232" max="9232" width="11.85546875" style="23" customWidth="1"/>
    <col min="9233" max="9233" width="11.42578125" style="23" customWidth="1"/>
    <col min="9234" max="9472" width="9.140625" style="23"/>
    <col min="9473" max="9473" width="0.28515625" style="23" customWidth="1"/>
    <col min="9474" max="9474" width="1.140625" style="23" customWidth="1"/>
    <col min="9475" max="9475" width="2.140625" style="23" customWidth="1"/>
    <col min="9476" max="9476" width="1.28515625" style="23" customWidth="1"/>
    <col min="9477" max="9477" width="21.7109375" style="23" customWidth="1"/>
    <col min="9478" max="9478" width="10.28515625" style="23" customWidth="1"/>
    <col min="9479" max="9479" width="10.42578125" style="23" customWidth="1"/>
    <col min="9480" max="9480" width="10.7109375" style="23" customWidth="1"/>
    <col min="9481" max="9481" width="10.28515625" style="23" customWidth="1"/>
    <col min="9482" max="9483" width="10.7109375" style="23" customWidth="1"/>
    <col min="9484" max="9484" width="10.85546875" style="23" customWidth="1"/>
    <col min="9485" max="9485" width="10.28515625" style="23" customWidth="1"/>
    <col min="9486" max="9486" width="10.42578125" style="23" customWidth="1"/>
    <col min="9487" max="9487" width="11" style="23" customWidth="1"/>
    <col min="9488" max="9488" width="11.85546875" style="23" customWidth="1"/>
    <col min="9489" max="9489" width="11.42578125" style="23" customWidth="1"/>
    <col min="9490" max="9728" width="9.140625" style="23"/>
    <col min="9729" max="9729" width="0.28515625" style="23" customWidth="1"/>
    <col min="9730" max="9730" width="1.140625" style="23" customWidth="1"/>
    <col min="9731" max="9731" width="2.140625" style="23" customWidth="1"/>
    <col min="9732" max="9732" width="1.28515625" style="23" customWidth="1"/>
    <col min="9733" max="9733" width="21.7109375" style="23" customWidth="1"/>
    <col min="9734" max="9734" width="10.28515625" style="23" customWidth="1"/>
    <col min="9735" max="9735" width="10.42578125" style="23" customWidth="1"/>
    <col min="9736" max="9736" width="10.7109375" style="23" customWidth="1"/>
    <col min="9737" max="9737" width="10.28515625" style="23" customWidth="1"/>
    <col min="9738" max="9739" width="10.7109375" style="23" customWidth="1"/>
    <col min="9740" max="9740" width="10.85546875" style="23" customWidth="1"/>
    <col min="9741" max="9741" width="10.28515625" style="23" customWidth="1"/>
    <col min="9742" max="9742" width="10.42578125" style="23" customWidth="1"/>
    <col min="9743" max="9743" width="11" style="23" customWidth="1"/>
    <col min="9744" max="9744" width="11.85546875" style="23" customWidth="1"/>
    <col min="9745" max="9745" width="11.42578125" style="23" customWidth="1"/>
    <col min="9746" max="9984" width="9.140625" style="23"/>
    <col min="9985" max="9985" width="0.28515625" style="23" customWidth="1"/>
    <col min="9986" max="9986" width="1.140625" style="23" customWidth="1"/>
    <col min="9987" max="9987" width="2.140625" style="23" customWidth="1"/>
    <col min="9988" max="9988" width="1.28515625" style="23" customWidth="1"/>
    <col min="9989" max="9989" width="21.7109375" style="23" customWidth="1"/>
    <col min="9990" max="9990" width="10.28515625" style="23" customWidth="1"/>
    <col min="9991" max="9991" width="10.42578125" style="23" customWidth="1"/>
    <col min="9992" max="9992" width="10.7109375" style="23" customWidth="1"/>
    <col min="9993" max="9993" width="10.28515625" style="23" customWidth="1"/>
    <col min="9994" max="9995" width="10.7109375" style="23" customWidth="1"/>
    <col min="9996" max="9996" width="10.85546875" style="23" customWidth="1"/>
    <col min="9997" max="9997" width="10.28515625" style="23" customWidth="1"/>
    <col min="9998" max="9998" width="10.42578125" style="23" customWidth="1"/>
    <col min="9999" max="9999" width="11" style="23" customWidth="1"/>
    <col min="10000" max="10000" width="11.85546875" style="23" customWidth="1"/>
    <col min="10001" max="10001" width="11.42578125" style="23" customWidth="1"/>
    <col min="10002" max="10240" width="9.140625" style="23"/>
    <col min="10241" max="10241" width="0.28515625" style="23" customWidth="1"/>
    <col min="10242" max="10242" width="1.140625" style="23" customWidth="1"/>
    <col min="10243" max="10243" width="2.140625" style="23" customWidth="1"/>
    <col min="10244" max="10244" width="1.28515625" style="23" customWidth="1"/>
    <col min="10245" max="10245" width="21.7109375" style="23" customWidth="1"/>
    <col min="10246" max="10246" width="10.28515625" style="23" customWidth="1"/>
    <col min="10247" max="10247" width="10.42578125" style="23" customWidth="1"/>
    <col min="10248" max="10248" width="10.7109375" style="23" customWidth="1"/>
    <col min="10249" max="10249" width="10.28515625" style="23" customWidth="1"/>
    <col min="10250" max="10251" width="10.7109375" style="23" customWidth="1"/>
    <col min="10252" max="10252" width="10.85546875" style="23" customWidth="1"/>
    <col min="10253" max="10253" width="10.28515625" style="23" customWidth="1"/>
    <col min="10254" max="10254" width="10.42578125" style="23" customWidth="1"/>
    <col min="10255" max="10255" width="11" style="23" customWidth="1"/>
    <col min="10256" max="10256" width="11.85546875" style="23" customWidth="1"/>
    <col min="10257" max="10257" width="11.42578125" style="23" customWidth="1"/>
    <col min="10258" max="10496" width="9.140625" style="23"/>
    <col min="10497" max="10497" width="0.28515625" style="23" customWidth="1"/>
    <col min="10498" max="10498" width="1.140625" style="23" customWidth="1"/>
    <col min="10499" max="10499" width="2.140625" style="23" customWidth="1"/>
    <col min="10500" max="10500" width="1.28515625" style="23" customWidth="1"/>
    <col min="10501" max="10501" width="21.7109375" style="23" customWidth="1"/>
    <col min="10502" max="10502" width="10.28515625" style="23" customWidth="1"/>
    <col min="10503" max="10503" width="10.42578125" style="23" customWidth="1"/>
    <col min="10504" max="10504" width="10.7109375" style="23" customWidth="1"/>
    <col min="10505" max="10505" width="10.28515625" style="23" customWidth="1"/>
    <col min="10506" max="10507" width="10.7109375" style="23" customWidth="1"/>
    <col min="10508" max="10508" width="10.85546875" style="23" customWidth="1"/>
    <col min="10509" max="10509" width="10.28515625" style="23" customWidth="1"/>
    <col min="10510" max="10510" width="10.42578125" style="23" customWidth="1"/>
    <col min="10511" max="10511" width="11" style="23" customWidth="1"/>
    <col min="10512" max="10512" width="11.85546875" style="23" customWidth="1"/>
    <col min="10513" max="10513" width="11.42578125" style="23" customWidth="1"/>
    <col min="10514" max="10752" width="9.140625" style="23"/>
    <col min="10753" max="10753" width="0.28515625" style="23" customWidth="1"/>
    <col min="10754" max="10754" width="1.140625" style="23" customWidth="1"/>
    <col min="10755" max="10755" width="2.140625" style="23" customWidth="1"/>
    <col min="10756" max="10756" width="1.28515625" style="23" customWidth="1"/>
    <col min="10757" max="10757" width="21.7109375" style="23" customWidth="1"/>
    <col min="10758" max="10758" width="10.28515625" style="23" customWidth="1"/>
    <col min="10759" max="10759" width="10.42578125" style="23" customWidth="1"/>
    <col min="10760" max="10760" width="10.7109375" style="23" customWidth="1"/>
    <col min="10761" max="10761" width="10.28515625" style="23" customWidth="1"/>
    <col min="10762" max="10763" width="10.7109375" style="23" customWidth="1"/>
    <col min="10764" max="10764" width="10.85546875" style="23" customWidth="1"/>
    <col min="10765" max="10765" width="10.28515625" style="23" customWidth="1"/>
    <col min="10766" max="10766" width="10.42578125" style="23" customWidth="1"/>
    <col min="10767" max="10767" width="11" style="23" customWidth="1"/>
    <col min="10768" max="10768" width="11.85546875" style="23" customWidth="1"/>
    <col min="10769" max="10769" width="11.42578125" style="23" customWidth="1"/>
    <col min="10770" max="11008" width="9.140625" style="23"/>
    <col min="11009" max="11009" width="0.28515625" style="23" customWidth="1"/>
    <col min="11010" max="11010" width="1.140625" style="23" customWidth="1"/>
    <col min="11011" max="11011" width="2.140625" style="23" customWidth="1"/>
    <col min="11012" max="11012" width="1.28515625" style="23" customWidth="1"/>
    <col min="11013" max="11013" width="21.7109375" style="23" customWidth="1"/>
    <col min="11014" max="11014" width="10.28515625" style="23" customWidth="1"/>
    <col min="11015" max="11015" width="10.42578125" style="23" customWidth="1"/>
    <col min="11016" max="11016" width="10.7109375" style="23" customWidth="1"/>
    <col min="11017" max="11017" width="10.28515625" style="23" customWidth="1"/>
    <col min="11018" max="11019" width="10.7109375" style="23" customWidth="1"/>
    <col min="11020" max="11020" width="10.85546875" style="23" customWidth="1"/>
    <col min="11021" max="11021" width="10.28515625" style="23" customWidth="1"/>
    <col min="11022" max="11022" width="10.42578125" style="23" customWidth="1"/>
    <col min="11023" max="11023" width="11" style="23" customWidth="1"/>
    <col min="11024" max="11024" width="11.85546875" style="23" customWidth="1"/>
    <col min="11025" max="11025" width="11.42578125" style="23" customWidth="1"/>
    <col min="11026" max="11264" width="9.140625" style="23"/>
    <col min="11265" max="11265" width="0.28515625" style="23" customWidth="1"/>
    <col min="11266" max="11266" width="1.140625" style="23" customWidth="1"/>
    <col min="11267" max="11267" width="2.140625" style="23" customWidth="1"/>
    <col min="11268" max="11268" width="1.28515625" style="23" customWidth="1"/>
    <col min="11269" max="11269" width="21.7109375" style="23" customWidth="1"/>
    <col min="11270" max="11270" width="10.28515625" style="23" customWidth="1"/>
    <col min="11271" max="11271" width="10.42578125" style="23" customWidth="1"/>
    <col min="11272" max="11272" width="10.7109375" style="23" customWidth="1"/>
    <col min="11273" max="11273" width="10.28515625" style="23" customWidth="1"/>
    <col min="11274" max="11275" width="10.7109375" style="23" customWidth="1"/>
    <col min="11276" max="11276" width="10.85546875" style="23" customWidth="1"/>
    <col min="11277" max="11277" width="10.28515625" style="23" customWidth="1"/>
    <col min="11278" max="11278" width="10.42578125" style="23" customWidth="1"/>
    <col min="11279" max="11279" width="11" style="23" customWidth="1"/>
    <col min="11280" max="11280" width="11.85546875" style="23" customWidth="1"/>
    <col min="11281" max="11281" width="11.42578125" style="23" customWidth="1"/>
    <col min="11282" max="11520" width="9.140625" style="23"/>
    <col min="11521" max="11521" width="0.28515625" style="23" customWidth="1"/>
    <col min="11522" max="11522" width="1.140625" style="23" customWidth="1"/>
    <col min="11523" max="11523" width="2.140625" style="23" customWidth="1"/>
    <col min="11524" max="11524" width="1.28515625" style="23" customWidth="1"/>
    <col min="11525" max="11525" width="21.7109375" style="23" customWidth="1"/>
    <col min="11526" max="11526" width="10.28515625" style="23" customWidth="1"/>
    <col min="11527" max="11527" width="10.42578125" style="23" customWidth="1"/>
    <col min="11528" max="11528" width="10.7109375" style="23" customWidth="1"/>
    <col min="11529" max="11529" width="10.28515625" style="23" customWidth="1"/>
    <col min="11530" max="11531" width="10.7109375" style="23" customWidth="1"/>
    <col min="11532" max="11532" width="10.85546875" style="23" customWidth="1"/>
    <col min="11533" max="11533" width="10.28515625" style="23" customWidth="1"/>
    <col min="11534" max="11534" width="10.42578125" style="23" customWidth="1"/>
    <col min="11535" max="11535" width="11" style="23" customWidth="1"/>
    <col min="11536" max="11536" width="11.85546875" style="23" customWidth="1"/>
    <col min="11537" max="11537" width="11.42578125" style="23" customWidth="1"/>
    <col min="11538" max="11776" width="9.140625" style="23"/>
    <col min="11777" max="11777" width="0.28515625" style="23" customWidth="1"/>
    <col min="11778" max="11778" width="1.140625" style="23" customWidth="1"/>
    <col min="11779" max="11779" width="2.140625" style="23" customWidth="1"/>
    <col min="11780" max="11780" width="1.28515625" style="23" customWidth="1"/>
    <col min="11781" max="11781" width="21.7109375" style="23" customWidth="1"/>
    <col min="11782" max="11782" width="10.28515625" style="23" customWidth="1"/>
    <col min="11783" max="11783" width="10.42578125" style="23" customWidth="1"/>
    <col min="11784" max="11784" width="10.7109375" style="23" customWidth="1"/>
    <col min="11785" max="11785" width="10.28515625" style="23" customWidth="1"/>
    <col min="11786" max="11787" width="10.7109375" style="23" customWidth="1"/>
    <col min="11788" max="11788" width="10.85546875" style="23" customWidth="1"/>
    <col min="11789" max="11789" width="10.28515625" style="23" customWidth="1"/>
    <col min="11790" max="11790" width="10.42578125" style="23" customWidth="1"/>
    <col min="11791" max="11791" width="11" style="23" customWidth="1"/>
    <col min="11792" max="11792" width="11.85546875" style="23" customWidth="1"/>
    <col min="11793" max="11793" width="11.42578125" style="23" customWidth="1"/>
    <col min="11794" max="12032" width="9.140625" style="23"/>
    <col min="12033" max="12033" width="0.28515625" style="23" customWidth="1"/>
    <col min="12034" max="12034" width="1.140625" style="23" customWidth="1"/>
    <col min="12035" max="12035" width="2.140625" style="23" customWidth="1"/>
    <col min="12036" max="12036" width="1.28515625" style="23" customWidth="1"/>
    <col min="12037" max="12037" width="21.7109375" style="23" customWidth="1"/>
    <col min="12038" max="12038" width="10.28515625" style="23" customWidth="1"/>
    <col min="12039" max="12039" width="10.42578125" style="23" customWidth="1"/>
    <col min="12040" max="12040" width="10.7109375" style="23" customWidth="1"/>
    <col min="12041" max="12041" width="10.28515625" style="23" customWidth="1"/>
    <col min="12042" max="12043" width="10.7109375" style="23" customWidth="1"/>
    <col min="12044" max="12044" width="10.85546875" style="23" customWidth="1"/>
    <col min="12045" max="12045" width="10.28515625" style="23" customWidth="1"/>
    <col min="12046" max="12046" width="10.42578125" style="23" customWidth="1"/>
    <col min="12047" max="12047" width="11" style="23" customWidth="1"/>
    <col min="12048" max="12048" width="11.85546875" style="23" customWidth="1"/>
    <col min="12049" max="12049" width="11.42578125" style="23" customWidth="1"/>
    <col min="12050" max="12288" width="9.140625" style="23"/>
    <col min="12289" max="12289" width="0.28515625" style="23" customWidth="1"/>
    <col min="12290" max="12290" width="1.140625" style="23" customWidth="1"/>
    <col min="12291" max="12291" width="2.140625" style="23" customWidth="1"/>
    <col min="12292" max="12292" width="1.28515625" style="23" customWidth="1"/>
    <col min="12293" max="12293" width="21.7109375" style="23" customWidth="1"/>
    <col min="12294" max="12294" width="10.28515625" style="23" customWidth="1"/>
    <col min="12295" max="12295" width="10.42578125" style="23" customWidth="1"/>
    <col min="12296" max="12296" width="10.7109375" style="23" customWidth="1"/>
    <col min="12297" max="12297" width="10.28515625" style="23" customWidth="1"/>
    <col min="12298" max="12299" width="10.7109375" style="23" customWidth="1"/>
    <col min="12300" max="12300" width="10.85546875" style="23" customWidth="1"/>
    <col min="12301" max="12301" width="10.28515625" style="23" customWidth="1"/>
    <col min="12302" max="12302" width="10.42578125" style="23" customWidth="1"/>
    <col min="12303" max="12303" width="11" style="23" customWidth="1"/>
    <col min="12304" max="12304" width="11.85546875" style="23" customWidth="1"/>
    <col min="12305" max="12305" width="11.42578125" style="23" customWidth="1"/>
    <col min="12306" max="12544" width="9.140625" style="23"/>
    <col min="12545" max="12545" width="0.28515625" style="23" customWidth="1"/>
    <col min="12546" max="12546" width="1.140625" style="23" customWidth="1"/>
    <col min="12547" max="12547" width="2.140625" style="23" customWidth="1"/>
    <col min="12548" max="12548" width="1.28515625" style="23" customWidth="1"/>
    <col min="12549" max="12549" width="21.7109375" style="23" customWidth="1"/>
    <col min="12550" max="12550" width="10.28515625" style="23" customWidth="1"/>
    <col min="12551" max="12551" width="10.42578125" style="23" customWidth="1"/>
    <col min="12552" max="12552" width="10.7109375" style="23" customWidth="1"/>
    <col min="12553" max="12553" width="10.28515625" style="23" customWidth="1"/>
    <col min="12554" max="12555" width="10.7109375" style="23" customWidth="1"/>
    <col min="12556" max="12556" width="10.85546875" style="23" customWidth="1"/>
    <col min="12557" max="12557" width="10.28515625" style="23" customWidth="1"/>
    <col min="12558" max="12558" width="10.42578125" style="23" customWidth="1"/>
    <col min="12559" max="12559" width="11" style="23" customWidth="1"/>
    <col min="12560" max="12560" width="11.85546875" style="23" customWidth="1"/>
    <col min="12561" max="12561" width="11.42578125" style="23" customWidth="1"/>
    <col min="12562" max="12800" width="9.140625" style="23"/>
    <col min="12801" max="12801" width="0.28515625" style="23" customWidth="1"/>
    <col min="12802" max="12802" width="1.140625" style="23" customWidth="1"/>
    <col min="12803" max="12803" width="2.140625" style="23" customWidth="1"/>
    <col min="12804" max="12804" width="1.28515625" style="23" customWidth="1"/>
    <col min="12805" max="12805" width="21.7109375" style="23" customWidth="1"/>
    <col min="12806" max="12806" width="10.28515625" style="23" customWidth="1"/>
    <col min="12807" max="12807" width="10.42578125" style="23" customWidth="1"/>
    <col min="12808" max="12808" width="10.7109375" style="23" customWidth="1"/>
    <col min="12809" max="12809" width="10.28515625" style="23" customWidth="1"/>
    <col min="12810" max="12811" width="10.7109375" style="23" customWidth="1"/>
    <col min="12812" max="12812" width="10.85546875" style="23" customWidth="1"/>
    <col min="12813" max="12813" width="10.28515625" style="23" customWidth="1"/>
    <col min="12814" max="12814" width="10.42578125" style="23" customWidth="1"/>
    <col min="12815" max="12815" width="11" style="23" customWidth="1"/>
    <col min="12816" max="12816" width="11.85546875" style="23" customWidth="1"/>
    <col min="12817" max="12817" width="11.42578125" style="23" customWidth="1"/>
    <col min="12818" max="13056" width="9.140625" style="23"/>
    <col min="13057" max="13057" width="0.28515625" style="23" customWidth="1"/>
    <col min="13058" max="13058" width="1.140625" style="23" customWidth="1"/>
    <col min="13059" max="13059" width="2.140625" style="23" customWidth="1"/>
    <col min="13060" max="13060" width="1.28515625" style="23" customWidth="1"/>
    <col min="13061" max="13061" width="21.7109375" style="23" customWidth="1"/>
    <col min="13062" max="13062" width="10.28515625" style="23" customWidth="1"/>
    <col min="13063" max="13063" width="10.42578125" style="23" customWidth="1"/>
    <col min="13064" max="13064" width="10.7109375" style="23" customWidth="1"/>
    <col min="13065" max="13065" width="10.28515625" style="23" customWidth="1"/>
    <col min="13066" max="13067" width="10.7109375" style="23" customWidth="1"/>
    <col min="13068" max="13068" width="10.85546875" style="23" customWidth="1"/>
    <col min="13069" max="13069" width="10.28515625" style="23" customWidth="1"/>
    <col min="13070" max="13070" width="10.42578125" style="23" customWidth="1"/>
    <col min="13071" max="13071" width="11" style="23" customWidth="1"/>
    <col min="13072" max="13072" width="11.85546875" style="23" customWidth="1"/>
    <col min="13073" max="13073" width="11.42578125" style="23" customWidth="1"/>
    <col min="13074" max="13312" width="9.140625" style="23"/>
    <col min="13313" max="13313" width="0.28515625" style="23" customWidth="1"/>
    <col min="13314" max="13314" width="1.140625" style="23" customWidth="1"/>
    <col min="13315" max="13315" width="2.140625" style="23" customWidth="1"/>
    <col min="13316" max="13316" width="1.28515625" style="23" customWidth="1"/>
    <col min="13317" max="13317" width="21.7109375" style="23" customWidth="1"/>
    <col min="13318" max="13318" width="10.28515625" style="23" customWidth="1"/>
    <col min="13319" max="13319" width="10.42578125" style="23" customWidth="1"/>
    <col min="13320" max="13320" width="10.7109375" style="23" customWidth="1"/>
    <col min="13321" max="13321" width="10.28515625" style="23" customWidth="1"/>
    <col min="13322" max="13323" width="10.7109375" style="23" customWidth="1"/>
    <col min="13324" max="13324" width="10.85546875" style="23" customWidth="1"/>
    <col min="13325" max="13325" width="10.28515625" style="23" customWidth="1"/>
    <col min="13326" max="13326" width="10.42578125" style="23" customWidth="1"/>
    <col min="13327" max="13327" width="11" style="23" customWidth="1"/>
    <col min="13328" max="13328" width="11.85546875" style="23" customWidth="1"/>
    <col min="13329" max="13329" width="11.42578125" style="23" customWidth="1"/>
    <col min="13330" max="13568" width="9.140625" style="23"/>
    <col min="13569" max="13569" width="0.28515625" style="23" customWidth="1"/>
    <col min="13570" max="13570" width="1.140625" style="23" customWidth="1"/>
    <col min="13571" max="13571" width="2.140625" style="23" customWidth="1"/>
    <col min="13572" max="13572" width="1.28515625" style="23" customWidth="1"/>
    <col min="13573" max="13573" width="21.7109375" style="23" customWidth="1"/>
    <col min="13574" max="13574" width="10.28515625" style="23" customWidth="1"/>
    <col min="13575" max="13575" width="10.42578125" style="23" customWidth="1"/>
    <col min="13576" max="13576" width="10.7109375" style="23" customWidth="1"/>
    <col min="13577" max="13577" width="10.28515625" style="23" customWidth="1"/>
    <col min="13578" max="13579" width="10.7109375" style="23" customWidth="1"/>
    <col min="13580" max="13580" width="10.85546875" style="23" customWidth="1"/>
    <col min="13581" max="13581" width="10.28515625" style="23" customWidth="1"/>
    <col min="13582" max="13582" width="10.42578125" style="23" customWidth="1"/>
    <col min="13583" max="13583" width="11" style="23" customWidth="1"/>
    <col min="13584" max="13584" width="11.85546875" style="23" customWidth="1"/>
    <col min="13585" max="13585" width="11.42578125" style="23" customWidth="1"/>
    <col min="13586" max="13824" width="9.140625" style="23"/>
    <col min="13825" max="13825" width="0.28515625" style="23" customWidth="1"/>
    <col min="13826" max="13826" width="1.140625" style="23" customWidth="1"/>
    <col min="13827" max="13827" width="2.140625" style="23" customWidth="1"/>
    <col min="13828" max="13828" width="1.28515625" style="23" customWidth="1"/>
    <col min="13829" max="13829" width="21.7109375" style="23" customWidth="1"/>
    <col min="13830" max="13830" width="10.28515625" style="23" customWidth="1"/>
    <col min="13831" max="13831" width="10.42578125" style="23" customWidth="1"/>
    <col min="13832" max="13832" width="10.7109375" style="23" customWidth="1"/>
    <col min="13833" max="13833" width="10.28515625" style="23" customWidth="1"/>
    <col min="13834" max="13835" width="10.7109375" style="23" customWidth="1"/>
    <col min="13836" max="13836" width="10.85546875" style="23" customWidth="1"/>
    <col min="13837" max="13837" width="10.28515625" style="23" customWidth="1"/>
    <col min="13838" max="13838" width="10.42578125" style="23" customWidth="1"/>
    <col min="13839" max="13839" width="11" style="23" customWidth="1"/>
    <col min="13840" max="13840" width="11.85546875" style="23" customWidth="1"/>
    <col min="13841" max="13841" width="11.42578125" style="23" customWidth="1"/>
    <col min="13842" max="14080" width="9.140625" style="23"/>
    <col min="14081" max="14081" width="0.28515625" style="23" customWidth="1"/>
    <col min="14082" max="14082" width="1.140625" style="23" customWidth="1"/>
    <col min="14083" max="14083" width="2.140625" style="23" customWidth="1"/>
    <col min="14084" max="14084" width="1.28515625" style="23" customWidth="1"/>
    <col min="14085" max="14085" width="21.7109375" style="23" customWidth="1"/>
    <col min="14086" max="14086" width="10.28515625" style="23" customWidth="1"/>
    <col min="14087" max="14087" width="10.42578125" style="23" customWidth="1"/>
    <col min="14088" max="14088" width="10.7109375" style="23" customWidth="1"/>
    <col min="14089" max="14089" width="10.28515625" style="23" customWidth="1"/>
    <col min="14090" max="14091" width="10.7109375" style="23" customWidth="1"/>
    <col min="14092" max="14092" width="10.85546875" style="23" customWidth="1"/>
    <col min="14093" max="14093" width="10.28515625" style="23" customWidth="1"/>
    <col min="14094" max="14094" width="10.42578125" style="23" customWidth="1"/>
    <col min="14095" max="14095" width="11" style="23" customWidth="1"/>
    <col min="14096" max="14096" width="11.85546875" style="23" customWidth="1"/>
    <col min="14097" max="14097" width="11.42578125" style="23" customWidth="1"/>
    <col min="14098" max="14336" width="9.140625" style="23"/>
    <col min="14337" max="14337" width="0.28515625" style="23" customWidth="1"/>
    <col min="14338" max="14338" width="1.140625" style="23" customWidth="1"/>
    <col min="14339" max="14339" width="2.140625" style="23" customWidth="1"/>
    <col min="14340" max="14340" width="1.28515625" style="23" customWidth="1"/>
    <col min="14341" max="14341" width="21.7109375" style="23" customWidth="1"/>
    <col min="14342" max="14342" width="10.28515625" style="23" customWidth="1"/>
    <col min="14343" max="14343" width="10.42578125" style="23" customWidth="1"/>
    <col min="14344" max="14344" width="10.7109375" style="23" customWidth="1"/>
    <col min="14345" max="14345" width="10.28515625" style="23" customWidth="1"/>
    <col min="14346" max="14347" width="10.7109375" style="23" customWidth="1"/>
    <col min="14348" max="14348" width="10.85546875" style="23" customWidth="1"/>
    <col min="14349" max="14349" width="10.28515625" style="23" customWidth="1"/>
    <col min="14350" max="14350" width="10.42578125" style="23" customWidth="1"/>
    <col min="14351" max="14351" width="11" style="23" customWidth="1"/>
    <col min="14352" max="14352" width="11.85546875" style="23" customWidth="1"/>
    <col min="14353" max="14353" width="11.42578125" style="23" customWidth="1"/>
    <col min="14354" max="14592" width="9.140625" style="23"/>
    <col min="14593" max="14593" width="0.28515625" style="23" customWidth="1"/>
    <col min="14594" max="14594" width="1.140625" style="23" customWidth="1"/>
    <col min="14595" max="14595" width="2.140625" style="23" customWidth="1"/>
    <col min="14596" max="14596" width="1.28515625" style="23" customWidth="1"/>
    <col min="14597" max="14597" width="21.7109375" style="23" customWidth="1"/>
    <col min="14598" max="14598" width="10.28515625" style="23" customWidth="1"/>
    <col min="14599" max="14599" width="10.42578125" style="23" customWidth="1"/>
    <col min="14600" max="14600" width="10.7109375" style="23" customWidth="1"/>
    <col min="14601" max="14601" width="10.28515625" style="23" customWidth="1"/>
    <col min="14602" max="14603" width="10.7109375" style="23" customWidth="1"/>
    <col min="14604" max="14604" width="10.85546875" style="23" customWidth="1"/>
    <col min="14605" max="14605" width="10.28515625" style="23" customWidth="1"/>
    <col min="14606" max="14606" width="10.42578125" style="23" customWidth="1"/>
    <col min="14607" max="14607" width="11" style="23" customWidth="1"/>
    <col min="14608" max="14608" width="11.85546875" style="23" customWidth="1"/>
    <col min="14609" max="14609" width="11.42578125" style="23" customWidth="1"/>
    <col min="14610" max="14848" width="9.140625" style="23"/>
    <col min="14849" max="14849" width="0.28515625" style="23" customWidth="1"/>
    <col min="14850" max="14850" width="1.140625" style="23" customWidth="1"/>
    <col min="14851" max="14851" width="2.140625" style="23" customWidth="1"/>
    <col min="14852" max="14852" width="1.28515625" style="23" customWidth="1"/>
    <col min="14853" max="14853" width="21.7109375" style="23" customWidth="1"/>
    <col min="14854" max="14854" width="10.28515625" style="23" customWidth="1"/>
    <col min="14855" max="14855" width="10.42578125" style="23" customWidth="1"/>
    <col min="14856" max="14856" width="10.7109375" style="23" customWidth="1"/>
    <col min="14857" max="14857" width="10.28515625" style="23" customWidth="1"/>
    <col min="14858" max="14859" width="10.7109375" style="23" customWidth="1"/>
    <col min="14860" max="14860" width="10.85546875" style="23" customWidth="1"/>
    <col min="14861" max="14861" width="10.28515625" style="23" customWidth="1"/>
    <col min="14862" max="14862" width="10.42578125" style="23" customWidth="1"/>
    <col min="14863" max="14863" width="11" style="23" customWidth="1"/>
    <col min="14864" max="14864" width="11.85546875" style="23" customWidth="1"/>
    <col min="14865" max="14865" width="11.42578125" style="23" customWidth="1"/>
    <col min="14866" max="15104" width="9.140625" style="23"/>
    <col min="15105" max="15105" width="0.28515625" style="23" customWidth="1"/>
    <col min="15106" max="15106" width="1.140625" style="23" customWidth="1"/>
    <col min="15107" max="15107" width="2.140625" style="23" customWidth="1"/>
    <col min="15108" max="15108" width="1.28515625" style="23" customWidth="1"/>
    <col min="15109" max="15109" width="21.7109375" style="23" customWidth="1"/>
    <col min="15110" max="15110" width="10.28515625" style="23" customWidth="1"/>
    <col min="15111" max="15111" width="10.42578125" style="23" customWidth="1"/>
    <col min="15112" max="15112" width="10.7109375" style="23" customWidth="1"/>
    <col min="15113" max="15113" width="10.28515625" style="23" customWidth="1"/>
    <col min="15114" max="15115" width="10.7109375" style="23" customWidth="1"/>
    <col min="15116" max="15116" width="10.85546875" style="23" customWidth="1"/>
    <col min="15117" max="15117" width="10.28515625" style="23" customWidth="1"/>
    <col min="15118" max="15118" width="10.42578125" style="23" customWidth="1"/>
    <col min="15119" max="15119" width="11" style="23" customWidth="1"/>
    <col min="15120" max="15120" width="11.85546875" style="23" customWidth="1"/>
    <col min="15121" max="15121" width="11.42578125" style="23" customWidth="1"/>
    <col min="15122" max="15360" width="9.140625" style="23"/>
    <col min="15361" max="15361" width="0.28515625" style="23" customWidth="1"/>
    <col min="15362" max="15362" width="1.140625" style="23" customWidth="1"/>
    <col min="15363" max="15363" width="2.140625" style="23" customWidth="1"/>
    <col min="15364" max="15364" width="1.28515625" style="23" customWidth="1"/>
    <col min="15365" max="15365" width="21.7109375" style="23" customWidth="1"/>
    <col min="15366" max="15366" width="10.28515625" style="23" customWidth="1"/>
    <col min="15367" max="15367" width="10.42578125" style="23" customWidth="1"/>
    <col min="15368" max="15368" width="10.7109375" style="23" customWidth="1"/>
    <col min="15369" max="15369" width="10.28515625" style="23" customWidth="1"/>
    <col min="15370" max="15371" width="10.7109375" style="23" customWidth="1"/>
    <col min="15372" max="15372" width="10.85546875" style="23" customWidth="1"/>
    <col min="15373" max="15373" width="10.28515625" style="23" customWidth="1"/>
    <col min="15374" max="15374" width="10.42578125" style="23" customWidth="1"/>
    <col min="15375" max="15375" width="11" style="23" customWidth="1"/>
    <col min="15376" max="15376" width="11.85546875" style="23" customWidth="1"/>
    <col min="15377" max="15377" width="11.42578125" style="23" customWidth="1"/>
    <col min="15378" max="15616" width="9.140625" style="23"/>
    <col min="15617" max="15617" width="0.28515625" style="23" customWidth="1"/>
    <col min="15618" max="15618" width="1.140625" style="23" customWidth="1"/>
    <col min="15619" max="15619" width="2.140625" style="23" customWidth="1"/>
    <col min="15620" max="15620" width="1.28515625" style="23" customWidth="1"/>
    <col min="15621" max="15621" width="21.7109375" style="23" customWidth="1"/>
    <col min="15622" max="15622" width="10.28515625" style="23" customWidth="1"/>
    <col min="15623" max="15623" width="10.42578125" style="23" customWidth="1"/>
    <col min="15624" max="15624" width="10.7109375" style="23" customWidth="1"/>
    <col min="15625" max="15625" width="10.28515625" style="23" customWidth="1"/>
    <col min="15626" max="15627" width="10.7109375" style="23" customWidth="1"/>
    <col min="15628" max="15628" width="10.85546875" style="23" customWidth="1"/>
    <col min="15629" max="15629" width="10.28515625" style="23" customWidth="1"/>
    <col min="15630" max="15630" width="10.42578125" style="23" customWidth="1"/>
    <col min="15631" max="15631" width="11" style="23" customWidth="1"/>
    <col min="15632" max="15632" width="11.85546875" style="23" customWidth="1"/>
    <col min="15633" max="15633" width="11.42578125" style="23" customWidth="1"/>
    <col min="15634" max="15872" width="9.140625" style="23"/>
    <col min="15873" max="15873" width="0.28515625" style="23" customWidth="1"/>
    <col min="15874" max="15874" width="1.140625" style="23" customWidth="1"/>
    <col min="15875" max="15875" width="2.140625" style="23" customWidth="1"/>
    <col min="15876" max="15876" width="1.28515625" style="23" customWidth="1"/>
    <col min="15877" max="15877" width="21.7109375" style="23" customWidth="1"/>
    <col min="15878" max="15878" width="10.28515625" style="23" customWidth="1"/>
    <col min="15879" max="15879" width="10.42578125" style="23" customWidth="1"/>
    <col min="15880" max="15880" width="10.7109375" style="23" customWidth="1"/>
    <col min="15881" max="15881" width="10.28515625" style="23" customWidth="1"/>
    <col min="15882" max="15883" width="10.7109375" style="23" customWidth="1"/>
    <col min="15884" max="15884" width="10.85546875" style="23" customWidth="1"/>
    <col min="15885" max="15885" width="10.28515625" style="23" customWidth="1"/>
    <col min="15886" max="15886" width="10.42578125" style="23" customWidth="1"/>
    <col min="15887" max="15887" width="11" style="23" customWidth="1"/>
    <col min="15888" max="15888" width="11.85546875" style="23" customWidth="1"/>
    <col min="15889" max="15889" width="11.42578125" style="23" customWidth="1"/>
    <col min="15890" max="16128" width="9.140625" style="23"/>
    <col min="16129" max="16129" width="0.28515625" style="23" customWidth="1"/>
    <col min="16130" max="16130" width="1.140625" style="23" customWidth="1"/>
    <col min="16131" max="16131" width="2.140625" style="23" customWidth="1"/>
    <col min="16132" max="16132" width="1.28515625" style="23" customWidth="1"/>
    <col min="16133" max="16133" width="21.7109375" style="23" customWidth="1"/>
    <col min="16134" max="16134" width="10.28515625" style="23" customWidth="1"/>
    <col min="16135" max="16135" width="10.42578125" style="23" customWidth="1"/>
    <col min="16136" max="16136" width="10.7109375" style="23" customWidth="1"/>
    <col min="16137" max="16137" width="10.28515625" style="23" customWidth="1"/>
    <col min="16138" max="16139" width="10.7109375" style="23" customWidth="1"/>
    <col min="16140" max="16140" width="10.85546875" style="23" customWidth="1"/>
    <col min="16141" max="16141" width="10.28515625" style="23" customWidth="1"/>
    <col min="16142" max="16142" width="10.42578125" style="23" customWidth="1"/>
    <col min="16143" max="16143" width="11" style="23" customWidth="1"/>
    <col min="16144" max="16144" width="11.85546875" style="23" customWidth="1"/>
    <col min="16145" max="16145" width="11.42578125" style="23" customWidth="1"/>
    <col min="16146" max="16384" width="9.140625" style="23"/>
  </cols>
  <sheetData>
    <row r="1" spans="1:17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x14ac:dyDescent="0.25">
      <c r="A2" s="96" t="s">
        <v>216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22.5" customHeight="1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7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7" ht="15" x14ac:dyDescent="0.25">
      <c r="A7" s="27" t="s">
        <v>107</v>
      </c>
      <c r="B7" s="27"/>
      <c r="C7" s="27"/>
      <c r="D7" s="27"/>
      <c r="E7" s="27"/>
      <c r="F7" s="6">
        <f t="shared" ref="F7:Q7" si="0">+F9+F71</f>
        <v>1471026</v>
      </c>
      <c r="G7" s="6">
        <f t="shared" si="0"/>
        <v>1455940</v>
      </c>
      <c r="H7" s="6">
        <f t="shared" si="0"/>
        <v>1470551.3859999999</v>
      </c>
      <c r="I7" s="6">
        <f t="shared" si="0"/>
        <v>1521480.912</v>
      </c>
      <c r="J7" s="6">
        <f t="shared" si="0"/>
        <v>1520180.5690000001</v>
      </c>
      <c r="K7" s="6">
        <f t="shared" si="0"/>
        <v>1540643.5179999999</v>
      </c>
      <c r="L7" s="6">
        <f t="shared" si="0"/>
        <v>1645127.365</v>
      </c>
      <c r="M7" s="6">
        <f t="shared" si="0"/>
        <v>1654264.2799999996</v>
      </c>
      <c r="N7" s="6">
        <f t="shared" si="0"/>
        <v>1654288</v>
      </c>
      <c r="O7" s="6">
        <f t="shared" si="0"/>
        <v>1716768</v>
      </c>
      <c r="P7" s="6">
        <f t="shared" si="0"/>
        <v>1717278</v>
      </c>
      <c r="Q7" s="6">
        <f t="shared" si="0"/>
        <v>1706199.9199999997</v>
      </c>
    </row>
    <row r="8" spans="1:17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x14ac:dyDescent="0.25">
      <c r="B9" s="27" t="s">
        <v>108</v>
      </c>
      <c r="C9" s="27"/>
      <c r="D9" s="27"/>
      <c r="E9" s="27"/>
      <c r="F9" s="8">
        <f t="shared" ref="F9:P9" si="1">+F10+F28+F63+F65+F67+F69</f>
        <v>1452231</v>
      </c>
      <c r="G9" s="8">
        <f t="shared" si="1"/>
        <v>1437150</v>
      </c>
      <c r="H9" s="8">
        <f t="shared" si="1"/>
        <v>1451793.3859999999</v>
      </c>
      <c r="I9" s="8">
        <f t="shared" si="1"/>
        <v>1502772.845</v>
      </c>
      <c r="J9" s="8">
        <f t="shared" si="1"/>
        <v>1501503.5690000001</v>
      </c>
      <c r="K9" s="8">
        <f t="shared" si="1"/>
        <v>1521977.5179999999</v>
      </c>
      <c r="L9" s="8">
        <f t="shared" si="1"/>
        <v>1626470.9750000001</v>
      </c>
      <c r="M9" s="8">
        <f t="shared" si="1"/>
        <v>1635636.2799999996</v>
      </c>
      <c r="N9" s="8">
        <f t="shared" si="1"/>
        <v>1635688</v>
      </c>
      <c r="O9" s="8">
        <f t="shared" si="1"/>
        <v>1698204</v>
      </c>
      <c r="P9" s="8">
        <f t="shared" si="1"/>
        <v>1696992</v>
      </c>
      <c r="Q9" s="8">
        <f>+Q10+Q28+Q60+Q63+Q65+Q67+Q69</f>
        <v>1685924.3849999998</v>
      </c>
    </row>
    <row r="10" spans="1:17" ht="15" x14ac:dyDescent="0.25">
      <c r="B10" s="27"/>
      <c r="C10" s="27" t="s">
        <v>24</v>
      </c>
      <c r="D10" s="27"/>
      <c r="E10" s="27"/>
      <c r="F10" s="8">
        <f t="shared" ref="F10:Q10" si="2">+F11+F17</f>
        <v>1134870</v>
      </c>
      <c r="G10" s="8">
        <f t="shared" si="2"/>
        <v>1119636</v>
      </c>
      <c r="H10" s="8">
        <f t="shared" si="2"/>
        <v>1135149.3859999999</v>
      </c>
      <c r="I10" s="8">
        <f t="shared" si="2"/>
        <v>1180662.4309999999</v>
      </c>
      <c r="J10" s="8">
        <f t="shared" si="2"/>
        <v>1171371.331</v>
      </c>
      <c r="K10" s="8">
        <f t="shared" si="2"/>
        <v>1191736.031</v>
      </c>
      <c r="L10" s="8">
        <f t="shared" si="2"/>
        <v>1221486.831</v>
      </c>
      <c r="M10" s="8">
        <f t="shared" si="2"/>
        <v>1230521.8309999998</v>
      </c>
      <c r="N10" s="8">
        <f t="shared" si="2"/>
        <v>1210361</v>
      </c>
      <c r="O10" s="8">
        <f t="shared" si="2"/>
        <v>1272684</v>
      </c>
      <c r="P10" s="8">
        <f t="shared" si="2"/>
        <v>1275250</v>
      </c>
      <c r="Q10" s="8">
        <f t="shared" si="2"/>
        <v>1226947.5579999997</v>
      </c>
    </row>
    <row r="11" spans="1:17" ht="15" x14ac:dyDescent="0.25">
      <c r="B11" s="29"/>
      <c r="C11" s="29"/>
      <c r="D11" s="29" t="s">
        <v>109</v>
      </c>
      <c r="E11" s="29"/>
      <c r="F11" s="8">
        <f t="shared" ref="F11:Q11" si="3">SUM(F13:F16)</f>
        <v>412681</v>
      </c>
      <c r="G11" s="8">
        <f t="shared" si="3"/>
        <v>422120</v>
      </c>
      <c r="H11" s="8">
        <f t="shared" si="3"/>
        <v>441320</v>
      </c>
      <c r="I11" s="8">
        <f t="shared" si="3"/>
        <v>475865.7</v>
      </c>
      <c r="J11" s="8">
        <f t="shared" si="3"/>
        <v>477657.1</v>
      </c>
      <c r="K11" s="8">
        <f t="shared" si="3"/>
        <v>487953.4</v>
      </c>
      <c r="L11" s="8">
        <f t="shared" si="3"/>
        <v>507093.9</v>
      </c>
      <c r="M11" s="8">
        <f t="shared" si="3"/>
        <v>510084</v>
      </c>
      <c r="N11" s="8">
        <f t="shared" si="3"/>
        <v>487674</v>
      </c>
      <c r="O11" s="8">
        <f t="shared" si="3"/>
        <v>520587</v>
      </c>
      <c r="P11" s="8">
        <f t="shared" si="3"/>
        <v>534629</v>
      </c>
      <c r="Q11" s="8">
        <f t="shared" si="3"/>
        <v>495964</v>
      </c>
    </row>
    <row r="12" spans="1:17" ht="15" x14ac:dyDescent="0.25">
      <c r="A12" s="29"/>
      <c r="B12" s="29"/>
      <c r="C12" s="29"/>
      <c r="D12" s="29"/>
      <c r="E12" s="2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">
      <c r="E13" s="23" t="s">
        <v>104</v>
      </c>
      <c r="F13" s="30">
        <f>32300+65000</f>
        <v>97300</v>
      </c>
      <c r="G13" s="30">
        <f>29219+65000</f>
        <v>94219</v>
      </c>
      <c r="H13" s="30">
        <f>38203+65000</f>
        <v>103203</v>
      </c>
      <c r="I13" s="30">
        <f>47691.8+65000</f>
        <v>112691.8</v>
      </c>
      <c r="J13" s="30">
        <f>61444.9+65000</f>
        <v>126444.9</v>
      </c>
      <c r="K13" s="30">
        <f>56524.3+65000</f>
        <v>121524.3</v>
      </c>
      <c r="L13" s="30">
        <f>46293.1+65000</f>
        <v>111293.1</v>
      </c>
      <c r="M13" s="30">
        <f>26357+65000</f>
        <v>91357</v>
      </c>
      <c r="N13" s="30">
        <v>84746</v>
      </c>
      <c r="O13" s="30">
        <f>24389+65000</f>
        <v>89389</v>
      </c>
      <c r="P13" s="30">
        <f>48626+65000</f>
        <v>113626</v>
      </c>
      <c r="Q13" s="30">
        <f>40018+65000</f>
        <v>105018</v>
      </c>
    </row>
    <row r="14" spans="1:17" x14ac:dyDescent="0.2">
      <c r="E14" s="23" t="s">
        <v>105</v>
      </c>
      <c r="F14" s="30">
        <f>106817+60000</f>
        <v>166817</v>
      </c>
      <c r="G14" s="30">
        <f>104977+60000</f>
        <v>164977</v>
      </c>
      <c r="H14" s="30">
        <f>94243+60000</f>
        <v>154243</v>
      </c>
      <c r="I14" s="30">
        <f>96695.7+60000</f>
        <v>156695.70000000001</v>
      </c>
      <c r="J14" s="30">
        <f>81655.9+60000</f>
        <v>141655.9</v>
      </c>
      <c r="K14" s="30">
        <f>84472.1+60000</f>
        <v>144472.1</v>
      </c>
      <c r="L14" s="30">
        <f>93826.8+60000</f>
        <v>153826.79999999999</v>
      </c>
      <c r="M14" s="30">
        <f>104575+60000</f>
        <v>164575</v>
      </c>
      <c r="N14" s="30">
        <v>145613</v>
      </c>
      <c r="O14" s="30">
        <f>81472+60000</f>
        <v>141472</v>
      </c>
      <c r="P14" s="30">
        <f>84664+60000</f>
        <v>144664</v>
      </c>
      <c r="Q14" s="30">
        <f>72068+60000</f>
        <v>132068</v>
      </c>
    </row>
    <row r="15" spans="1:17" x14ac:dyDescent="0.2">
      <c r="E15" s="23" t="s">
        <v>106</v>
      </c>
      <c r="F15" s="30">
        <f>98996+49568</f>
        <v>148564</v>
      </c>
      <c r="G15" s="30">
        <f>113356+49568</f>
        <v>162924</v>
      </c>
      <c r="H15" s="30">
        <f>134306+49568</f>
        <v>183874</v>
      </c>
      <c r="I15" s="30">
        <f>156910.2+49568</f>
        <v>206478.2</v>
      </c>
      <c r="J15" s="30">
        <f>159988.3+49568</f>
        <v>209556.3</v>
      </c>
      <c r="K15" s="30">
        <f>172389+49568</f>
        <v>221957</v>
      </c>
      <c r="L15" s="30">
        <f>192405.7+49568.3</f>
        <v>241974</v>
      </c>
      <c r="M15" s="30">
        <f>204584+49568</f>
        <v>254152</v>
      </c>
      <c r="N15" s="30">
        <v>257315</v>
      </c>
      <c r="O15" s="30">
        <f>240158+49568</f>
        <v>289726</v>
      </c>
      <c r="P15" s="30">
        <v>276339</v>
      </c>
      <c r="Q15" s="30">
        <f>209310+49568</f>
        <v>258878</v>
      </c>
    </row>
    <row r="16" spans="1:17" x14ac:dyDescent="0.2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x14ac:dyDescent="0.25">
      <c r="B17" s="29"/>
      <c r="C17" s="29"/>
      <c r="D17" s="29" t="s">
        <v>110</v>
      </c>
      <c r="E17" s="29"/>
      <c r="F17" s="8">
        <f t="shared" ref="F17:M17" si="4">SUM(F18:F26)</f>
        <v>722189</v>
      </c>
      <c r="G17" s="8">
        <f t="shared" si="4"/>
        <v>697516</v>
      </c>
      <c r="H17" s="8">
        <f t="shared" si="4"/>
        <v>693829.38600000006</v>
      </c>
      <c r="I17" s="8">
        <f t="shared" si="4"/>
        <v>704796.73099999991</v>
      </c>
      <c r="J17" s="8">
        <f t="shared" si="4"/>
        <v>693714.23100000003</v>
      </c>
      <c r="K17" s="8">
        <f t="shared" si="4"/>
        <v>703782.63100000005</v>
      </c>
      <c r="L17" s="8">
        <f t="shared" si="4"/>
        <v>714392.93099999998</v>
      </c>
      <c r="M17" s="8">
        <f t="shared" si="4"/>
        <v>720437.83099999989</v>
      </c>
      <c r="N17" s="8">
        <f>SUM(N18:N26)-1</f>
        <v>722687</v>
      </c>
      <c r="O17" s="8">
        <f>SUM(O18:O26)</f>
        <v>752097</v>
      </c>
      <c r="P17" s="8">
        <f>SUM(P18:P26)</f>
        <v>740621</v>
      </c>
      <c r="Q17" s="8">
        <f>SUM(Q18:Q26)</f>
        <v>730983.55799999984</v>
      </c>
    </row>
    <row r="18" spans="1:17" x14ac:dyDescent="0.2">
      <c r="E18" s="23" t="s">
        <v>111</v>
      </c>
      <c r="F18" s="30">
        <v>165160</v>
      </c>
      <c r="G18" s="30">
        <v>139280</v>
      </c>
      <c r="H18" s="30">
        <v>141830.39999999999</v>
      </c>
      <c r="I18" s="30">
        <v>141830.39999999999</v>
      </c>
      <c r="J18" s="30">
        <v>101619.2</v>
      </c>
      <c r="K18" s="30">
        <v>104830.39999999999</v>
      </c>
      <c r="L18" s="30">
        <v>109275.2</v>
      </c>
      <c r="M18" s="30">
        <v>109275.2</v>
      </c>
      <c r="N18" s="30">
        <v>112287</v>
      </c>
      <c r="O18" s="30">
        <v>118045</v>
      </c>
      <c r="P18" s="30">
        <v>90386</v>
      </c>
      <c r="Q18" s="30">
        <v>90386.027000000002</v>
      </c>
    </row>
    <row r="19" spans="1:17" x14ac:dyDescent="0.2">
      <c r="E19" s="23" t="s">
        <v>28</v>
      </c>
      <c r="F19" s="30">
        <v>40600</v>
      </c>
      <c r="G19" s="30">
        <v>40600</v>
      </c>
      <c r="H19" s="30">
        <v>40600.300000000003</v>
      </c>
      <c r="I19" s="30">
        <v>51351.199999999997</v>
      </c>
      <c r="J19" s="30">
        <v>56070</v>
      </c>
      <c r="K19" s="30">
        <v>56257.3</v>
      </c>
      <c r="L19" s="30">
        <v>56257.3</v>
      </c>
      <c r="M19" s="30">
        <v>56257.3</v>
      </c>
      <c r="N19" s="30">
        <v>63157</v>
      </c>
      <c r="O19" s="30">
        <v>70670</v>
      </c>
      <c r="P19" s="30">
        <v>73670</v>
      </c>
      <c r="Q19" s="30">
        <v>73669.5</v>
      </c>
    </row>
    <row r="20" spans="1:17" x14ac:dyDescent="0.2">
      <c r="E20" s="23" t="s">
        <v>112</v>
      </c>
      <c r="F20" s="30">
        <v>17499</v>
      </c>
      <c r="G20" s="30">
        <v>17499</v>
      </c>
      <c r="H20" s="30">
        <v>17499.3</v>
      </c>
      <c r="I20" s="30">
        <v>17499.3</v>
      </c>
      <c r="J20" s="30">
        <v>23325.5</v>
      </c>
      <c r="K20" s="30">
        <v>25891.7</v>
      </c>
      <c r="L20" s="30">
        <v>31984.400000000001</v>
      </c>
      <c r="M20" s="30">
        <v>37922.1</v>
      </c>
      <c r="N20" s="30">
        <v>37922</v>
      </c>
      <c r="O20" s="30">
        <v>38422</v>
      </c>
      <c r="P20" s="30">
        <v>48048</v>
      </c>
      <c r="Q20" s="30">
        <v>48048.1</v>
      </c>
    </row>
    <row r="21" spans="1:17" x14ac:dyDescent="0.2">
      <c r="E21" s="23" t="s">
        <v>27</v>
      </c>
      <c r="F21" s="30">
        <v>215926</v>
      </c>
      <c r="G21" s="30">
        <v>215926</v>
      </c>
      <c r="H21" s="30">
        <v>216984.77499999999</v>
      </c>
      <c r="I21" s="30">
        <v>216984.77499999999</v>
      </c>
      <c r="J21" s="30">
        <v>225103.47500000001</v>
      </c>
      <c r="K21" s="30">
        <v>219833.07500000001</v>
      </c>
      <c r="L21" s="30">
        <v>224190.375</v>
      </c>
      <c r="M21" s="30">
        <v>224190.375</v>
      </c>
      <c r="N21" s="30">
        <v>216529</v>
      </c>
      <c r="O21" s="30">
        <v>227436</v>
      </c>
      <c r="P21" s="30">
        <v>230993</v>
      </c>
      <c r="Q21" s="30">
        <v>224361.875</v>
      </c>
    </row>
    <row r="22" spans="1:17" x14ac:dyDescent="0.2">
      <c r="E22" s="23" t="s">
        <v>26</v>
      </c>
      <c r="F22" s="30">
        <v>138933</v>
      </c>
      <c r="G22" s="30">
        <v>135740</v>
      </c>
      <c r="H22" s="30">
        <v>122856.3</v>
      </c>
      <c r="I22" s="30">
        <v>122856.3</v>
      </c>
      <c r="J22" s="30">
        <v>126070.6</v>
      </c>
      <c r="K22" s="30">
        <v>130893.3</v>
      </c>
      <c r="L22" s="30">
        <v>126523.4</v>
      </c>
      <c r="M22" s="30">
        <v>126629.7</v>
      </c>
      <c r="N22" s="30">
        <v>126630</v>
      </c>
      <c r="O22" s="30">
        <v>124629</v>
      </c>
      <c r="P22" s="30">
        <v>124629</v>
      </c>
      <c r="Q22" s="30">
        <v>121622.5</v>
      </c>
    </row>
    <row r="23" spans="1:17" x14ac:dyDescent="0.2">
      <c r="E23" s="23" t="s">
        <v>113</v>
      </c>
      <c r="F23" s="30">
        <v>117769</v>
      </c>
      <c r="G23" s="30">
        <v>117769</v>
      </c>
      <c r="H23" s="30">
        <v>120169</v>
      </c>
      <c r="I23" s="30">
        <v>120385.345</v>
      </c>
      <c r="J23" s="30">
        <v>124151.645</v>
      </c>
      <c r="K23" s="30">
        <v>125202.545</v>
      </c>
      <c r="L23" s="30">
        <v>125281.845</v>
      </c>
      <c r="M23" s="30">
        <f>125281.845</f>
        <v>125281.845</v>
      </c>
      <c r="N23" s="30">
        <v>125282</v>
      </c>
      <c r="O23" s="30">
        <v>128342</v>
      </c>
      <c r="P23" s="30">
        <v>128342</v>
      </c>
      <c r="Q23" s="30">
        <v>128342.44500000001</v>
      </c>
    </row>
    <row r="24" spans="1:17" x14ac:dyDescent="0.2">
      <c r="E24" s="23" t="s">
        <v>114</v>
      </c>
      <c r="F24" s="30">
        <v>18003</v>
      </c>
      <c r="G24" s="30">
        <v>22403</v>
      </c>
      <c r="H24" s="30">
        <v>25590.311000000002</v>
      </c>
      <c r="I24" s="30">
        <v>25590.311000000002</v>
      </c>
      <c r="J24" s="30">
        <v>29074.710999999999</v>
      </c>
      <c r="K24" s="30">
        <v>32575.210999999999</v>
      </c>
      <c r="L24" s="30">
        <v>32581.311000000002</v>
      </c>
      <c r="M24" s="30">
        <v>32582.210999999999</v>
      </c>
      <c r="N24" s="30">
        <v>32582</v>
      </c>
      <c r="O24" s="30">
        <v>36254</v>
      </c>
      <c r="P24" s="30">
        <v>36254</v>
      </c>
      <c r="Q24" s="30">
        <v>36254.010999999999</v>
      </c>
    </row>
    <row r="25" spans="1:17" x14ac:dyDescent="0.2">
      <c r="E25" s="23" t="s">
        <v>115</v>
      </c>
      <c r="F25" s="30">
        <v>8202</v>
      </c>
      <c r="G25" s="30">
        <v>8202</v>
      </c>
      <c r="H25" s="30">
        <v>8202</v>
      </c>
      <c r="I25" s="30">
        <v>8202.1</v>
      </c>
      <c r="J25" s="30">
        <v>8202.1</v>
      </c>
      <c r="K25" s="30">
        <v>8202.1</v>
      </c>
      <c r="L25" s="30">
        <v>8202.1</v>
      </c>
      <c r="M25" s="30">
        <v>8202.1</v>
      </c>
      <c r="N25" s="30">
        <v>8202</v>
      </c>
      <c r="O25" s="30">
        <v>8202</v>
      </c>
      <c r="P25" s="30">
        <v>8202</v>
      </c>
      <c r="Q25" s="30">
        <v>8202.1</v>
      </c>
    </row>
    <row r="26" spans="1:17" x14ac:dyDescent="0.2">
      <c r="E26" s="23" t="s">
        <v>116</v>
      </c>
      <c r="F26" s="30">
        <v>97</v>
      </c>
      <c r="G26" s="30">
        <v>97</v>
      </c>
      <c r="H26" s="30">
        <v>97</v>
      </c>
      <c r="I26" s="30">
        <v>97</v>
      </c>
      <c r="J26" s="30">
        <v>97</v>
      </c>
      <c r="K26" s="30">
        <v>97</v>
      </c>
      <c r="L26" s="30">
        <v>97</v>
      </c>
      <c r="M26" s="30">
        <v>97</v>
      </c>
      <c r="N26" s="30">
        <v>97</v>
      </c>
      <c r="O26" s="30">
        <v>97</v>
      </c>
      <c r="P26" s="30">
        <v>97</v>
      </c>
      <c r="Q26" s="30">
        <v>97</v>
      </c>
    </row>
    <row r="27" spans="1:17" x14ac:dyDescent="0.2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5" x14ac:dyDescent="0.25">
      <c r="B28" s="29"/>
      <c r="C28" s="29" t="s">
        <v>117</v>
      </c>
      <c r="D28" s="29"/>
      <c r="E28" s="29"/>
      <c r="F28" s="8">
        <f t="shared" ref="F28:Q28" si="5">+F29+F35+F37+F39+F45+F51+F53+F58</f>
        <v>223962</v>
      </c>
      <c r="G28" s="8">
        <f t="shared" si="5"/>
        <v>224139</v>
      </c>
      <c r="H28" s="8">
        <f t="shared" si="5"/>
        <v>223866</v>
      </c>
      <c r="I28" s="8">
        <f t="shared" si="5"/>
        <v>229390.48200000002</v>
      </c>
      <c r="J28" s="8">
        <f t="shared" si="5"/>
        <v>237816.85800000001</v>
      </c>
      <c r="K28" s="8">
        <f t="shared" si="5"/>
        <v>237913.04399999999</v>
      </c>
      <c r="L28" s="8">
        <f t="shared" si="5"/>
        <v>312563.59600000002</v>
      </c>
      <c r="M28" s="8">
        <f t="shared" si="5"/>
        <v>312644.326</v>
      </c>
      <c r="N28" s="8">
        <f t="shared" si="5"/>
        <v>332698</v>
      </c>
      <c r="O28" s="8">
        <f t="shared" si="5"/>
        <v>332826</v>
      </c>
      <c r="P28" s="8">
        <f t="shared" si="5"/>
        <v>329205</v>
      </c>
      <c r="Q28" s="8">
        <f t="shared" si="5"/>
        <v>360715.34799999994</v>
      </c>
    </row>
    <row r="29" spans="1:17" ht="15" x14ac:dyDescent="0.25">
      <c r="B29" s="29"/>
      <c r="C29" s="29"/>
      <c r="D29" s="29" t="s">
        <v>118</v>
      </c>
      <c r="E29" s="29"/>
      <c r="F29" s="8">
        <f t="shared" ref="F29:M29" si="6">SUM(F31:F33)</f>
        <v>100924</v>
      </c>
      <c r="G29" s="8">
        <f t="shared" si="6"/>
        <v>100924</v>
      </c>
      <c r="H29" s="8">
        <f t="shared" si="6"/>
        <v>100924</v>
      </c>
      <c r="I29" s="8">
        <f t="shared" si="6"/>
        <v>100923.429</v>
      </c>
      <c r="J29" s="8">
        <f t="shared" si="6"/>
        <v>100923.429</v>
      </c>
      <c r="K29" s="8">
        <f t="shared" si="6"/>
        <v>100923.429</v>
      </c>
      <c r="L29" s="8">
        <f t="shared" si="6"/>
        <v>175236.299</v>
      </c>
      <c r="M29" s="8">
        <f t="shared" si="6"/>
        <v>175236.299</v>
      </c>
      <c r="N29" s="8">
        <f>SUM(N31:N33)</f>
        <v>175236</v>
      </c>
      <c r="O29" s="8">
        <f>SUM(O31:O33)</f>
        <v>175236</v>
      </c>
      <c r="P29" s="8">
        <f>SUM(P31:P33)</f>
        <v>175236</v>
      </c>
      <c r="Q29" s="8">
        <f>SUM(Q31:Q33)</f>
        <v>206784.58899999998</v>
      </c>
    </row>
    <row r="30" spans="1:17" ht="15" x14ac:dyDescent="0.25">
      <c r="A30" s="29"/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">
      <c r="E31" s="23" t="s">
        <v>119</v>
      </c>
      <c r="F31" s="30">
        <v>23260</v>
      </c>
      <c r="G31" s="30">
        <v>23260</v>
      </c>
      <c r="H31" s="30">
        <v>23260</v>
      </c>
      <c r="I31" s="30">
        <v>23259.744999999999</v>
      </c>
      <c r="J31" s="30">
        <v>23259.744999999999</v>
      </c>
      <c r="K31" s="30">
        <v>23259.744999999999</v>
      </c>
      <c r="L31" s="30">
        <v>59946.74</v>
      </c>
      <c r="M31" s="30">
        <v>59946.74</v>
      </c>
      <c r="N31" s="30">
        <v>59946</v>
      </c>
      <c r="O31" s="30">
        <v>59946</v>
      </c>
      <c r="P31" s="30">
        <v>59946</v>
      </c>
      <c r="Q31" s="30">
        <v>91494.73</v>
      </c>
    </row>
    <row r="32" spans="1:17" x14ac:dyDescent="0.2">
      <c r="E32" s="23" t="s">
        <v>120</v>
      </c>
      <c r="F32" s="30">
        <v>37993</v>
      </c>
      <c r="G32" s="30">
        <v>37993</v>
      </c>
      <c r="H32" s="30">
        <v>37993</v>
      </c>
      <c r="I32" s="30">
        <v>37993.159</v>
      </c>
      <c r="J32" s="30">
        <v>37993.159</v>
      </c>
      <c r="K32" s="30">
        <v>37993.159</v>
      </c>
      <c r="L32" s="30">
        <v>37993.159</v>
      </c>
      <c r="M32" s="30">
        <v>37993.159</v>
      </c>
      <c r="N32" s="30">
        <v>37993</v>
      </c>
      <c r="O32" s="30">
        <v>37993</v>
      </c>
      <c r="P32" s="30">
        <v>37993</v>
      </c>
      <c r="Q32" s="30">
        <v>37993.159</v>
      </c>
    </row>
    <row r="33" spans="1:17" x14ac:dyDescent="0.2">
      <c r="E33" s="23" t="s">
        <v>121</v>
      </c>
      <c r="F33" s="30">
        <v>39671</v>
      </c>
      <c r="G33" s="30">
        <v>39671</v>
      </c>
      <c r="H33" s="30">
        <v>39671</v>
      </c>
      <c r="I33" s="30">
        <v>39670.525000000001</v>
      </c>
      <c r="J33" s="30">
        <v>39670.525000000001</v>
      </c>
      <c r="K33" s="30">
        <v>39670.525000000001</v>
      </c>
      <c r="L33" s="30">
        <v>77296.399999999994</v>
      </c>
      <c r="M33" s="30">
        <v>77296.399999999994</v>
      </c>
      <c r="N33" s="30">
        <v>77297</v>
      </c>
      <c r="O33" s="30">
        <v>77297</v>
      </c>
      <c r="P33" s="30">
        <v>77297</v>
      </c>
      <c r="Q33" s="30">
        <v>77296.7</v>
      </c>
    </row>
    <row r="34" spans="1:17" x14ac:dyDescent="0.2"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15" x14ac:dyDescent="0.25">
      <c r="B35" s="29"/>
      <c r="C35" s="29"/>
      <c r="D35" s="29" t="s">
        <v>122</v>
      </c>
      <c r="E35" s="29"/>
      <c r="F35" s="28">
        <v>30260</v>
      </c>
      <c r="G35" s="28">
        <v>30260</v>
      </c>
      <c r="H35" s="28">
        <v>30260</v>
      </c>
      <c r="I35" s="28">
        <v>30260</v>
      </c>
      <c r="J35" s="28">
        <v>30260</v>
      </c>
      <c r="K35" s="28">
        <v>30260</v>
      </c>
      <c r="L35" s="28">
        <v>30260</v>
      </c>
      <c r="M35" s="28">
        <v>30260</v>
      </c>
      <c r="N35" s="28">
        <v>30260</v>
      </c>
      <c r="O35" s="28">
        <v>30260</v>
      </c>
      <c r="P35" s="28">
        <v>30260</v>
      </c>
      <c r="Q35" s="28">
        <v>30260.235000000001</v>
      </c>
    </row>
    <row r="36" spans="1:17" x14ac:dyDescent="0.2"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ht="15" x14ac:dyDescent="0.25">
      <c r="C37" s="29"/>
      <c r="D37" s="29" t="s">
        <v>123</v>
      </c>
      <c r="E37" s="29"/>
      <c r="F37" s="28">
        <v>8000</v>
      </c>
      <c r="G37" s="28">
        <v>8000</v>
      </c>
      <c r="H37" s="28">
        <v>8000</v>
      </c>
      <c r="I37" s="28">
        <v>8000</v>
      </c>
      <c r="J37" s="28">
        <v>8000</v>
      </c>
      <c r="K37" s="28">
        <v>8000</v>
      </c>
      <c r="L37" s="28">
        <v>8000</v>
      </c>
      <c r="M37" s="28">
        <v>8000</v>
      </c>
      <c r="N37" s="28">
        <v>8000</v>
      </c>
      <c r="O37" s="28">
        <v>8000</v>
      </c>
      <c r="P37" s="28">
        <v>8000</v>
      </c>
      <c r="Q37" s="28">
        <v>8000</v>
      </c>
    </row>
    <row r="38" spans="1:17" x14ac:dyDescent="0.2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15" x14ac:dyDescent="0.25">
      <c r="C39" s="29"/>
      <c r="D39" s="29" t="s">
        <v>124</v>
      </c>
      <c r="E39" s="29"/>
      <c r="F39" s="8">
        <f t="shared" ref="F39:L39" si="7">SUM(F41:F42)</f>
        <v>11520</v>
      </c>
      <c r="G39" s="8">
        <f t="shared" si="7"/>
        <v>11520</v>
      </c>
      <c r="H39" s="8">
        <f t="shared" si="7"/>
        <v>11520</v>
      </c>
      <c r="I39" s="8">
        <f t="shared" si="7"/>
        <v>17270</v>
      </c>
      <c r="J39" s="8">
        <f t="shared" si="7"/>
        <v>25520</v>
      </c>
      <c r="K39" s="8">
        <f t="shared" si="7"/>
        <v>25520</v>
      </c>
      <c r="L39" s="8">
        <f t="shared" si="7"/>
        <v>25520</v>
      </c>
      <c r="M39" s="8">
        <v>25520</v>
      </c>
      <c r="N39" s="8">
        <f>SUM(N41:N43)</f>
        <v>45590</v>
      </c>
      <c r="O39" s="8">
        <f>SUM(O41:O43)</f>
        <v>45590</v>
      </c>
      <c r="P39" s="8">
        <f>SUM(P41:P43)</f>
        <v>45590</v>
      </c>
      <c r="Q39" s="8">
        <f>SUM(Q41:Q43)</f>
        <v>45590</v>
      </c>
    </row>
    <row r="40" spans="1:17" ht="15" x14ac:dyDescent="0.25">
      <c r="A40" s="29"/>
      <c r="B40" s="29"/>
      <c r="C40" s="29"/>
      <c r="D40" s="29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x14ac:dyDescent="0.2">
      <c r="E41" s="23" t="s">
        <v>119</v>
      </c>
      <c r="F41" s="30">
        <v>6230</v>
      </c>
      <c r="G41" s="30">
        <v>6230</v>
      </c>
      <c r="H41" s="30">
        <v>6230</v>
      </c>
      <c r="I41" s="30">
        <v>8230</v>
      </c>
      <c r="J41" s="30">
        <v>8230</v>
      </c>
      <c r="K41" s="30">
        <v>8230</v>
      </c>
      <c r="L41" s="30">
        <v>8230</v>
      </c>
      <c r="M41" s="30">
        <v>8230</v>
      </c>
      <c r="N41" s="30">
        <v>8230</v>
      </c>
      <c r="O41" s="30">
        <v>8230</v>
      </c>
      <c r="P41" s="30">
        <v>8230</v>
      </c>
      <c r="Q41" s="30">
        <v>8230</v>
      </c>
    </row>
    <row r="42" spans="1:17" x14ac:dyDescent="0.2">
      <c r="E42" s="23" t="s">
        <v>121</v>
      </c>
      <c r="F42" s="30">
        <v>5290</v>
      </c>
      <c r="G42" s="30">
        <v>5290</v>
      </c>
      <c r="H42" s="30">
        <v>5290</v>
      </c>
      <c r="I42" s="30">
        <v>9040</v>
      </c>
      <c r="J42" s="30">
        <v>17290</v>
      </c>
      <c r="K42" s="30">
        <v>17290</v>
      </c>
      <c r="L42" s="30">
        <v>17290</v>
      </c>
      <c r="M42" s="30">
        <v>17290</v>
      </c>
      <c r="N42" s="30">
        <v>30660</v>
      </c>
      <c r="O42" s="30">
        <v>30660</v>
      </c>
      <c r="P42" s="30">
        <v>30660</v>
      </c>
      <c r="Q42" s="30">
        <v>30660</v>
      </c>
    </row>
    <row r="43" spans="1:17" x14ac:dyDescent="0.2">
      <c r="E43" s="23" t="s">
        <v>125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30">
        <v>6700</v>
      </c>
      <c r="O43" s="30">
        <v>6700</v>
      </c>
      <c r="P43" s="30">
        <v>6700</v>
      </c>
      <c r="Q43" s="30">
        <v>6700</v>
      </c>
    </row>
    <row r="44" spans="1:17" x14ac:dyDescent="0.2"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ht="15" x14ac:dyDescent="0.25">
      <c r="B45" s="29"/>
      <c r="C45" s="29"/>
      <c r="D45" s="29" t="s">
        <v>138</v>
      </c>
      <c r="E45" s="29"/>
      <c r="F45" s="8">
        <f t="shared" ref="F45:M45" si="8">SUM(F47:F48)</f>
        <v>11810</v>
      </c>
      <c r="G45" s="8">
        <f t="shared" si="8"/>
        <v>11810</v>
      </c>
      <c r="H45" s="8">
        <f t="shared" si="8"/>
        <v>11810</v>
      </c>
      <c r="I45" s="8">
        <f t="shared" si="8"/>
        <v>11810</v>
      </c>
      <c r="J45" s="8">
        <f t="shared" si="8"/>
        <v>11810</v>
      </c>
      <c r="K45" s="8">
        <f t="shared" si="8"/>
        <v>11810</v>
      </c>
      <c r="L45" s="8">
        <f t="shared" si="8"/>
        <v>11810</v>
      </c>
      <c r="M45" s="8">
        <f t="shared" si="8"/>
        <v>11810</v>
      </c>
      <c r="N45" s="8">
        <f>SUM(N47:N49)</f>
        <v>11810</v>
      </c>
      <c r="O45" s="8">
        <f>SUM(O47:O49)</f>
        <v>11810</v>
      </c>
      <c r="P45" s="8">
        <f>SUM(P47:P49)</f>
        <v>11810</v>
      </c>
      <c r="Q45" s="8">
        <f>SUM(Q47:Q49)</f>
        <v>11810</v>
      </c>
    </row>
    <row r="46" spans="1:17" x14ac:dyDescent="0.2"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x14ac:dyDescent="0.2">
      <c r="E47" s="23" t="s">
        <v>119</v>
      </c>
      <c r="F47" s="30">
        <v>6330</v>
      </c>
      <c r="G47" s="30">
        <v>6330</v>
      </c>
      <c r="H47" s="30">
        <v>6330</v>
      </c>
      <c r="I47" s="30">
        <v>6330</v>
      </c>
      <c r="J47" s="30">
        <v>6330</v>
      </c>
      <c r="K47" s="30">
        <v>6330</v>
      </c>
      <c r="L47" s="30">
        <v>6330</v>
      </c>
      <c r="M47" s="30">
        <v>6330</v>
      </c>
      <c r="N47" s="30">
        <v>6330</v>
      </c>
      <c r="O47" s="30">
        <v>6330</v>
      </c>
      <c r="P47" s="30">
        <v>6330</v>
      </c>
      <c r="Q47" s="30">
        <v>6330</v>
      </c>
    </row>
    <row r="48" spans="1:17" x14ac:dyDescent="0.2">
      <c r="E48" s="23" t="s">
        <v>121</v>
      </c>
      <c r="F48" s="30">
        <v>5480</v>
      </c>
      <c r="G48" s="30">
        <v>5480</v>
      </c>
      <c r="H48" s="30">
        <v>5480</v>
      </c>
      <c r="I48" s="30">
        <v>5480</v>
      </c>
      <c r="J48" s="30">
        <v>5480</v>
      </c>
      <c r="K48" s="30">
        <v>5480</v>
      </c>
      <c r="L48" s="30">
        <v>5480</v>
      </c>
      <c r="M48" s="30">
        <v>5480</v>
      </c>
      <c r="N48" s="30">
        <v>5480</v>
      </c>
      <c r="O48" s="30">
        <v>5480</v>
      </c>
      <c r="P48" s="30">
        <v>5480</v>
      </c>
      <c r="Q48" s="30">
        <v>5480</v>
      </c>
    </row>
    <row r="49" spans="1:17" x14ac:dyDescent="0.2">
      <c r="N49" s="30"/>
      <c r="O49" s="30"/>
      <c r="P49" s="30"/>
      <c r="Q49" s="30"/>
    </row>
    <row r="50" spans="1:17" x14ac:dyDescent="0.2"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 ht="15" x14ac:dyDescent="0.25">
      <c r="B51" s="29"/>
      <c r="C51" s="29"/>
      <c r="D51" s="29" t="s">
        <v>127</v>
      </c>
      <c r="E51" s="29"/>
      <c r="F51" s="28">
        <v>9158</v>
      </c>
      <c r="G51" s="28">
        <v>9158</v>
      </c>
      <c r="H51" s="28">
        <v>9158</v>
      </c>
      <c r="I51" s="28">
        <v>9158</v>
      </c>
      <c r="J51" s="28">
        <v>9157.6149999999998</v>
      </c>
      <c r="K51" s="28">
        <v>9157.6149999999998</v>
      </c>
      <c r="L51" s="28">
        <v>9157.6149999999998</v>
      </c>
      <c r="M51" s="28">
        <v>9158</v>
      </c>
      <c r="N51" s="28">
        <v>9158</v>
      </c>
      <c r="O51" s="28">
        <v>9158</v>
      </c>
      <c r="P51" s="28">
        <v>9158</v>
      </c>
      <c r="Q51" s="28">
        <v>9157.6149999999998</v>
      </c>
    </row>
    <row r="52" spans="1:17" x14ac:dyDescent="0.2"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5" x14ac:dyDescent="0.25">
      <c r="B53" s="29"/>
      <c r="C53" s="29"/>
      <c r="D53" s="29" t="s">
        <v>128</v>
      </c>
      <c r="E53" s="29"/>
      <c r="F53" s="8">
        <f t="shared" ref="F53:M53" si="9">SUM(F55:F56)</f>
        <v>17290</v>
      </c>
      <c r="G53" s="8">
        <f t="shared" si="9"/>
        <v>17467</v>
      </c>
      <c r="H53" s="8">
        <f t="shared" si="9"/>
        <v>17194</v>
      </c>
      <c r="I53" s="8">
        <f t="shared" si="9"/>
        <v>16969.053</v>
      </c>
      <c r="J53" s="8">
        <f t="shared" si="9"/>
        <v>17145.813999999998</v>
      </c>
      <c r="K53" s="8">
        <f t="shared" si="9"/>
        <v>17242</v>
      </c>
      <c r="L53" s="8">
        <f t="shared" si="9"/>
        <v>17579.682000000001</v>
      </c>
      <c r="M53" s="8">
        <f t="shared" si="9"/>
        <v>17660.027000000002</v>
      </c>
      <c r="N53" s="8">
        <f>SUM(N55:N56)</f>
        <v>17644</v>
      </c>
      <c r="O53" s="8">
        <f>SUM(O55:O56)</f>
        <v>17772</v>
      </c>
      <c r="P53" s="8">
        <f>SUM(P55:P56)</f>
        <v>14151</v>
      </c>
      <c r="Q53" s="8">
        <v>14112.909</v>
      </c>
    </row>
    <row r="54" spans="1:17" ht="15" x14ac:dyDescent="0.25">
      <c r="B54" s="29"/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x14ac:dyDescent="0.2">
      <c r="E55" s="23" t="s">
        <v>129</v>
      </c>
      <c r="F55" s="30">
        <v>3622</v>
      </c>
      <c r="G55" s="30">
        <v>3659</v>
      </c>
      <c r="H55" s="30">
        <v>3602</v>
      </c>
      <c r="I55" s="30">
        <v>3554.8029999999999</v>
      </c>
      <c r="J55" s="30">
        <v>3591.8319999999999</v>
      </c>
      <c r="K55" s="30">
        <v>3612</v>
      </c>
      <c r="L55" s="30">
        <v>3682.7220000000002</v>
      </c>
      <c r="M55" s="30">
        <v>3699.5529999999999</v>
      </c>
      <c r="N55" s="30">
        <v>3696</v>
      </c>
      <c r="O55" s="30">
        <v>3723</v>
      </c>
      <c r="P55" s="30">
        <v>0</v>
      </c>
      <c r="Q55" s="30">
        <v>0</v>
      </c>
    </row>
    <row r="56" spans="1:17" x14ac:dyDescent="0.2">
      <c r="E56" s="23" t="s">
        <v>119</v>
      </c>
      <c r="F56" s="30">
        <v>13668</v>
      </c>
      <c r="G56" s="30">
        <v>13808</v>
      </c>
      <c r="H56" s="30">
        <v>13592</v>
      </c>
      <c r="I56" s="30">
        <v>13414.25</v>
      </c>
      <c r="J56" s="30">
        <v>13553.982</v>
      </c>
      <c r="K56" s="30">
        <v>13630</v>
      </c>
      <c r="L56" s="30">
        <v>13896.96</v>
      </c>
      <c r="M56" s="30">
        <v>13960.474</v>
      </c>
      <c r="N56" s="30">
        <v>13948</v>
      </c>
      <c r="O56" s="30">
        <v>14049</v>
      </c>
      <c r="P56" s="30">
        <v>14151</v>
      </c>
      <c r="Q56" s="30">
        <v>14112.909</v>
      </c>
    </row>
    <row r="57" spans="1:17" x14ac:dyDescent="0.2"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15" x14ac:dyDescent="0.25">
      <c r="B58" s="29"/>
      <c r="C58" s="29"/>
      <c r="D58" s="29" t="s">
        <v>130</v>
      </c>
      <c r="E58" s="29"/>
      <c r="F58" s="28">
        <v>35000</v>
      </c>
      <c r="G58" s="28">
        <v>35000</v>
      </c>
      <c r="H58" s="28">
        <v>35000</v>
      </c>
      <c r="I58" s="28">
        <v>35000</v>
      </c>
      <c r="J58" s="28">
        <v>35000</v>
      </c>
      <c r="K58" s="28">
        <v>35000</v>
      </c>
      <c r="L58" s="28">
        <v>35000</v>
      </c>
      <c r="M58" s="28">
        <v>35000</v>
      </c>
      <c r="N58" s="28">
        <v>35000</v>
      </c>
      <c r="O58" s="28">
        <v>35000</v>
      </c>
      <c r="P58" s="28">
        <v>35000</v>
      </c>
      <c r="Q58" s="28">
        <v>35000</v>
      </c>
    </row>
    <row r="59" spans="1:17" x14ac:dyDescent="0.2"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1:17" ht="15" x14ac:dyDescent="0.25">
      <c r="C60" s="31" t="s">
        <v>31</v>
      </c>
      <c r="D60" s="29" t="s">
        <v>131</v>
      </c>
      <c r="E60" s="29"/>
      <c r="F60" s="8">
        <f>SUM(F61)</f>
        <v>0</v>
      </c>
      <c r="G60" s="8">
        <f t="shared" ref="G60:Q60" si="10">SUM(G61)</f>
        <v>0</v>
      </c>
      <c r="H60" s="8">
        <f t="shared" si="10"/>
        <v>0</v>
      </c>
      <c r="I60" s="8">
        <f t="shared" si="10"/>
        <v>0</v>
      </c>
      <c r="J60" s="8">
        <f t="shared" si="10"/>
        <v>0</v>
      </c>
      <c r="K60" s="8">
        <f t="shared" si="10"/>
        <v>0</v>
      </c>
      <c r="L60" s="8">
        <f t="shared" si="10"/>
        <v>0</v>
      </c>
      <c r="M60" s="8">
        <f t="shared" si="10"/>
        <v>0</v>
      </c>
      <c r="N60" s="8">
        <f t="shared" si="10"/>
        <v>0</v>
      </c>
      <c r="O60" s="8">
        <f t="shared" si="10"/>
        <v>0</v>
      </c>
      <c r="P60" s="8">
        <f t="shared" si="10"/>
        <v>0</v>
      </c>
      <c r="Q60" s="8">
        <f t="shared" si="10"/>
        <v>5645.9</v>
      </c>
    </row>
    <row r="61" spans="1:17" ht="15" x14ac:dyDescent="0.25">
      <c r="D61" s="29"/>
      <c r="E61" s="23" t="s">
        <v>132</v>
      </c>
      <c r="F61" s="30"/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5645.9</v>
      </c>
    </row>
    <row r="62" spans="1:17" ht="15" x14ac:dyDescent="0.25">
      <c r="C62" s="31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1:17" ht="15" x14ac:dyDescent="0.25">
      <c r="A63" s="29"/>
      <c r="B63" s="29"/>
      <c r="C63" s="29" t="s">
        <v>133</v>
      </c>
      <c r="D63" s="29"/>
      <c r="E63" s="29"/>
      <c r="F63" s="28">
        <f>80809-97</f>
        <v>80712</v>
      </c>
      <c r="G63" s="28">
        <f>80772-97</f>
        <v>80675</v>
      </c>
      <c r="H63" s="28">
        <f>80193-97</f>
        <v>80096</v>
      </c>
      <c r="I63" s="28">
        <f>80192.941-97</f>
        <v>80095.941000000006</v>
      </c>
      <c r="J63" s="28">
        <f>79745.208-97</f>
        <v>79648.207999999999</v>
      </c>
      <c r="K63" s="28">
        <f>79735-97</f>
        <v>79638</v>
      </c>
      <c r="L63" s="28">
        <f>79735-97</f>
        <v>79638</v>
      </c>
      <c r="M63" s="28">
        <f>79735-97</f>
        <v>79638</v>
      </c>
      <c r="N63" s="28">
        <v>79638</v>
      </c>
      <c r="O63" s="28">
        <f>79735-97</f>
        <v>79638</v>
      </c>
      <c r="P63" s="28">
        <f>79644-97</f>
        <v>79547</v>
      </c>
      <c r="Q63" s="28">
        <f>79643.55-97</f>
        <v>79546.55</v>
      </c>
    </row>
    <row r="64" spans="1:17" ht="15" x14ac:dyDescent="0.25">
      <c r="A64" s="29"/>
      <c r="B64" s="29"/>
      <c r="C64" s="29"/>
      <c r="D64" s="29"/>
      <c r="E64" s="29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ht="15" x14ac:dyDescent="0.25">
      <c r="A65" s="29"/>
      <c r="B65" s="29"/>
      <c r="C65" s="29" t="s">
        <v>134</v>
      </c>
      <c r="D65" s="29"/>
      <c r="E65" s="29"/>
      <c r="F65" s="28">
        <v>2416</v>
      </c>
      <c r="G65" s="28">
        <v>2416</v>
      </c>
      <c r="H65" s="28">
        <v>2416</v>
      </c>
      <c r="I65" s="28">
        <v>2415.5549999999998</v>
      </c>
      <c r="J65" s="28">
        <v>2416</v>
      </c>
      <c r="K65" s="28">
        <v>2415.5509999999999</v>
      </c>
      <c r="L65" s="28">
        <v>2415.5509999999999</v>
      </c>
      <c r="M65" s="28">
        <v>2415.5509999999999</v>
      </c>
      <c r="N65" s="28">
        <v>2416</v>
      </c>
      <c r="O65" s="28">
        <v>2416</v>
      </c>
      <c r="P65" s="28">
        <v>2416</v>
      </c>
      <c r="Q65" s="28">
        <v>2415.5509999999999</v>
      </c>
    </row>
    <row r="66" spans="1:17" ht="15" x14ac:dyDescent="0.25">
      <c r="A66" s="29"/>
      <c r="B66" s="29"/>
      <c r="C66" s="29"/>
      <c r="D66" s="29"/>
      <c r="E66" s="29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17" ht="15" x14ac:dyDescent="0.25">
      <c r="A67" s="29"/>
      <c r="B67" s="29"/>
      <c r="C67" s="29" t="s">
        <v>135</v>
      </c>
      <c r="D67" s="29"/>
      <c r="E67" s="29"/>
      <c r="F67" s="28">
        <v>9997</v>
      </c>
      <c r="G67" s="28">
        <v>10021</v>
      </c>
      <c r="H67" s="28">
        <v>10004</v>
      </c>
      <c r="I67" s="28">
        <v>9948.8140000000003</v>
      </c>
      <c r="J67" s="28">
        <v>9992</v>
      </c>
      <c r="K67" s="28">
        <v>10016.969999999999</v>
      </c>
      <c r="L67" s="28">
        <v>10106</v>
      </c>
      <c r="M67" s="28">
        <v>10158</v>
      </c>
      <c r="N67" s="28">
        <v>10335</v>
      </c>
      <c r="O67" s="28">
        <v>10400</v>
      </c>
      <c r="P67" s="28">
        <v>10358</v>
      </c>
      <c r="Q67" s="28">
        <v>10436.620000000001</v>
      </c>
    </row>
    <row r="68" spans="1:17" ht="15" x14ac:dyDescent="0.25">
      <c r="A68" s="29"/>
      <c r="B68" s="29"/>
      <c r="C68" s="29"/>
      <c r="D68" s="29"/>
      <c r="E68" s="29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1:17" ht="15" x14ac:dyDescent="0.25">
      <c r="A69" s="29"/>
      <c r="B69" s="29"/>
      <c r="C69" s="29" t="s">
        <v>136</v>
      </c>
      <c r="D69" s="29"/>
      <c r="E69" s="29"/>
      <c r="F69" s="28">
        <v>274</v>
      </c>
      <c r="G69" s="28">
        <v>263</v>
      </c>
      <c r="H69" s="28">
        <v>262</v>
      </c>
      <c r="I69" s="28">
        <v>259.62200000000001</v>
      </c>
      <c r="J69" s="28">
        <v>259.17200000000003</v>
      </c>
      <c r="K69" s="28">
        <v>257.92200000000003</v>
      </c>
      <c r="L69" s="28">
        <v>260.99700000000001</v>
      </c>
      <c r="M69" s="28">
        <v>258.572</v>
      </c>
      <c r="N69" s="28">
        <v>240</v>
      </c>
      <c r="O69" s="28">
        <v>240</v>
      </c>
      <c r="P69" s="28">
        <v>216</v>
      </c>
      <c r="Q69" s="28">
        <v>216.858</v>
      </c>
    </row>
    <row r="70" spans="1:17" ht="15" x14ac:dyDescent="0.25"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ht="15" x14ac:dyDescent="0.25">
      <c r="A71" s="29" t="s">
        <v>137</v>
      </c>
      <c r="B71" s="29"/>
      <c r="C71" s="29"/>
      <c r="D71" s="29"/>
      <c r="E71" s="29"/>
      <c r="F71" s="8">
        <v>18795</v>
      </c>
      <c r="G71" s="8">
        <v>18790</v>
      </c>
      <c r="H71" s="8">
        <v>18758</v>
      </c>
      <c r="I71" s="8">
        <v>18708.066999999999</v>
      </c>
      <c r="J71" s="8">
        <v>18677</v>
      </c>
      <c r="K71" s="8">
        <v>18666</v>
      </c>
      <c r="L71" s="8">
        <v>18656.39</v>
      </c>
      <c r="M71" s="8">
        <v>18628</v>
      </c>
      <c r="N71" s="8">
        <v>18600</v>
      </c>
      <c r="O71" s="8">
        <v>18564</v>
      </c>
      <c r="P71" s="8">
        <v>20286</v>
      </c>
      <c r="Q71" s="8">
        <v>20275.535</v>
      </c>
    </row>
    <row r="72" spans="1:17" x14ac:dyDescent="0.2">
      <c r="F72" s="32"/>
      <c r="G72" s="33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x14ac:dyDescent="0.2">
      <c r="A73" s="34"/>
      <c r="B73" s="35"/>
      <c r="C73" s="35"/>
    </row>
    <row r="74" spans="1:17" x14ac:dyDescent="0.2">
      <c r="A74" s="34"/>
      <c r="B74" s="35"/>
      <c r="C74" s="35"/>
    </row>
    <row r="75" spans="1:17" x14ac:dyDescent="0.2">
      <c r="A75" s="34"/>
      <c r="B75" s="35" t="s">
        <v>21</v>
      </c>
      <c r="C75" s="35"/>
      <c r="D75" s="35"/>
      <c r="E75" s="35"/>
      <c r="F75" s="35"/>
      <c r="G75" s="37"/>
    </row>
    <row r="77" spans="1:17" x14ac:dyDescent="0.2">
      <c r="A77" s="35"/>
      <c r="B77" s="35"/>
      <c r="C77" s="35"/>
    </row>
    <row r="78" spans="1:17" x14ac:dyDescent="0.2">
      <c r="A78" s="36"/>
      <c r="B78" s="35"/>
      <c r="C78" s="35"/>
    </row>
  </sheetData>
  <mergeCells count="4">
    <mergeCell ref="A1:Q1"/>
    <mergeCell ref="A2:Q2"/>
    <mergeCell ref="A3:Q3"/>
    <mergeCell ref="A5:E5"/>
  </mergeCells>
  <printOptions horizontalCentered="1"/>
  <pageMargins left="0" right="0" top="0.45866141700000002" bottom="0.59055118110236204" header="0.511811023622047" footer="0.511811023622047"/>
  <pageSetup paperSize="9" scale="6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69"/>
  <sheetViews>
    <sheetView zoomScaleNormal="100" workbookViewId="0">
      <pane xSplit="5" ySplit="7" topLeftCell="F8" activePane="bottomRight" state="frozen"/>
      <selection activeCell="F20" sqref="F20"/>
      <selection pane="topRight" activeCell="F20" sqref="F20"/>
      <selection pane="bottomLeft" activeCell="F20" sqref="F20"/>
      <selection pane="bottomRight" activeCell="A2" sqref="A2:Q2"/>
    </sheetView>
  </sheetViews>
  <sheetFormatPr defaultColWidth="8.85546875" defaultRowHeight="14.25" x14ac:dyDescent="0.2"/>
  <cols>
    <col min="1" max="1" width="0.28515625" style="23" customWidth="1"/>
    <col min="2" max="2" width="1.140625" style="23" customWidth="1"/>
    <col min="3" max="3" width="2.140625" style="23" customWidth="1"/>
    <col min="4" max="4" width="1.28515625" style="23" customWidth="1"/>
    <col min="5" max="5" width="28.7109375" style="23" customWidth="1"/>
    <col min="6" max="6" width="12.28515625" style="23" customWidth="1"/>
    <col min="7" max="7" width="11.42578125" style="23" customWidth="1"/>
    <col min="8" max="8" width="10.85546875" style="23" customWidth="1"/>
    <col min="9" max="9" width="11" style="23" customWidth="1"/>
    <col min="10" max="10" width="11.140625" style="23" customWidth="1"/>
    <col min="11" max="11" width="10.28515625" style="23" customWidth="1"/>
    <col min="12" max="12" width="11.28515625" style="23" customWidth="1"/>
    <col min="13" max="13" width="11" style="23" customWidth="1"/>
    <col min="14" max="15" width="10.42578125" style="23" customWidth="1"/>
    <col min="16" max="16" width="10.85546875" style="23" customWidth="1"/>
    <col min="17" max="17" width="11" style="23" customWidth="1"/>
    <col min="18" max="256" width="9.140625" style="23"/>
    <col min="257" max="257" width="0.28515625" style="23" customWidth="1"/>
    <col min="258" max="258" width="1.140625" style="23" customWidth="1"/>
    <col min="259" max="259" width="2.140625" style="23" customWidth="1"/>
    <col min="260" max="260" width="1.28515625" style="23" customWidth="1"/>
    <col min="261" max="261" width="26.85546875" style="23" customWidth="1"/>
    <col min="262" max="262" width="12.28515625" style="23" customWidth="1"/>
    <col min="263" max="263" width="11.42578125" style="23" customWidth="1"/>
    <col min="264" max="264" width="10.85546875" style="23" customWidth="1"/>
    <col min="265" max="265" width="11" style="23" customWidth="1"/>
    <col min="266" max="266" width="11.140625" style="23" customWidth="1"/>
    <col min="267" max="267" width="10.28515625" style="23" customWidth="1"/>
    <col min="268" max="268" width="11.28515625" style="23" customWidth="1"/>
    <col min="269" max="269" width="11" style="23" customWidth="1"/>
    <col min="270" max="271" width="10.42578125" style="23" customWidth="1"/>
    <col min="272" max="272" width="10.85546875" style="23" customWidth="1"/>
    <col min="273" max="273" width="11" style="23" customWidth="1"/>
    <col min="274" max="512" width="9.140625" style="23"/>
    <col min="513" max="513" width="0.28515625" style="23" customWidth="1"/>
    <col min="514" max="514" width="1.140625" style="23" customWidth="1"/>
    <col min="515" max="515" width="2.140625" style="23" customWidth="1"/>
    <col min="516" max="516" width="1.28515625" style="23" customWidth="1"/>
    <col min="517" max="517" width="26.85546875" style="23" customWidth="1"/>
    <col min="518" max="518" width="12.28515625" style="23" customWidth="1"/>
    <col min="519" max="519" width="11.42578125" style="23" customWidth="1"/>
    <col min="520" max="520" width="10.85546875" style="23" customWidth="1"/>
    <col min="521" max="521" width="11" style="23" customWidth="1"/>
    <col min="522" max="522" width="11.140625" style="23" customWidth="1"/>
    <col min="523" max="523" width="10.28515625" style="23" customWidth="1"/>
    <col min="524" max="524" width="11.28515625" style="23" customWidth="1"/>
    <col min="525" max="525" width="11" style="23" customWidth="1"/>
    <col min="526" max="527" width="10.42578125" style="23" customWidth="1"/>
    <col min="528" max="528" width="10.85546875" style="23" customWidth="1"/>
    <col min="529" max="529" width="11" style="23" customWidth="1"/>
    <col min="530" max="768" width="9.140625" style="23"/>
    <col min="769" max="769" width="0.28515625" style="23" customWidth="1"/>
    <col min="770" max="770" width="1.140625" style="23" customWidth="1"/>
    <col min="771" max="771" width="2.140625" style="23" customWidth="1"/>
    <col min="772" max="772" width="1.28515625" style="23" customWidth="1"/>
    <col min="773" max="773" width="26.85546875" style="23" customWidth="1"/>
    <col min="774" max="774" width="12.28515625" style="23" customWidth="1"/>
    <col min="775" max="775" width="11.42578125" style="23" customWidth="1"/>
    <col min="776" max="776" width="10.85546875" style="23" customWidth="1"/>
    <col min="777" max="777" width="11" style="23" customWidth="1"/>
    <col min="778" max="778" width="11.140625" style="23" customWidth="1"/>
    <col min="779" max="779" width="10.28515625" style="23" customWidth="1"/>
    <col min="780" max="780" width="11.28515625" style="23" customWidth="1"/>
    <col min="781" max="781" width="11" style="23" customWidth="1"/>
    <col min="782" max="783" width="10.42578125" style="23" customWidth="1"/>
    <col min="784" max="784" width="10.85546875" style="23" customWidth="1"/>
    <col min="785" max="785" width="11" style="23" customWidth="1"/>
    <col min="786" max="1024" width="9.140625" style="23"/>
    <col min="1025" max="1025" width="0.28515625" style="23" customWidth="1"/>
    <col min="1026" max="1026" width="1.140625" style="23" customWidth="1"/>
    <col min="1027" max="1027" width="2.140625" style="23" customWidth="1"/>
    <col min="1028" max="1028" width="1.28515625" style="23" customWidth="1"/>
    <col min="1029" max="1029" width="26.85546875" style="23" customWidth="1"/>
    <col min="1030" max="1030" width="12.28515625" style="23" customWidth="1"/>
    <col min="1031" max="1031" width="11.42578125" style="23" customWidth="1"/>
    <col min="1032" max="1032" width="10.85546875" style="23" customWidth="1"/>
    <col min="1033" max="1033" width="11" style="23" customWidth="1"/>
    <col min="1034" max="1034" width="11.140625" style="23" customWidth="1"/>
    <col min="1035" max="1035" width="10.28515625" style="23" customWidth="1"/>
    <col min="1036" max="1036" width="11.28515625" style="23" customWidth="1"/>
    <col min="1037" max="1037" width="11" style="23" customWidth="1"/>
    <col min="1038" max="1039" width="10.42578125" style="23" customWidth="1"/>
    <col min="1040" max="1040" width="10.85546875" style="23" customWidth="1"/>
    <col min="1041" max="1041" width="11" style="23" customWidth="1"/>
    <col min="1042" max="1280" width="9.140625" style="23"/>
    <col min="1281" max="1281" width="0.28515625" style="23" customWidth="1"/>
    <col min="1282" max="1282" width="1.140625" style="23" customWidth="1"/>
    <col min="1283" max="1283" width="2.140625" style="23" customWidth="1"/>
    <col min="1284" max="1284" width="1.28515625" style="23" customWidth="1"/>
    <col min="1285" max="1285" width="26.85546875" style="23" customWidth="1"/>
    <col min="1286" max="1286" width="12.28515625" style="23" customWidth="1"/>
    <col min="1287" max="1287" width="11.42578125" style="23" customWidth="1"/>
    <col min="1288" max="1288" width="10.85546875" style="23" customWidth="1"/>
    <col min="1289" max="1289" width="11" style="23" customWidth="1"/>
    <col min="1290" max="1290" width="11.140625" style="23" customWidth="1"/>
    <col min="1291" max="1291" width="10.28515625" style="23" customWidth="1"/>
    <col min="1292" max="1292" width="11.28515625" style="23" customWidth="1"/>
    <col min="1293" max="1293" width="11" style="23" customWidth="1"/>
    <col min="1294" max="1295" width="10.42578125" style="23" customWidth="1"/>
    <col min="1296" max="1296" width="10.85546875" style="23" customWidth="1"/>
    <col min="1297" max="1297" width="11" style="23" customWidth="1"/>
    <col min="1298" max="1536" width="9.140625" style="23"/>
    <col min="1537" max="1537" width="0.28515625" style="23" customWidth="1"/>
    <col min="1538" max="1538" width="1.140625" style="23" customWidth="1"/>
    <col min="1539" max="1539" width="2.140625" style="23" customWidth="1"/>
    <col min="1540" max="1540" width="1.28515625" style="23" customWidth="1"/>
    <col min="1541" max="1541" width="26.85546875" style="23" customWidth="1"/>
    <col min="1542" max="1542" width="12.28515625" style="23" customWidth="1"/>
    <col min="1543" max="1543" width="11.42578125" style="23" customWidth="1"/>
    <col min="1544" max="1544" width="10.85546875" style="23" customWidth="1"/>
    <col min="1545" max="1545" width="11" style="23" customWidth="1"/>
    <col min="1546" max="1546" width="11.140625" style="23" customWidth="1"/>
    <col min="1547" max="1547" width="10.28515625" style="23" customWidth="1"/>
    <col min="1548" max="1548" width="11.28515625" style="23" customWidth="1"/>
    <col min="1549" max="1549" width="11" style="23" customWidth="1"/>
    <col min="1550" max="1551" width="10.42578125" style="23" customWidth="1"/>
    <col min="1552" max="1552" width="10.85546875" style="23" customWidth="1"/>
    <col min="1553" max="1553" width="11" style="23" customWidth="1"/>
    <col min="1554" max="1792" width="9.140625" style="23"/>
    <col min="1793" max="1793" width="0.28515625" style="23" customWidth="1"/>
    <col min="1794" max="1794" width="1.140625" style="23" customWidth="1"/>
    <col min="1795" max="1795" width="2.140625" style="23" customWidth="1"/>
    <col min="1796" max="1796" width="1.28515625" style="23" customWidth="1"/>
    <col min="1797" max="1797" width="26.85546875" style="23" customWidth="1"/>
    <col min="1798" max="1798" width="12.28515625" style="23" customWidth="1"/>
    <col min="1799" max="1799" width="11.42578125" style="23" customWidth="1"/>
    <col min="1800" max="1800" width="10.85546875" style="23" customWidth="1"/>
    <col min="1801" max="1801" width="11" style="23" customWidth="1"/>
    <col min="1802" max="1802" width="11.140625" style="23" customWidth="1"/>
    <col min="1803" max="1803" width="10.28515625" style="23" customWidth="1"/>
    <col min="1804" max="1804" width="11.28515625" style="23" customWidth="1"/>
    <col min="1805" max="1805" width="11" style="23" customWidth="1"/>
    <col min="1806" max="1807" width="10.42578125" style="23" customWidth="1"/>
    <col min="1808" max="1808" width="10.85546875" style="23" customWidth="1"/>
    <col min="1809" max="1809" width="11" style="23" customWidth="1"/>
    <col min="1810" max="2048" width="9.140625" style="23"/>
    <col min="2049" max="2049" width="0.28515625" style="23" customWidth="1"/>
    <col min="2050" max="2050" width="1.140625" style="23" customWidth="1"/>
    <col min="2051" max="2051" width="2.140625" style="23" customWidth="1"/>
    <col min="2052" max="2052" width="1.28515625" style="23" customWidth="1"/>
    <col min="2053" max="2053" width="26.85546875" style="23" customWidth="1"/>
    <col min="2054" max="2054" width="12.28515625" style="23" customWidth="1"/>
    <col min="2055" max="2055" width="11.42578125" style="23" customWidth="1"/>
    <col min="2056" max="2056" width="10.85546875" style="23" customWidth="1"/>
    <col min="2057" max="2057" width="11" style="23" customWidth="1"/>
    <col min="2058" max="2058" width="11.140625" style="23" customWidth="1"/>
    <col min="2059" max="2059" width="10.28515625" style="23" customWidth="1"/>
    <col min="2060" max="2060" width="11.28515625" style="23" customWidth="1"/>
    <col min="2061" max="2061" width="11" style="23" customWidth="1"/>
    <col min="2062" max="2063" width="10.42578125" style="23" customWidth="1"/>
    <col min="2064" max="2064" width="10.85546875" style="23" customWidth="1"/>
    <col min="2065" max="2065" width="11" style="23" customWidth="1"/>
    <col min="2066" max="2304" width="9.140625" style="23"/>
    <col min="2305" max="2305" width="0.28515625" style="23" customWidth="1"/>
    <col min="2306" max="2306" width="1.140625" style="23" customWidth="1"/>
    <col min="2307" max="2307" width="2.140625" style="23" customWidth="1"/>
    <col min="2308" max="2308" width="1.28515625" style="23" customWidth="1"/>
    <col min="2309" max="2309" width="26.85546875" style="23" customWidth="1"/>
    <col min="2310" max="2310" width="12.28515625" style="23" customWidth="1"/>
    <col min="2311" max="2311" width="11.42578125" style="23" customWidth="1"/>
    <col min="2312" max="2312" width="10.85546875" style="23" customWidth="1"/>
    <col min="2313" max="2313" width="11" style="23" customWidth="1"/>
    <col min="2314" max="2314" width="11.140625" style="23" customWidth="1"/>
    <col min="2315" max="2315" width="10.28515625" style="23" customWidth="1"/>
    <col min="2316" max="2316" width="11.28515625" style="23" customWidth="1"/>
    <col min="2317" max="2317" width="11" style="23" customWidth="1"/>
    <col min="2318" max="2319" width="10.42578125" style="23" customWidth="1"/>
    <col min="2320" max="2320" width="10.85546875" style="23" customWidth="1"/>
    <col min="2321" max="2321" width="11" style="23" customWidth="1"/>
    <col min="2322" max="2560" width="9.140625" style="23"/>
    <col min="2561" max="2561" width="0.28515625" style="23" customWidth="1"/>
    <col min="2562" max="2562" width="1.140625" style="23" customWidth="1"/>
    <col min="2563" max="2563" width="2.140625" style="23" customWidth="1"/>
    <col min="2564" max="2564" width="1.28515625" style="23" customWidth="1"/>
    <col min="2565" max="2565" width="26.85546875" style="23" customWidth="1"/>
    <col min="2566" max="2566" width="12.28515625" style="23" customWidth="1"/>
    <col min="2567" max="2567" width="11.42578125" style="23" customWidth="1"/>
    <col min="2568" max="2568" width="10.85546875" style="23" customWidth="1"/>
    <col min="2569" max="2569" width="11" style="23" customWidth="1"/>
    <col min="2570" max="2570" width="11.140625" style="23" customWidth="1"/>
    <col min="2571" max="2571" width="10.28515625" style="23" customWidth="1"/>
    <col min="2572" max="2572" width="11.28515625" style="23" customWidth="1"/>
    <col min="2573" max="2573" width="11" style="23" customWidth="1"/>
    <col min="2574" max="2575" width="10.42578125" style="23" customWidth="1"/>
    <col min="2576" max="2576" width="10.85546875" style="23" customWidth="1"/>
    <col min="2577" max="2577" width="11" style="23" customWidth="1"/>
    <col min="2578" max="2816" width="9.140625" style="23"/>
    <col min="2817" max="2817" width="0.28515625" style="23" customWidth="1"/>
    <col min="2818" max="2818" width="1.140625" style="23" customWidth="1"/>
    <col min="2819" max="2819" width="2.140625" style="23" customWidth="1"/>
    <col min="2820" max="2820" width="1.28515625" style="23" customWidth="1"/>
    <col min="2821" max="2821" width="26.85546875" style="23" customWidth="1"/>
    <col min="2822" max="2822" width="12.28515625" style="23" customWidth="1"/>
    <col min="2823" max="2823" width="11.42578125" style="23" customWidth="1"/>
    <col min="2824" max="2824" width="10.85546875" style="23" customWidth="1"/>
    <col min="2825" max="2825" width="11" style="23" customWidth="1"/>
    <col min="2826" max="2826" width="11.140625" style="23" customWidth="1"/>
    <col min="2827" max="2827" width="10.28515625" style="23" customWidth="1"/>
    <col min="2828" max="2828" width="11.28515625" style="23" customWidth="1"/>
    <col min="2829" max="2829" width="11" style="23" customWidth="1"/>
    <col min="2830" max="2831" width="10.42578125" style="23" customWidth="1"/>
    <col min="2832" max="2832" width="10.85546875" style="23" customWidth="1"/>
    <col min="2833" max="2833" width="11" style="23" customWidth="1"/>
    <col min="2834" max="3072" width="9.140625" style="23"/>
    <col min="3073" max="3073" width="0.28515625" style="23" customWidth="1"/>
    <col min="3074" max="3074" width="1.140625" style="23" customWidth="1"/>
    <col min="3075" max="3075" width="2.140625" style="23" customWidth="1"/>
    <col min="3076" max="3076" width="1.28515625" style="23" customWidth="1"/>
    <col min="3077" max="3077" width="26.85546875" style="23" customWidth="1"/>
    <col min="3078" max="3078" width="12.28515625" style="23" customWidth="1"/>
    <col min="3079" max="3079" width="11.42578125" style="23" customWidth="1"/>
    <col min="3080" max="3080" width="10.85546875" style="23" customWidth="1"/>
    <col min="3081" max="3081" width="11" style="23" customWidth="1"/>
    <col min="3082" max="3082" width="11.140625" style="23" customWidth="1"/>
    <col min="3083" max="3083" width="10.28515625" style="23" customWidth="1"/>
    <col min="3084" max="3084" width="11.28515625" style="23" customWidth="1"/>
    <col min="3085" max="3085" width="11" style="23" customWidth="1"/>
    <col min="3086" max="3087" width="10.42578125" style="23" customWidth="1"/>
    <col min="3088" max="3088" width="10.85546875" style="23" customWidth="1"/>
    <col min="3089" max="3089" width="11" style="23" customWidth="1"/>
    <col min="3090" max="3328" width="9.140625" style="23"/>
    <col min="3329" max="3329" width="0.28515625" style="23" customWidth="1"/>
    <col min="3330" max="3330" width="1.140625" style="23" customWidth="1"/>
    <col min="3331" max="3331" width="2.140625" style="23" customWidth="1"/>
    <col min="3332" max="3332" width="1.28515625" style="23" customWidth="1"/>
    <col min="3333" max="3333" width="26.85546875" style="23" customWidth="1"/>
    <col min="3334" max="3334" width="12.28515625" style="23" customWidth="1"/>
    <col min="3335" max="3335" width="11.42578125" style="23" customWidth="1"/>
    <col min="3336" max="3336" width="10.85546875" style="23" customWidth="1"/>
    <col min="3337" max="3337" width="11" style="23" customWidth="1"/>
    <col min="3338" max="3338" width="11.140625" style="23" customWidth="1"/>
    <col min="3339" max="3339" width="10.28515625" style="23" customWidth="1"/>
    <col min="3340" max="3340" width="11.28515625" style="23" customWidth="1"/>
    <col min="3341" max="3341" width="11" style="23" customWidth="1"/>
    <col min="3342" max="3343" width="10.42578125" style="23" customWidth="1"/>
    <col min="3344" max="3344" width="10.85546875" style="23" customWidth="1"/>
    <col min="3345" max="3345" width="11" style="23" customWidth="1"/>
    <col min="3346" max="3584" width="9.140625" style="23"/>
    <col min="3585" max="3585" width="0.28515625" style="23" customWidth="1"/>
    <col min="3586" max="3586" width="1.140625" style="23" customWidth="1"/>
    <col min="3587" max="3587" width="2.140625" style="23" customWidth="1"/>
    <col min="3588" max="3588" width="1.28515625" style="23" customWidth="1"/>
    <col min="3589" max="3589" width="26.85546875" style="23" customWidth="1"/>
    <col min="3590" max="3590" width="12.28515625" style="23" customWidth="1"/>
    <col min="3591" max="3591" width="11.42578125" style="23" customWidth="1"/>
    <col min="3592" max="3592" width="10.85546875" style="23" customWidth="1"/>
    <col min="3593" max="3593" width="11" style="23" customWidth="1"/>
    <col min="3594" max="3594" width="11.140625" style="23" customWidth="1"/>
    <col min="3595" max="3595" width="10.28515625" style="23" customWidth="1"/>
    <col min="3596" max="3596" width="11.28515625" style="23" customWidth="1"/>
    <col min="3597" max="3597" width="11" style="23" customWidth="1"/>
    <col min="3598" max="3599" width="10.42578125" style="23" customWidth="1"/>
    <col min="3600" max="3600" width="10.85546875" style="23" customWidth="1"/>
    <col min="3601" max="3601" width="11" style="23" customWidth="1"/>
    <col min="3602" max="3840" width="9.140625" style="23"/>
    <col min="3841" max="3841" width="0.28515625" style="23" customWidth="1"/>
    <col min="3842" max="3842" width="1.140625" style="23" customWidth="1"/>
    <col min="3843" max="3843" width="2.140625" style="23" customWidth="1"/>
    <col min="3844" max="3844" width="1.28515625" style="23" customWidth="1"/>
    <col min="3845" max="3845" width="26.85546875" style="23" customWidth="1"/>
    <col min="3846" max="3846" width="12.28515625" style="23" customWidth="1"/>
    <col min="3847" max="3847" width="11.42578125" style="23" customWidth="1"/>
    <col min="3848" max="3848" width="10.85546875" style="23" customWidth="1"/>
    <col min="3849" max="3849" width="11" style="23" customWidth="1"/>
    <col min="3850" max="3850" width="11.140625" style="23" customWidth="1"/>
    <col min="3851" max="3851" width="10.28515625" style="23" customWidth="1"/>
    <col min="3852" max="3852" width="11.28515625" style="23" customWidth="1"/>
    <col min="3853" max="3853" width="11" style="23" customWidth="1"/>
    <col min="3854" max="3855" width="10.42578125" style="23" customWidth="1"/>
    <col min="3856" max="3856" width="10.85546875" style="23" customWidth="1"/>
    <col min="3857" max="3857" width="11" style="23" customWidth="1"/>
    <col min="3858" max="4096" width="9.140625" style="23"/>
    <col min="4097" max="4097" width="0.28515625" style="23" customWidth="1"/>
    <col min="4098" max="4098" width="1.140625" style="23" customWidth="1"/>
    <col min="4099" max="4099" width="2.140625" style="23" customWidth="1"/>
    <col min="4100" max="4100" width="1.28515625" style="23" customWidth="1"/>
    <col min="4101" max="4101" width="26.85546875" style="23" customWidth="1"/>
    <col min="4102" max="4102" width="12.28515625" style="23" customWidth="1"/>
    <col min="4103" max="4103" width="11.42578125" style="23" customWidth="1"/>
    <col min="4104" max="4104" width="10.85546875" style="23" customWidth="1"/>
    <col min="4105" max="4105" width="11" style="23" customWidth="1"/>
    <col min="4106" max="4106" width="11.140625" style="23" customWidth="1"/>
    <col min="4107" max="4107" width="10.28515625" style="23" customWidth="1"/>
    <col min="4108" max="4108" width="11.28515625" style="23" customWidth="1"/>
    <col min="4109" max="4109" width="11" style="23" customWidth="1"/>
    <col min="4110" max="4111" width="10.42578125" style="23" customWidth="1"/>
    <col min="4112" max="4112" width="10.85546875" style="23" customWidth="1"/>
    <col min="4113" max="4113" width="11" style="23" customWidth="1"/>
    <col min="4114" max="4352" width="9.140625" style="23"/>
    <col min="4353" max="4353" width="0.28515625" style="23" customWidth="1"/>
    <col min="4354" max="4354" width="1.140625" style="23" customWidth="1"/>
    <col min="4355" max="4355" width="2.140625" style="23" customWidth="1"/>
    <col min="4356" max="4356" width="1.28515625" style="23" customWidth="1"/>
    <col min="4357" max="4357" width="26.85546875" style="23" customWidth="1"/>
    <col min="4358" max="4358" width="12.28515625" style="23" customWidth="1"/>
    <col min="4359" max="4359" width="11.42578125" style="23" customWidth="1"/>
    <col min="4360" max="4360" width="10.85546875" style="23" customWidth="1"/>
    <col min="4361" max="4361" width="11" style="23" customWidth="1"/>
    <col min="4362" max="4362" width="11.140625" style="23" customWidth="1"/>
    <col min="4363" max="4363" width="10.28515625" style="23" customWidth="1"/>
    <col min="4364" max="4364" width="11.28515625" style="23" customWidth="1"/>
    <col min="4365" max="4365" width="11" style="23" customWidth="1"/>
    <col min="4366" max="4367" width="10.42578125" style="23" customWidth="1"/>
    <col min="4368" max="4368" width="10.85546875" style="23" customWidth="1"/>
    <col min="4369" max="4369" width="11" style="23" customWidth="1"/>
    <col min="4370" max="4608" width="9.140625" style="23"/>
    <col min="4609" max="4609" width="0.28515625" style="23" customWidth="1"/>
    <col min="4610" max="4610" width="1.140625" style="23" customWidth="1"/>
    <col min="4611" max="4611" width="2.140625" style="23" customWidth="1"/>
    <col min="4612" max="4612" width="1.28515625" style="23" customWidth="1"/>
    <col min="4613" max="4613" width="26.85546875" style="23" customWidth="1"/>
    <col min="4614" max="4614" width="12.28515625" style="23" customWidth="1"/>
    <col min="4615" max="4615" width="11.42578125" style="23" customWidth="1"/>
    <col min="4616" max="4616" width="10.85546875" style="23" customWidth="1"/>
    <col min="4617" max="4617" width="11" style="23" customWidth="1"/>
    <col min="4618" max="4618" width="11.140625" style="23" customWidth="1"/>
    <col min="4619" max="4619" width="10.28515625" style="23" customWidth="1"/>
    <col min="4620" max="4620" width="11.28515625" style="23" customWidth="1"/>
    <col min="4621" max="4621" width="11" style="23" customWidth="1"/>
    <col min="4622" max="4623" width="10.42578125" style="23" customWidth="1"/>
    <col min="4624" max="4624" width="10.85546875" style="23" customWidth="1"/>
    <col min="4625" max="4625" width="11" style="23" customWidth="1"/>
    <col min="4626" max="4864" width="9.140625" style="23"/>
    <col min="4865" max="4865" width="0.28515625" style="23" customWidth="1"/>
    <col min="4866" max="4866" width="1.140625" style="23" customWidth="1"/>
    <col min="4867" max="4867" width="2.140625" style="23" customWidth="1"/>
    <col min="4868" max="4868" width="1.28515625" style="23" customWidth="1"/>
    <col min="4869" max="4869" width="26.85546875" style="23" customWidth="1"/>
    <col min="4870" max="4870" width="12.28515625" style="23" customWidth="1"/>
    <col min="4871" max="4871" width="11.42578125" style="23" customWidth="1"/>
    <col min="4872" max="4872" width="10.85546875" style="23" customWidth="1"/>
    <col min="4873" max="4873" width="11" style="23" customWidth="1"/>
    <col min="4874" max="4874" width="11.140625" style="23" customWidth="1"/>
    <col min="4875" max="4875" width="10.28515625" style="23" customWidth="1"/>
    <col min="4876" max="4876" width="11.28515625" style="23" customWidth="1"/>
    <col min="4877" max="4877" width="11" style="23" customWidth="1"/>
    <col min="4878" max="4879" width="10.42578125" style="23" customWidth="1"/>
    <col min="4880" max="4880" width="10.85546875" style="23" customWidth="1"/>
    <col min="4881" max="4881" width="11" style="23" customWidth="1"/>
    <col min="4882" max="5120" width="9.140625" style="23"/>
    <col min="5121" max="5121" width="0.28515625" style="23" customWidth="1"/>
    <col min="5122" max="5122" width="1.140625" style="23" customWidth="1"/>
    <col min="5123" max="5123" width="2.140625" style="23" customWidth="1"/>
    <col min="5124" max="5124" width="1.28515625" style="23" customWidth="1"/>
    <col min="5125" max="5125" width="26.85546875" style="23" customWidth="1"/>
    <col min="5126" max="5126" width="12.28515625" style="23" customWidth="1"/>
    <col min="5127" max="5127" width="11.42578125" style="23" customWidth="1"/>
    <col min="5128" max="5128" width="10.85546875" style="23" customWidth="1"/>
    <col min="5129" max="5129" width="11" style="23" customWidth="1"/>
    <col min="5130" max="5130" width="11.140625" style="23" customWidth="1"/>
    <col min="5131" max="5131" width="10.28515625" style="23" customWidth="1"/>
    <col min="5132" max="5132" width="11.28515625" style="23" customWidth="1"/>
    <col min="5133" max="5133" width="11" style="23" customWidth="1"/>
    <col min="5134" max="5135" width="10.42578125" style="23" customWidth="1"/>
    <col min="5136" max="5136" width="10.85546875" style="23" customWidth="1"/>
    <col min="5137" max="5137" width="11" style="23" customWidth="1"/>
    <col min="5138" max="5376" width="9.140625" style="23"/>
    <col min="5377" max="5377" width="0.28515625" style="23" customWidth="1"/>
    <col min="5378" max="5378" width="1.140625" style="23" customWidth="1"/>
    <col min="5379" max="5379" width="2.140625" style="23" customWidth="1"/>
    <col min="5380" max="5380" width="1.28515625" style="23" customWidth="1"/>
    <col min="5381" max="5381" width="26.85546875" style="23" customWidth="1"/>
    <col min="5382" max="5382" width="12.28515625" style="23" customWidth="1"/>
    <col min="5383" max="5383" width="11.42578125" style="23" customWidth="1"/>
    <col min="5384" max="5384" width="10.85546875" style="23" customWidth="1"/>
    <col min="5385" max="5385" width="11" style="23" customWidth="1"/>
    <col min="5386" max="5386" width="11.140625" style="23" customWidth="1"/>
    <col min="5387" max="5387" width="10.28515625" style="23" customWidth="1"/>
    <col min="5388" max="5388" width="11.28515625" style="23" customWidth="1"/>
    <col min="5389" max="5389" width="11" style="23" customWidth="1"/>
    <col min="5390" max="5391" width="10.42578125" style="23" customWidth="1"/>
    <col min="5392" max="5392" width="10.85546875" style="23" customWidth="1"/>
    <col min="5393" max="5393" width="11" style="23" customWidth="1"/>
    <col min="5394" max="5632" width="9.140625" style="23"/>
    <col min="5633" max="5633" width="0.28515625" style="23" customWidth="1"/>
    <col min="5634" max="5634" width="1.140625" style="23" customWidth="1"/>
    <col min="5635" max="5635" width="2.140625" style="23" customWidth="1"/>
    <col min="5636" max="5636" width="1.28515625" style="23" customWidth="1"/>
    <col min="5637" max="5637" width="26.85546875" style="23" customWidth="1"/>
    <col min="5638" max="5638" width="12.28515625" style="23" customWidth="1"/>
    <col min="5639" max="5639" width="11.42578125" style="23" customWidth="1"/>
    <col min="5640" max="5640" width="10.85546875" style="23" customWidth="1"/>
    <col min="5641" max="5641" width="11" style="23" customWidth="1"/>
    <col min="5642" max="5642" width="11.140625" style="23" customWidth="1"/>
    <col min="5643" max="5643" width="10.28515625" style="23" customWidth="1"/>
    <col min="5644" max="5644" width="11.28515625" style="23" customWidth="1"/>
    <col min="5645" max="5645" width="11" style="23" customWidth="1"/>
    <col min="5646" max="5647" width="10.42578125" style="23" customWidth="1"/>
    <col min="5648" max="5648" width="10.85546875" style="23" customWidth="1"/>
    <col min="5649" max="5649" width="11" style="23" customWidth="1"/>
    <col min="5650" max="5888" width="9.140625" style="23"/>
    <col min="5889" max="5889" width="0.28515625" style="23" customWidth="1"/>
    <col min="5890" max="5890" width="1.140625" style="23" customWidth="1"/>
    <col min="5891" max="5891" width="2.140625" style="23" customWidth="1"/>
    <col min="5892" max="5892" width="1.28515625" style="23" customWidth="1"/>
    <col min="5893" max="5893" width="26.85546875" style="23" customWidth="1"/>
    <col min="5894" max="5894" width="12.28515625" style="23" customWidth="1"/>
    <col min="5895" max="5895" width="11.42578125" style="23" customWidth="1"/>
    <col min="5896" max="5896" width="10.85546875" style="23" customWidth="1"/>
    <col min="5897" max="5897" width="11" style="23" customWidth="1"/>
    <col min="5898" max="5898" width="11.140625" style="23" customWidth="1"/>
    <col min="5899" max="5899" width="10.28515625" style="23" customWidth="1"/>
    <col min="5900" max="5900" width="11.28515625" style="23" customWidth="1"/>
    <col min="5901" max="5901" width="11" style="23" customWidth="1"/>
    <col min="5902" max="5903" width="10.42578125" style="23" customWidth="1"/>
    <col min="5904" max="5904" width="10.85546875" style="23" customWidth="1"/>
    <col min="5905" max="5905" width="11" style="23" customWidth="1"/>
    <col min="5906" max="6144" width="9.140625" style="23"/>
    <col min="6145" max="6145" width="0.28515625" style="23" customWidth="1"/>
    <col min="6146" max="6146" width="1.140625" style="23" customWidth="1"/>
    <col min="6147" max="6147" width="2.140625" style="23" customWidth="1"/>
    <col min="6148" max="6148" width="1.28515625" style="23" customWidth="1"/>
    <col min="6149" max="6149" width="26.85546875" style="23" customWidth="1"/>
    <col min="6150" max="6150" width="12.28515625" style="23" customWidth="1"/>
    <col min="6151" max="6151" width="11.42578125" style="23" customWidth="1"/>
    <col min="6152" max="6152" width="10.85546875" style="23" customWidth="1"/>
    <col min="6153" max="6153" width="11" style="23" customWidth="1"/>
    <col min="6154" max="6154" width="11.140625" style="23" customWidth="1"/>
    <col min="6155" max="6155" width="10.28515625" style="23" customWidth="1"/>
    <col min="6156" max="6156" width="11.28515625" style="23" customWidth="1"/>
    <col min="6157" max="6157" width="11" style="23" customWidth="1"/>
    <col min="6158" max="6159" width="10.42578125" style="23" customWidth="1"/>
    <col min="6160" max="6160" width="10.85546875" style="23" customWidth="1"/>
    <col min="6161" max="6161" width="11" style="23" customWidth="1"/>
    <col min="6162" max="6400" width="9.140625" style="23"/>
    <col min="6401" max="6401" width="0.28515625" style="23" customWidth="1"/>
    <col min="6402" max="6402" width="1.140625" style="23" customWidth="1"/>
    <col min="6403" max="6403" width="2.140625" style="23" customWidth="1"/>
    <col min="6404" max="6404" width="1.28515625" style="23" customWidth="1"/>
    <col min="6405" max="6405" width="26.85546875" style="23" customWidth="1"/>
    <col min="6406" max="6406" width="12.28515625" style="23" customWidth="1"/>
    <col min="6407" max="6407" width="11.42578125" style="23" customWidth="1"/>
    <col min="6408" max="6408" width="10.85546875" style="23" customWidth="1"/>
    <col min="6409" max="6409" width="11" style="23" customWidth="1"/>
    <col min="6410" max="6410" width="11.140625" style="23" customWidth="1"/>
    <col min="6411" max="6411" width="10.28515625" style="23" customWidth="1"/>
    <col min="6412" max="6412" width="11.28515625" style="23" customWidth="1"/>
    <col min="6413" max="6413" width="11" style="23" customWidth="1"/>
    <col min="6414" max="6415" width="10.42578125" style="23" customWidth="1"/>
    <col min="6416" max="6416" width="10.85546875" style="23" customWidth="1"/>
    <col min="6417" max="6417" width="11" style="23" customWidth="1"/>
    <col min="6418" max="6656" width="9.140625" style="23"/>
    <col min="6657" max="6657" width="0.28515625" style="23" customWidth="1"/>
    <col min="6658" max="6658" width="1.140625" style="23" customWidth="1"/>
    <col min="6659" max="6659" width="2.140625" style="23" customWidth="1"/>
    <col min="6660" max="6660" width="1.28515625" style="23" customWidth="1"/>
    <col min="6661" max="6661" width="26.85546875" style="23" customWidth="1"/>
    <col min="6662" max="6662" width="12.28515625" style="23" customWidth="1"/>
    <col min="6663" max="6663" width="11.42578125" style="23" customWidth="1"/>
    <col min="6664" max="6664" width="10.85546875" style="23" customWidth="1"/>
    <col min="6665" max="6665" width="11" style="23" customWidth="1"/>
    <col min="6666" max="6666" width="11.140625" style="23" customWidth="1"/>
    <col min="6667" max="6667" width="10.28515625" style="23" customWidth="1"/>
    <col min="6668" max="6668" width="11.28515625" style="23" customWidth="1"/>
    <col min="6669" max="6669" width="11" style="23" customWidth="1"/>
    <col min="6670" max="6671" width="10.42578125" style="23" customWidth="1"/>
    <col min="6672" max="6672" width="10.85546875" style="23" customWidth="1"/>
    <col min="6673" max="6673" width="11" style="23" customWidth="1"/>
    <col min="6674" max="6912" width="9.140625" style="23"/>
    <col min="6913" max="6913" width="0.28515625" style="23" customWidth="1"/>
    <col min="6914" max="6914" width="1.140625" style="23" customWidth="1"/>
    <col min="6915" max="6915" width="2.140625" style="23" customWidth="1"/>
    <col min="6916" max="6916" width="1.28515625" style="23" customWidth="1"/>
    <col min="6917" max="6917" width="26.85546875" style="23" customWidth="1"/>
    <col min="6918" max="6918" width="12.28515625" style="23" customWidth="1"/>
    <col min="6919" max="6919" width="11.42578125" style="23" customWidth="1"/>
    <col min="6920" max="6920" width="10.85546875" style="23" customWidth="1"/>
    <col min="6921" max="6921" width="11" style="23" customWidth="1"/>
    <col min="6922" max="6922" width="11.140625" style="23" customWidth="1"/>
    <col min="6923" max="6923" width="10.28515625" style="23" customWidth="1"/>
    <col min="6924" max="6924" width="11.28515625" style="23" customWidth="1"/>
    <col min="6925" max="6925" width="11" style="23" customWidth="1"/>
    <col min="6926" max="6927" width="10.42578125" style="23" customWidth="1"/>
    <col min="6928" max="6928" width="10.85546875" style="23" customWidth="1"/>
    <col min="6929" max="6929" width="11" style="23" customWidth="1"/>
    <col min="6930" max="7168" width="9.140625" style="23"/>
    <col min="7169" max="7169" width="0.28515625" style="23" customWidth="1"/>
    <col min="7170" max="7170" width="1.140625" style="23" customWidth="1"/>
    <col min="7171" max="7171" width="2.140625" style="23" customWidth="1"/>
    <col min="7172" max="7172" width="1.28515625" style="23" customWidth="1"/>
    <col min="7173" max="7173" width="26.85546875" style="23" customWidth="1"/>
    <col min="7174" max="7174" width="12.28515625" style="23" customWidth="1"/>
    <col min="7175" max="7175" width="11.42578125" style="23" customWidth="1"/>
    <col min="7176" max="7176" width="10.85546875" style="23" customWidth="1"/>
    <col min="7177" max="7177" width="11" style="23" customWidth="1"/>
    <col min="7178" max="7178" width="11.140625" style="23" customWidth="1"/>
    <col min="7179" max="7179" width="10.28515625" style="23" customWidth="1"/>
    <col min="7180" max="7180" width="11.28515625" style="23" customWidth="1"/>
    <col min="7181" max="7181" width="11" style="23" customWidth="1"/>
    <col min="7182" max="7183" width="10.42578125" style="23" customWidth="1"/>
    <col min="7184" max="7184" width="10.85546875" style="23" customWidth="1"/>
    <col min="7185" max="7185" width="11" style="23" customWidth="1"/>
    <col min="7186" max="7424" width="9.140625" style="23"/>
    <col min="7425" max="7425" width="0.28515625" style="23" customWidth="1"/>
    <col min="7426" max="7426" width="1.140625" style="23" customWidth="1"/>
    <col min="7427" max="7427" width="2.140625" style="23" customWidth="1"/>
    <col min="7428" max="7428" width="1.28515625" style="23" customWidth="1"/>
    <col min="7429" max="7429" width="26.85546875" style="23" customWidth="1"/>
    <col min="7430" max="7430" width="12.28515625" style="23" customWidth="1"/>
    <col min="7431" max="7431" width="11.42578125" style="23" customWidth="1"/>
    <col min="7432" max="7432" width="10.85546875" style="23" customWidth="1"/>
    <col min="7433" max="7433" width="11" style="23" customWidth="1"/>
    <col min="7434" max="7434" width="11.140625" style="23" customWidth="1"/>
    <col min="7435" max="7435" width="10.28515625" style="23" customWidth="1"/>
    <col min="7436" max="7436" width="11.28515625" style="23" customWidth="1"/>
    <col min="7437" max="7437" width="11" style="23" customWidth="1"/>
    <col min="7438" max="7439" width="10.42578125" style="23" customWidth="1"/>
    <col min="7440" max="7440" width="10.85546875" style="23" customWidth="1"/>
    <col min="7441" max="7441" width="11" style="23" customWidth="1"/>
    <col min="7442" max="7680" width="9.140625" style="23"/>
    <col min="7681" max="7681" width="0.28515625" style="23" customWidth="1"/>
    <col min="7682" max="7682" width="1.140625" style="23" customWidth="1"/>
    <col min="7683" max="7683" width="2.140625" style="23" customWidth="1"/>
    <col min="7684" max="7684" width="1.28515625" style="23" customWidth="1"/>
    <col min="7685" max="7685" width="26.85546875" style="23" customWidth="1"/>
    <col min="7686" max="7686" width="12.28515625" style="23" customWidth="1"/>
    <col min="7687" max="7687" width="11.42578125" style="23" customWidth="1"/>
    <col min="7688" max="7688" width="10.85546875" style="23" customWidth="1"/>
    <col min="7689" max="7689" width="11" style="23" customWidth="1"/>
    <col min="7690" max="7690" width="11.140625" style="23" customWidth="1"/>
    <col min="7691" max="7691" width="10.28515625" style="23" customWidth="1"/>
    <col min="7692" max="7692" width="11.28515625" style="23" customWidth="1"/>
    <col min="7693" max="7693" width="11" style="23" customWidth="1"/>
    <col min="7694" max="7695" width="10.42578125" style="23" customWidth="1"/>
    <col min="7696" max="7696" width="10.85546875" style="23" customWidth="1"/>
    <col min="7697" max="7697" width="11" style="23" customWidth="1"/>
    <col min="7698" max="7936" width="9.140625" style="23"/>
    <col min="7937" max="7937" width="0.28515625" style="23" customWidth="1"/>
    <col min="7938" max="7938" width="1.140625" style="23" customWidth="1"/>
    <col min="7939" max="7939" width="2.140625" style="23" customWidth="1"/>
    <col min="7940" max="7940" width="1.28515625" style="23" customWidth="1"/>
    <col min="7941" max="7941" width="26.85546875" style="23" customWidth="1"/>
    <col min="7942" max="7942" width="12.28515625" style="23" customWidth="1"/>
    <col min="7943" max="7943" width="11.42578125" style="23" customWidth="1"/>
    <col min="7944" max="7944" width="10.85546875" style="23" customWidth="1"/>
    <col min="7945" max="7945" width="11" style="23" customWidth="1"/>
    <col min="7946" max="7946" width="11.140625" style="23" customWidth="1"/>
    <col min="7947" max="7947" width="10.28515625" style="23" customWidth="1"/>
    <col min="7948" max="7948" width="11.28515625" style="23" customWidth="1"/>
    <col min="7949" max="7949" width="11" style="23" customWidth="1"/>
    <col min="7950" max="7951" width="10.42578125" style="23" customWidth="1"/>
    <col min="7952" max="7952" width="10.85546875" style="23" customWidth="1"/>
    <col min="7953" max="7953" width="11" style="23" customWidth="1"/>
    <col min="7954" max="8192" width="9.140625" style="23"/>
    <col min="8193" max="8193" width="0.28515625" style="23" customWidth="1"/>
    <col min="8194" max="8194" width="1.140625" style="23" customWidth="1"/>
    <col min="8195" max="8195" width="2.140625" style="23" customWidth="1"/>
    <col min="8196" max="8196" width="1.28515625" style="23" customWidth="1"/>
    <col min="8197" max="8197" width="26.85546875" style="23" customWidth="1"/>
    <col min="8198" max="8198" width="12.28515625" style="23" customWidth="1"/>
    <col min="8199" max="8199" width="11.42578125" style="23" customWidth="1"/>
    <col min="8200" max="8200" width="10.85546875" style="23" customWidth="1"/>
    <col min="8201" max="8201" width="11" style="23" customWidth="1"/>
    <col min="8202" max="8202" width="11.140625" style="23" customWidth="1"/>
    <col min="8203" max="8203" width="10.28515625" style="23" customWidth="1"/>
    <col min="8204" max="8204" width="11.28515625" style="23" customWidth="1"/>
    <col min="8205" max="8205" width="11" style="23" customWidth="1"/>
    <col min="8206" max="8207" width="10.42578125" style="23" customWidth="1"/>
    <col min="8208" max="8208" width="10.85546875" style="23" customWidth="1"/>
    <col min="8209" max="8209" width="11" style="23" customWidth="1"/>
    <col min="8210" max="8448" width="9.140625" style="23"/>
    <col min="8449" max="8449" width="0.28515625" style="23" customWidth="1"/>
    <col min="8450" max="8450" width="1.140625" style="23" customWidth="1"/>
    <col min="8451" max="8451" width="2.140625" style="23" customWidth="1"/>
    <col min="8452" max="8452" width="1.28515625" style="23" customWidth="1"/>
    <col min="8453" max="8453" width="26.85546875" style="23" customWidth="1"/>
    <col min="8454" max="8454" width="12.28515625" style="23" customWidth="1"/>
    <col min="8455" max="8455" width="11.42578125" style="23" customWidth="1"/>
    <col min="8456" max="8456" width="10.85546875" style="23" customWidth="1"/>
    <col min="8457" max="8457" width="11" style="23" customWidth="1"/>
    <col min="8458" max="8458" width="11.140625" style="23" customWidth="1"/>
    <col min="8459" max="8459" width="10.28515625" style="23" customWidth="1"/>
    <col min="8460" max="8460" width="11.28515625" style="23" customWidth="1"/>
    <col min="8461" max="8461" width="11" style="23" customWidth="1"/>
    <col min="8462" max="8463" width="10.42578125" style="23" customWidth="1"/>
    <col min="8464" max="8464" width="10.85546875" style="23" customWidth="1"/>
    <col min="8465" max="8465" width="11" style="23" customWidth="1"/>
    <col min="8466" max="8704" width="9.140625" style="23"/>
    <col min="8705" max="8705" width="0.28515625" style="23" customWidth="1"/>
    <col min="8706" max="8706" width="1.140625" style="23" customWidth="1"/>
    <col min="8707" max="8707" width="2.140625" style="23" customWidth="1"/>
    <col min="8708" max="8708" width="1.28515625" style="23" customWidth="1"/>
    <col min="8709" max="8709" width="26.85546875" style="23" customWidth="1"/>
    <col min="8710" max="8710" width="12.28515625" style="23" customWidth="1"/>
    <col min="8711" max="8711" width="11.42578125" style="23" customWidth="1"/>
    <col min="8712" max="8712" width="10.85546875" style="23" customWidth="1"/>
    <col min="8713" max="8713" width="11" style="23" customWidth="1"/>
    <col min="8714" max="8714" width="11.140625" style="23" customWidth="1"/>
    <col min="8715" max="8715" width="10.28515625" style="23" customWidth="1"/>
    <col min="8716" max="8716" width="11.28515625" style="23" customWidth="1"/>
    <col min="8717" max="8717" width="11" style="23" customWidth="1"/>
    <col min="8718" max="8719" width="10.42578125" style="23" customWidth="1"/>
    <col min="8720" max="8720" width="10.85546875" style="23" customWidth="1"/>
    <col min="8721" max="8721" width="11" style="23" customWidth="1"/>
    <col min="8722" max="8960" width="9.140625" style="23"/>
    <col min="8961" max="8961" width="0.28515625" style="23" customWidth="1"/>
    <col min="8962" max="8962" width="1.140625" style="23" customWidth="1"/>
    <col min="8963" max="8963" width="2.140625" style="23" customWidth="1"/>
    <col min="8964" max="8964" width="1.28515625" style="23" customWidth="1"/>
    <col min="8965" max="8965" width="26.85546875" style="23" customWidth="1"/>
    <col min="8966" max="8966" width="12.28515625" style="23" customWidth="1"/>
    <col min="8967" max="8967" width="11.42578125" style="23" customWidth="1"/>
    <col min="8968" max="8968" width="10.85546875" style="23" customWidth="1"/>
    <col min="8969" max="8969" width="11" style="23" customWidth="1"/>
    <col min="8970" max="8970" width="11.140625" style="23" customWidth="1"/>
    <col min="8971" max="8971" width="10.28515625" style="23" customWidth="1"/>
    <col min="8972" max="8972" width="11.28515625" style="23" customWidth="1"/>
    <col min="8973" max="8973" width="11" style="23" customWidth="1"/>
    <col min="8974" max="8975" width="10.42578125" style="23" customWidth="1"/>
    <col min="8976" max="8976" width="10.85546875" style="23" customWidth="1"/>
    <col min="8977" max="8977" width="11" style="23" customWidth="1"/>
    <col min="8978" max="9216" width="9.140625" style="23"/>
    <col min="9217" max="9217" width="0.28515625" style="23" customWidth="1"/>
    <col min="9218" max="9218" width="1.140625" style="23" customWidth="1"/>
    <col min="9219" max="9219" width="2.140625" style="23" customWidth="1"/>
    <col min="9220" max="9220" width="1.28515625" style="23" customWidth="1"/>
    <col min="9221" max="9221" width="26.85546875" style="23" customWidth="1"/>
    <col min="9222" max="9222" width="12.28515625" style="23" customWidth="1"/>
    <col min="9223" max="9223" width="11.42578125" style="23" customWidth="1"/>
    <col min="9224" max="9224" width="10.85546875" style="23" customWidth="1"/>
    <col min="9225" max="9225" width="11" style="23" customWidth="1"/>
    <col min="9226" max="9226" width="11.140625" style="23" customWidth="1"/>
    <col min="9227" max="9227" width="10.28515625" style="23" customWidth="1"/>
    <col min="9228" max="9228" width="11.28515625" style="23" customWidth="1"/>
    <col min="9229" max="9229" width="11" style="23" customWidth="1"/>
    <col min="9230" max="9231" width="10.42578125" style="23" customWidth="1"/>
    <col min="9232" max="9232" width="10.85546875" style="23" customWidth="1"/>
    <col min="9233" max="9233" width="11" style="23" customWidth="1"/>
    <col min="9234" max="9472" width="9.140625" style="23"/>
    <col min="9473" max="9473" width="0.28515625" style="23" customWidth="1"/>
    <col min="9474" max="9474" width="1.140625" style="23" customWidth="1"/>
    <col min="9475" max="9475" width="2.140625" style="23" customWidth="1"/>
    <col min="9476" max="9476" width="1.28515625" style="23" customWidth="1"/>
    <col min="9477" max="9477" width="26.85546875" style="23" customWidth="1"/>
    <col min="9478" max="9478" width="12.28515625" style="23" customWidth="1"/>
    <col min="9479" max="9479" width="11.42578125" style="23" customWidth="1"/>
    <col min="9480" max="9480" width="10.85546875" style="23" customWidth="1"/>
    <col min="9481" max="9481" width="11" style="23" customWidth="1"/>
    <col min="9482" max="9482" width="11.140625" style="23" customWidth="1"/>
    <col min="9483" max="9483" width="10.28515625" style="23" customWidth="1"/>
    <col min="9484" max="9484" width="11.28515625" style="23" customWidth="1"/>
    <col min="9485" max="9485" width="11" style="23" customWidth="1"/>
    <col min="9486" max="9487" width="10.42578125" style="23" customWidth="1"/>
    <col min="9488" max="9488" width="10.85546875" style="23" customWidth="1"/>
    <col min="9489" max="9489" width="11" style="23" customWidth="1"/>
    <col min="9490" max="9728" width="9.140625" style="23"/>
    <col min="9729" max="9729" width="0.28515625" style="23" customWidth="1"/>
    <col min="9730" max="9730" width="1.140625" style="23" customWidth="1"/>
    <col min="9731" max="9731" width="2.140625" style="23" customWidth="1"/>
    <col min="9732" max="9732" width="1.28515625" style="23" customWidth="1"/>
    <col min="9733" max="9733" width="26.85546875" style="23" customWidth="1"/>
    <col min="9734" max="9734" width="12.28515625" style="23" customWidth="1"/>
    <col min="9735" max="9735" width="11.42578125" style="23" customWidth="1"/>
    <col min="9736" max="9736" width="10.85546875" style="23" customWidth="1"/>
    <col min="9737" max="9737" width="11" style="23" customWidth="1"/>
    <col min="9738" max="9738" width="11.140625" style="23" customWidth="1"/>
    <col min="9739" max="9739" width="10.28515625" style="23" customWidth="1"/>
    <col min="9740" max="9740" width="11.28515625" style="23" customWidth="1"/>
    <col min="9741" max="9741" width="11" style="23" customWidth="1"/>
    <col min="9742" max="9743" width="10.42578125" style="23" customWidth="1"/>
    <col min="9744" max="9744" width="10.85546875" style="23" customWidth="1"/>
    <col min="9745" max="9745" width="11" style="23" customWidth="1"/>
    <col min="9746" max="9984" width="9.140625" style="23"/>
    <col min="9985" max="9985" width="0.28515625" style="23" customWidth="1"/>
    <col min="9986" max="9986" width="1.140625" style="23" customWidth="1"/>
    <col min="9987" max="9987" width="2.140625" style="23" customWidth="1"/>
    <col min="9988" max="9988" width="1.28515625" style="23" customWidth="1"/>
    <col min="9989" max="9989" width="26.85546875" style="23" customWidth="1"/>
    <col min="9990" max="9990" width="12.28515625" style="23" customWidth="1"/>
    <col min="9991" max="9991" width="11.42578125" style="23" customWidth="1"/>
    <col min="9992" max="9992" width="10.85546875" style="23" customWidth="1"/>
    <col min="9993" max="9993" width="11" style="23" customWidth="1"/>
    <col min="9994" max="9994" width="11.140625" style="23" customWidth="1"/>
    <col min="9995" max="9995" width="10.28515625" style="23" customWidth="1"/>
    <col min="9996" max="9996" width="11.28515625" style="23" customWidth="1"/>
    <col min="9997" max="9997" width="11" style="23" customWidth="1"/>
    <col min="9998" max="9999" width="10.42578125" style="23" customWidth="1"/>
    <col min="10000" max="10000" width="10.85546875" style="23" customWidth="1"/>
    <col min="10001" max="10001" width="11" style="23" customWidth="1"/>
    <col min="10002" max="10240" width="9.140625" style="23"/>
    <col min="10241" max="10241" width="0.28515625" style="23" customWidth="1"/>
    <col min="10242" max="10242" width="1.140625" style="23" customWidth="1"/>
    <col min="10243" max="10243" width="2.140625" style="23" customWidth="1"/>
    <col min="10244" max="10244" width="1.28515625" style="23" customWidth="1"/>
    <col min="10245" max="10245" width="26.85546875" style="23" customWidth="1"/>
    <col min="10246" max="10246" width="12.28515625" style="23" customWidth="1"/>
    <col min="10247" max="10247" width="11.42578125" style="23" customWidth="1"/>
    <col min="10248" max="10248" width="10.85546875" style="23" customWidth="1"/>
    <col min="10249" max="10249" width="11" style="23" customWidth="1"/>
    <col min="10250" max="10250" width="11.140625" style="23" customWidth="1"/>
    <col min="10251" max="10251" width="10.28515625" style="23" customWidth="1"/>
    <col min="10252" max="10252" width="11.28515625" style="23" customWidth="1"/>
    <col min="10253" max="10253" width="11" style="23" customWidth="1"/>
    <col min="10254" max="10255" width="10.42578125" style="23" customWidth="1"/>
    <col min="10256" max="10256" width="10.85546875" style="23" customWidth="1"/>
    <col min="10257" max="10257" width="11" style="23" customWidth="1"/>
    <col min="10258" max="10496" width="9.140625" style="23"/>
    <col min="10497" max="10497" width="0.28515625" style="23" customWidth="1"/>
    <col min="10498" max="10498" width="1.140625" style="23" customWidth="1"/>
    <col min="10499" max="10499" width="2.140625" style="23" customWidth="1"/>
    <col min="10500" max="10500" width="1.28515625" style="23" customWidth="1"/>
    <col min="10501" max="10501" width="26.85546875" style="23" customWidth="1"/>
    <col min="10502" max="10502" width="12.28515625" style="23" customWidth="1"/>
    <col min="10503" max="10503" width="11.42578125" style="23" customWidth="1"/>
    <col min="10504" max="10504" width="10.85546875" style="23" customWidth="1"/>
    <col min="10505" max="10505" width="11" style="23" customWidth="1"/>
    <col min="10506" max="10506" width="11.140625" style="23" customWidth="1"/>
    <col min="10507" max="10507" width="10.28515625" style="23" customWidth="1"/>
    <col min="10508" max="10508" width="11.28515625" style="23" customWidth="1"/>
    <col min="10509" max="10509" width="11" style="23" customWidth="1"/>
    <col min="10510" max="10511" width="10.42578125" style="23" customWidth="1"/>
    <col min="10512" max="10512" width="10.85546875" style="23" customWidth="1"/>
    <col min="10513" max="10513" width="11" style="23" customWidth="1"/>
    <col min="10514" max="10752" width="9.140625" style="23"/>
    <col min="10753" max="10753" width="0.28515625" style="23" customWidth="1"/>
    <col min="10754" max="10754" width="1.140625" style="23" customWidth="1"/>
    <col min="10755" max="10755" width="2.140625" style="23" customWidth="1"/>
    <col min="10756" max="10756" width="1.28515625" style="23" customWidth="1"/>
    <col min="10757" max="10757" width="26.85546875" style="23" customWidth="1"/>
    <col min="10758" max="10758" width="12.28515625" style="23" customWidth="1"/>
    <col min="10759" max="10759" width="11.42578125" style="23" customWidth="1"/>
    <col min="10760" max="10760" width="10.85546875" style="23" customWidth="1"/>
    <col min="10761" max="10761" width="11" style="23" customWidth="1"/>
    <col min="10762" max="10762" width="11.140625" style="23" customWidth="1"/>
    <col min="10763" max="10763" width="10.28515625" style="23" customWidth="1"/>
    <col min="10764" max="10764" width="11.28515625" style="23" customWidth="1"/>
    <col min="10765" max="10765" width="11" style="23" customWidth="1"/>
    <col min="10766" max="10767" width="10.42578125" style="23" customWidth="1"/>
    <col min="10768" max="10768" width="10.85546875" style="23" customWidth="1"/>
    <col min="10769" max="10769" width="11" style="23" customWidth="1"/>
    <col min="10770" max="11008" width="9.140625" style="23"/>
    <col min="11009" max="11009" width="0.28515625" style="23" customWidth="1"/>
    <col min="11010" max="11010" width="1.140625" style="23" customWidth="1"/>
    <col min="11011" max="11011" width="2.140625" style="23" customWidth="1"/>
    <col min="11012" max="11012" width="1.28515625" style="23" customWidth="1"/>
    <col min="11013" max="11013" width="26.85546875" style="23" customWidth="1"/>
    <col min="11014" max="11014" width="12.28515625" style="23" customWidth="1"/>
    <col min="11015" max="11015" width="11.42578125" style="23" customWidth="1"/>
    <col min="11016" max="11016" width="10.85546875" style="23" customWidth="1"/>
    <col min="11017" max="11017" width="11" style="23" customWidth="1"/>
    <col min="11018" max="11018" width="11.140625" style="23" customWidth="1"/>
    <col min="11019" max="11019" width="10.28515625" style="23" customWidth="1"/>
    <col min="11020" max="11020" width="11.28515625" style="23" customWidth="1"/>
    <col min="11021" max="11021" width="11" style="23" customWidth="1"/>
    <col min="11022" max="11023" width="10.42578125" style="23" customWidth="1"/>
    <col min="11024" max="11024" width="10.85546875" style="23" customWidth="1"/>
    <col min="11025" max="11025" width="11" style="23" customWidth="1"/>
    <col min="11026" max="11264" width="9.140625" style="23"/>
    <col min="11265" max="11265" width="0.28515625" style="23" customWidth="1"/>
    <col min="11266" max="11266" width="1.140625" style="23" customWidth="1"/>
    <col min="11267" max="11267" width="2.140625" style="23" customWidth="1"/>
    <col min="11268" max="11268" width="1.28515625" style="23" customWidth="1"/>
    <col min="11269" max="11269" width="26.85546875" style="23" customWidth="1"/>
    <col min="11270" max="11270" width="12.28515625" style="23" customWidth="1"/>
    <col min="11271" max="11271" width="11.42578125" style="23" customWidth="1"/>
    <col min="11272" max="11272" width="10.85546875" style="23" customWidth="1"/>
    <col min="11273" max="11273" width="11" style="23" customWidth="1"/>
    <col min="11274" max="11274" width="11.140625" style="23" customWidth="1"/>
    <col min="11275" max="11275" width="10.28515625" style="23" customWidth="1"/>
    <col min="11276" max="11276" width="11.28515625" style="23" customWidth="1"/>
    <col min="11277" max="11277" width="11" style="23" customWidth="1"/>
    <col min="11278" max="11279" width="10.42578125" style="23" customWidth="1"/>
    <col min="11280" max="11280" width="10.85546875" style="23" customWidth="1"/>
    <col min="11281" max="11281" width="11" style="23" customWidth="1"/>
    <col min="11282" max="11520" width="9.140625" style="23"/>
    <col min="11521" max="11521" width="0.28515625" style="23" customWidth="1"/>
    <col min="11522" max="11522" width="1.140625" style="23" customWidth="1"/>
    <col min="11523" max="11523" width="2.140625" style="23" customWidth="1"/>
    <col min="11524" max="11524" width="1.28515625" style="23" customWidth="1"/>
    <col min="11525" max="11525" width="26.85546875" style="23" customWidth="1"/>
    <col min="11526" max="11526" width="12.28515625" style="23" customWidth="1"/>
    <col min="11527" max="11527" width="11.42578125" style="23" customWidth="1"/>
    <col min="11528" max="11528" width="10.85546875" style="23" customWidth="1"/>
    <col min="11529" max="11529" width="11" style="23" customWidth="1"/>
    <col min="11530" max="11530" width="11.140625" style="23" customWidth="1"/>
    <col min="11531" max="11531" width="10.28515625" style="23" customWidth="1"/>
    <col min="11532" max="11532" width="11.28515625" style="23" customWidth="1"/>
    <col min="11533" max="11533" width="11" style="23" customWidth="1"/>
    <col min="11534" max="11535" width="10.42578125" style="23" customWidth="1"/>
    <col min="11536" max="11536" width="10.85546875" style="23" customWidth="1"/>
    <col min="11537" max="11537" width="11" style="23" customWidth="1"/>
    <col min="11538" max="11776" width="9.140625" style="23"/>
    <col min="11777" max="11777" width="0.28515625" style="23" customWidth="1"/>
    <col min="11778" max="11778" width="1.140625" style="23" customWidth="1"/>
    <col min="11779" max="11779" width="2.140625" style="23" customWidth="1"/>
    <col min="11780" max="11780" width="1.28515625" style="23" customWidth="1"/>
    <col min="11781" max="11781" width="26.85546875" style="23" customWidth="1"/>
    <col min="11782" max="11782" width="12.28515625" style="23" customWidth="1"/>
    <col min="11783" max="11783" width="11.42578125" style="23" customWidth="1"/>
    <col min="11784" max="11784" width="10.85546875" style="23" customWidth="1"/>
    <col min="11785" max="11785" width="11" style="23" customWidth="1"/>
    <col min="11786" max="11786" width="11.140625" style="23" customWidth="1"/>
    <col min="11787" max="11787" width="10.28515625" style="23" customWidth="1"/>
    <col min="11788" max="11788" width="11.28515625" style="23" customWidth="1"/>
    <col min="11789" max="11789" width="11" style="23" customWidth="1"/>
    <col min="11790" max="11791" width="10.42578125" style="23" customWidth="1"/>
    <col min="11792" max="11792" width="10.85546875" style="23" customWidth="1"/>
    <col min="11793" max="11793" width="11" style="23" customWidth="1"/>
    <col min="11794" max="12032" width="9.140625" style="23"/>
    <col min="12033" max="12033" width="0.28515625" style="23" customWidth="1"/>
    <col min="12034" max="12034" width="1.140625" style="23" customWidth="1"/>
    <col min="12035" max="12035" width="2.140625" style="23" customWidth="1"/>
    <col min="12036" max="12036" width="1.28515625" style="23" customWidth="1"/>
    <col min="12037" max="12037" width="26.85546875" style="23" customWidth="1"/>
    <col min="12038" max="12038" width="12.28515625" style="23" customWidth="1"/>
    <col min="12039" max="12039" width="11.42578125" style="23" customWidth="1"/>
    <col min="12040" max="12040" width="10.85546875" style="23" customWidth="1"/>
    <col min="12041" max="12041" width="11" style="23" customWidth="1"/>
    <col min="12042" max="12042" width="11.140625" style="23" customWidth="1"/>
    <col min="12043" max="12043" width="10.28515625" style="23" customWidth="1"/>
    <col min="12044" max="12044" width="11.28515625" style="23" customWidth="1"/>
    <col min="12045" max="12045" width="11" style="23" customWidth="1"/>
    <col min="12046" max="12047" width="10.42578125" style="23" customWidth="1"/>
    <col min="12048" max="12048" width="10.85546875" style="23" customWidth="1"/>
    <col min="12049" max="12049" width="11" style="23" customWidth="1"/>
    <col min="12050" max="12288" width="9.140625" style="23"/>
    <col min="12289" max="12289" width="0.28515625" style="23" customWidth="1"/>
    <col min="12290" max="12290" width="1.140625" style="23" customWidth="1"/>
    <col min="12291" max="12291" width="2.140625" style="23" customWidth="1"/>
    <col min="12292" max="12292" width="1.28515625" style="23" customWidth="1"/>
    <col min="12293" max="12293" width="26.85546875" style="23" customWidth="1"/>
    <col min="12294" max="12294" width="12.28515625" style="23" customWidth="1"/>
    <col min="12295" max="12295" width="11.42578125" style="23" customWidth="1"/>
    <col min="12296" max="12296" width="10.85546875" style="23" customWidth="1"/>
    <col min="12297" max="12297" width="11" style="23" customWidth="1"/>
    <col min="12298" max="12298" width="11.140625" style="23" customWidth="1"/>
    <col min="12299" max="12299" width="10.28515625" style="23" customWidth="1"/>
    <col min="12300" max="12300" width="11.28515625" style="23" customWidth="1"/>
    <col min="12301" max="12301" width="11" style="23" customWidth="1"/>
    <col min="12302" max="12303" width="10.42578125" style="23" customWidth="1"/>
    <col min="12304" max="12304" width="10.85546875" style="23" customWidth="1"/>
    <col min="12305" max="12305" width="11" style="23" customWidth="1"/>
    <col min="12306" max="12544" width="9.140625" style="23"/>
    <col min="12545" max="12545" width="0.28515625" style="23" customWidth="1"/>
    <col min="12546" max="12546" width="1.140625" style="23" customWidth="1"/>
    <col min="12547" max="12547" width="2.140625" style="23" customWidth="1"/>
    <col min="12548" max="12548" width="1.28515625" style="23" customWidth="1"/>
    <col min="12549" max="12549" width="26.85546875" style="23" customWidth="1"/>
    <col min="12550" max="12550" width="12.28515625" style="23" customWidth="1"/>
    <col min="12551" max="12551" width="11.42578125" style="23" customWidth="1"/>
    <col min="12552" max="12552" width="10.85546875" style="23" customWidth="1"/>
    <col min="12553" max="12553" width="11" style="23" customWidth="1"/>
    <col min="12554" max="12554" width="11.140625" style="23" customWidth="1"/>
    <col min="12555" max="12555" width="10.28515625" style="23" customWidth="1"/>
    <col min="12556" max="12556" width="11.28515625" style="23" customWidth="1"/>
    <col min="12557" max="12557" width="11" style="23" customWidth="1"/>
    <col min="12558" max="12559" width="10.42578125" style="23" customWidth="1"/>
    <col min="12560" max="12560" width="10.85546875" style="23" customWidth="1"/>
    <col min="12561" max="12561" width="11" style="23" customWidth="1"/>
    <col min="12562" max="12800" width="9.140625" style="23"/>
    <col min="12801" max="12801" width="0.28515625" style="23" customWidth="1"/>
    <col min="12802" max="12802" width="1.140625" style="23" customWidth="1"/>
    <col min="12803" max="12803" width="2.140625" style="23" customWidth="1"/>
    <col min="12804" max="12804" width="1.28515625" style="23" customWidth="1"/>
    <col min="12805" max="12805" width="26.85546875" style="23" customWidth="1"/>
    <col min="12806" max="12806" width="12.28515625" style="23" customWidth="1"/>
    <col min="12807" max="12807" width="11.42578125" style="23" customWidth="1"/>
    <col min="12808" max="12808" width="10.85546875" style="23" customWidth="1"/>
    <col min="12809" max="12809" width="11" style="23" customWidth="1"/>
    <col min="12810" max="12810" width="11.140625" style="23" customWidth="1"/>
    <col min="12811" max="12811" width="10.28515625" style="23" customWidth="1"/>
    <col min="12812" max="12812" width="11.28515625" style="23" customWidth="1"/>
    <col min="12813" max="12813" width="11" style="23" customWidth="1"/>
    <col min="12814" max="12815" width="10.42578125" style="23" customWidth="1"/>
    <col min="12816" max="12816" width="10.85546875" style="23" customWidth="1"/>
    <col min="12817" max="12817" width="11" style="23" customWidth="1"/>
    <col min="12818" max="13056" width="9.140625" style="23"/>
    <col min="13057" max="13057" width="0.28515625" style="23" customWidth="1"/>
    <col min="13058" max="13058" width="1.140625" style="23" customWidth="1"/>
    <col min="13059" max="13059" width="2.140625" style="23" customWidth="1"/>
    <col min="13060" max="13060" width="1.28515625" style="23" customWidth="1"/>
    <col min="13061" max="13061" width="26.85546875" style="23" customWidth="1"/>
    <col min="13062" max="13062" width="12.28515625" style="23" customWidth="1"/>
    <col min="13063" max="13063" width="11.42578125" style="23" customWidth="1"/>
    <col min="13064" max="13064" width="10.85546875" style="23" customWidth="1"/>
    <col min="13065" max="13065" width="11" style="23" customWidth="1"/>
    <col min="13066" max="13066" width="11.140625" style="23" customWidth="1"/>
    <col min="13067" max="13067" width="10.28515625" style="23" customWidth="1"/>
    <col min="13068" max="13068" width="11.28515625" style="23" customWidth="1"/>
    <col min="13069" max="13069" width="11" style="23" customWidth="1"/>
    <col min="13070" max="13071" width="10.42578125" style="23" customWidth="1"/>
    <col min="13072" max="13072" width="10.85546875" style="23" customWidth="1"/>
    <col min="13073" max="13073" width="11" style="23" customWidth="1"/>
    <col min="13074" max="13312" width="9.140625" style="23"/>
    <col min="13313" max="13313" width="0.28515625" style="23" customWidth="1"/>
    <col min="13314" max="13314" width="1.140625" style="23" customWidth="1"/>
    <col min="13315" max="13315" width="2.140625" style="23" customWidth="1"/>
    <col min="13316" max="13316" width="1.28515625" style="23" customWidth="1"/>
    <col min="13317" max="13317" width="26.85546875" style="23" customWidth="1"/>
    <col min="13318" max="13318" width="12.28515625" style="23" customWidth="1"/>
    <col min="13319" max="13319" width="11.42578125" style="23" customWidth="1"/>
    <col min="13320" max="13320" width="10.85546875" style="23" customWidth="1"/>
    <col min="13321" max="13321" width="11" style="23" customWidth="1"/>
    <col min="13322" max="13322" width="11.140625" style="23" customWidth="1"/>
    <col min="13323" max="13323" width="10.28515625" style="23" customWidth="1"/>
    <col min="13324" max="13324" width="11.28515625" style="23" customWidth="1"/>
    <col min="13325" max="13325" width="11" style="23" customWidth="1"/>
    <col min="13326" max="13327" width="10.42578125" style="23" customWidth="1"/>
    <col min="13328" max="13328" width="10.85546875" style="23" customWidth="1"/>
    <col min="13329" max="13329" width="11" style="23" customWidth="1"/>
    <col min="13330" max="13568" width="9.140625" style="23"/>
    <col min="13569" max="13569" width="0.28515625" style="23" customWidth="1"/>
    <col min="13570" max="13570" width="1.140625" style="23" customWidth="1"/>
    <col min="13571" max="13571" width="2.140625" style="23" customWidth="1"/>
    <col min="13572" max="13572" width="1.28515625" style="23" customWidth="1"/>
    <col min="13573" max="13573" width="26.85546875" style="23" customWidth="1"/>
    <col min="13574" max="13574" width="12.28515625" style="23" customWidth="1"/>
    <col min="13575" max="13575" width="11.42578125" style="23" customWidth="1"/>
    <col min="13576" max="13576" width="10.85546875" style="23" customWidth="1"/>
    <col min="13577" max="13577" width="11" style="23" customWidth="1"/>
    <col min="13578" max="13578" width="11.140625" style="23" customWidth="1"/>
    <col min="13579" max="13579" width="10.28515625" style="23" customWidth="1"/>
    <col min="13580" max="13580" width="11.28515625" style="23" customWidth="1"/>
    <col min="13581" max="13581" width="11" style="23" customWidth="1"/>
    <col min="13582" max="13583" width="10.42578125" style="23" customWidth="1"/>
    <col min="13584" max="13584" width="10.85546875" style="23" customWidth="1"/>
    <col min="13585" max="13585" width="11" style="23" customWidth="1"/>
    <col min="13586" max="13824" width="9.140625" style="23"/>
    <col min="13825" max="13825" width="0.28515625" style="23" customWidth="1"/>
    <col min="13826" max="13826" width="1.140625" style="23" customWidth="1"/>
    <col min="13827" max="13827" width="2.140625" style="23" customWidth="1"/>
    <col min="13828" max="13828" width="1.28515625" style="23" customWidth="1"/>
    <col min="13829" max="13829" width="26.85546875" style="23" customWidth="1"/>
    <col min="13830" max="13830" width="12.28515625" style="23" customWidth="1"/>
    <col min="13831" max="13831" width="11.42578125" style="23" customWidth="1"/>
    <col min="13832" max="13832" width="10.85546875" style="23" customWidth="1"/>
    <col min="13833" max="13833" width="11" style="23" customWidth="1"/>
    <col min="13834" max="13834" width="11.140625" style="23" customWidth="1"/>
    <col min="13835" max="13835" width="10.28515625" style="23" customWidth="1"/>
    <col min="13836" max="13836" width="11.28515625" style="23" customWidth="1"/>
    <col min="13837" max="13837" width="11" style="23" customWidth="1"/>
    <col min="13838" max="13839" width="10.42578125" style="23" customWidth="1"/>
    <col min="13840" max="13840" width="10.85546875" style="23" customWidth="1"/>
    <col min="13841" max="13841" width="11" style="23" customWidth="1"/>
    <col min="13842" max="14080" width="9.140625" style="23"/>
    <col min="14081" max="14081" width="0.28515625" style="23" customWidth="1"/>
    <col min="14082" max="14082" width="1.140625" style="23" customWidth="1"/>
    <col min="14083" max="14083" width="2.140625" style="23" customWidth="1"/>
    <col min="14084" max="14084" width="1.28515625" style="23" customWidth="1"/>
    <col min="14085" max="14085" width="26.85546875" style="23" customWidth="1"/>
    <col min="14086" max="14086" width="12.28515625" style="23" customWidth="1"/>
    <col min="14087" max="14087" width="11.42578125" style="23" customWidth="1"/>
    <col min="14088" max="14088" width="10.85546875" style="23" customWidth="1"/>
    <col min="14089" max="14089" width="11" style="23" customWidth="1"/>
    <col min="14090" max="14090" width="11.140625" style="23" customWidth="1"/>
    <col min="14091" max="14091" width="10.28515625" style="23" customWidth="1"/>
    <col min="14092" max="14092" width="11.28515625" style="23" customWidth="1"/>
    <col min="14093" max="14093" width="11" style="23" customWidth="1"/>
    <col min="14094" max="14095" width="10.42578125" style="23" customWidth="1"/>
    <col min="14096" max="14096" width="10.85546875" style="23" customWidth="1"/>
    <col min="14097" max="14097" width="11" style="23" customWidth="1"/>
    <col min="14098" max="14336" width="9.140625" style="23"/>
    <col min="14337" max="14337" width="0.28515625" style="23" customWidth="1"/>
    <col min="14338" max="14338" width="1.140625" style="23" customWidth="1"/>
    <col min="14339" max="14339" width="2.140625" style="23" customWidth="1"/>
    <col min="14340" max="14340" width="1.28515625" style="23" customWidth="1"/>
    <col min="14341" max="14341" width="26.85546875" style="23" customWidth="1"/>
    <col min="14342" max="14342" width="12.28515625" style="23" customWidth="1"/>
    <col min="14343" max="14343" width="11.42578125" style="23" customWidth="1"/>
    <col min="14344" max="14344" width="10.85546875" style="23" customWidth="1"/>
    <col min="14345" max="14345" width="11" style="23" customWidth="1"/>
    <col min="14346" max="14346" width="11.140625" style="23" customWidth="1"/>
    <col min="14347" max="14347" width="10.28515625" style="23" customWidth="1"/>
    <col min="14348" max="14348" width="11.28515625" style="23" customWidth="1"/>
    <col min="14349" max="14349" width="11" style="23" customWidth="1"/>
    <col min="14350" max="14351" width="10.42578125" style="23" customWidth="1"/>
    <col min="14352" max="14352" width="10.85546875" style="23" customWidth="1"/>
    <col min="14353" max="14353" width="11" style="23" customWidth="1"/>
    <col min="14354" max="14592" width="9.140625" style="23"/>
    <col min="14593" max="14593" width="0.28515625" style="23" customWidth="1"/>
    <col min="14594" max="14594" width="1.140625" style="23" customWidth="1"/>
    <col min="14595" max="14595" width="2.140625" style="23" customWidth="1"/>
    <col min="14596" max="14596" width="1.28515625" style="23" customWidth="1"/>
    <col min="14597" max="14597" width="26.85546875" style="23" customWidth="1"/>
    <col min="14598" max="14598" width="12.28515625" style="23" customWidth="1"/>
    <col min="14599" max="14599" width="11.42578125" style="23" customWidth="1"/>
    <col min="14600" max="14600" width="10.85546875" style="23" customWidth="1"/>
    <col min="14601" max="14601" width="11" style="23" customWidth="1"/>
    <col min="14602" max="14602" width="11.140625" style="23" customWidth="1"/>
    <col min="14603" max="14603" width="10.28515625" style="23" customWidth="1"/>
    <col min="14604" max="14604" width="11.28515625" style="23" customWidth="1"/>
    <col min="14605" max="14605" width="11" style="23" customWidth="1"/>
    <col min="14606" max="14607" width="10.42578125" style="23" customWidth="1"/>
    <col min="14608" max="14608" width="10.85546875" style="23" customWidth="1"/>
    <col min="14609" max="14609" width="11" style="23" customWidth="1"/>
    <col min="14610" max="14848" width="9.140625" style="23"/>
    <col min="14849" max="14849" width="0.28515625" style="23" customWidth="1"/>
    <col min="14850" max="14850" width="1.140625" style="23" customWidth="1"/>
    <col min="14851" max="14851" width="2.140625" style="23" customWidth="1"/>
    <col min="14852" max="14852" width="1.28515625" style="23" customWidth="1"/>
    <col min="14853" max="14853" width="26.85546875" style="23" customWidth="1"/>
    <col min="14854" max="14854" width="12.28515625" style="23" customWidth="1"/>
    <col min="14855" max="14855" width="11.42578125" style="23" customWidth="1"/>
    <col min="14856" max="14856" width="10.85546875" style="23" customWidth="1"/>
    <col min="14857" max="14857" width="11" style="23" customWidth="1"/>
    <col min="14858" max="14858" width="11.140625" style="23" customWidth="1"/>
    <col min="14859" max="14859" width="10.28515625" style="23" customWidth="1"/>
    <col min="14860" max="14860" width="11.28515625" style="23" customWidth="1"/>
    <col min="14861" max="14861" width="11" style="23" customWidth="1"/>
    <col min="14862" max="14863" width="10.42578125" style="23" customWidth="1"/>
    <col min="14864" max="14864" width="10.85546875" style="23" customWidth="1"/>
    <col min="14865" max="14865" width="11" style="23" customWidth="1"/>
    <col min="14866" max="15104" width="9.140625" style="23"/>
    <col min="15105" max="15105" width="0.28515625" style="23" customWidth="1"/>
    <col min="15106" max="15106" width="1.140625" style="23" customWidth="1"/>
    <col min="15107" max="15107" width="2.140625" style="23" customWidth="1"/>
    <col min="15108" max="15108" width="1.28515625" style="23" customWidth="1"/>
    <col min="15109" max="15109" width="26.85546875" style="23" customWidth="1"/>
    <col min="15110" max="15110" width="12.28515625" style="23" customWidth="1"/>
    <col min="15111" max="15111" width="11.42578125" style="23" customWidth="1"/>
    <col min="15112" max="15112" width="10.85546875" style="23" customWidth="1"/>
    <col min="15113" max="15113" width="11" style="23" customWidth="1"/>
    <col min="15114" max="15114" width="11.140625" style="23" customWidth="1"/>
    <col min="15115" max="15115" width="10.28515625" style="23" customWidth="1"/>
    <col min="15116" max="15116" width="11.28515625" style="23" customWidth="1"/>
    <col min="15117" max="15117" width="11" style="23" customWidth="1"/>
    <col min="15118" max="15119" width="10.42578125" style="23" customWidth="1"/>
    <col min="15120" max="15120" width="10.85546875" style="23" customWidth="1"/>
    <col min="15121" max="15121" width="11" style="23" customWidth="1"/>
    <col min="15122" max="15360" width="9.140625" style="23"/>
    <col min="15361" max="15361" width="0.28515625" style="23" customWidth="1"/>
    <col min="15362" max="15362" width="1.140625" style="23" customWidth="1"/>
    <col min="15363" max="15363" width="2.140625" style="23" customWidth="1"/>
    <col min="15364" max="15364" width="1.28515625" style="23" customWidth="1"/>
    <col min="15365" max="15365" width="26.85546875" style="23" customWidth="1"/>
    <col min="15366" max="15366" width="12.28515625" style="23" customWidth="1"/>
    <col min="15367" max="15367" width="11.42578125" style="23" customWidth="1"/>
    <col min="15368" max="15368" width="10.85546875" style="23" customWidth="1"/>
    <col min="15369" max="15369" width="11" style="23" customWidth="1"/>
    <col min="15370" max="15370" width="11.140625" style="23" customWidth="1"/>
    <col min="15371" max="15371" width="10.28515625" style="23" customWidth="1"/>
    <col min="15372" max="15372" width="11.28515625" style="23" customWidth="1"/>
    <col min="15373" max="15373" width="11" style="23" customWidth="1"/>
    <col min="15374" max="15375" width="10.42578125" style="23" customWidth="1"/>
    <col min="15376" max="15376" width="10.85546875" style="23" customWidth="1"/>
    <col min="15377" max="15377" width="11" style="23" customWidth="1"/>
    <col min="15378" max="15616" width="9.140625" style="23"/>
    <col min="15617" max="15617" width="0.28515625" style="23" customWidth="1"/>
    <col min="15618" max="15618" width="1.140625" style="23" customWidth="1"/>
    <col min="15619" max="15619" width="2.140625" style="23" customWidth="1"/>
    <col min="15620" max="15620" width="1.28515625" style="23" customWidth="1"/>
    <col min="15621" max="15621" width="26.85546875" style="23" customWidth="1"/>
    <col min="15622" max="15622" width="12.28515625" style="23" customWidth="1"/>
    <col min="15623" max="15623" width="11.42578125" style="23" customWidth="1"/>
    <col min="15624" max="15624" width="10.85546875" style="23" customWidth="1"/>
    <col min="15625" max="15625" width="11" style="23" customWidth="1"/>
    <col min="15626" max="15626" width="11.140625" style="23" customWidth="1"/>
    <col min="15627" max="15627" width="10.28515625" style="23" customWidth="1"/>
    <col min="15628" max="15628" width="11.28515625" style="23" customWidth="1"/>
    <col min="15629" max="15629" width="11" style="23" customWidth="1"/>
    <col min="15630" max="15631" width="10.42578125" style="23" customWidth="1"/>
    <col min="15632" max="15632" width="10.85546875" style="23" customWidth="1"/>
    <col min="15633" max="15633" width="11" style="23" customWidth="1"/>
    <col min="15634" max="15872" width="9.140625" style="23"/>
    <col min="15873" max="15873" width="0.28515625" style="23" customWidth="1"/>
    <col min="15874" max="15874" width="1.140625" style="23" customWidth="1"/>
    <col min="15875" max="15875" width="2.140625" style="23" customWidth="1"/>
    <col min="15876" max="15876" width="1.28515625" style="23" customWidth="1"/>
    <col min="15877" max="15877" width="26.85546875" style="23" customWidth="1"/>
    <col min="15878" max="15878" width="12.28515625" style="23" customWidth="1"/>
    <col min="15879" max="15879" width="11.42578125" style="23" customWidth="1"/>
    <col min="15880" max="15880" width="10.85546875" style="23" customWidth="1"/>
    <col min="15881" max="15881" width="11" style="23" customWidth="1"/>
    <col min="15882" max="15882" width="11.140625" style="23" customWidth="1"/>
    <col min="15883" max="15883" width="10.28515625" style="23" customWidth="1"/>
    <col min="15884" max="15884" width="11.28515625" style="23" customWidth="1"/>
    <col min="15885" max="15885" width="11" style="23" customWidth="1"/>
    <col min="15886" max="15887" width="10.42578125" style="23" customWidth="1"/>
    <col min="15888" max="15888" width="10.85546875" style="23" customWidth="1"/>
    <col min="15889" max="15889" width="11" style="23" customWidth="1"/>
    <col min="15890" max="16128" width="9.140625" style="23"/>
    <col min="16129" max="16129" width="0.28515625" style="23" customWidth="1"/>
    <col min="16130" max="16130" width="1.140625" style="23" customWidth="1"/>
    <col min="16131" max="16131" width="2.140625" style="23" customWidth="1"/>
    <col min="16132" max="16132" width="1.28515625" style="23" customWidth="1"/>
    <col min="16133" max="16133" width="26.85546875" style="23" customWidth="1"/>
    <col min="16134" max="16134" width="12.28515625" style="23" customWidth="1"/>
    <col min="16135" max="16135" width="11.42578125" style="23" customWidth="1"/>
    <col min="16136" max="16136" width="10.85546875" style="23" customWidth="1"/>
    <col min="16137" max="16137" width="11" style="23" customWidth="1"/>
    <col min="16138" max="16138" width="11.140625" style="23" customWidth="1"/>
    <col min="16139" max="16139" width="10.28515625" style="23" customWidth="1"/>
    <col min="16140" max="16140" width="11.28515625" style="23" customWidth="1"/>
    <col min="16141" max="16141" width="11" style="23" customWidth="1"/>
    <col min="16142" max="16143" width="10.42578125" style="23" customWidth="1"/>
    <col min="16144" max="16144" width="10.85546875" style="23" customWidth="1"/>
    <col min="16145" max="16145" width="11" style="23" customWidth="1"/>
    <col min="16146" max="16384" width="9.140625" style="23"/>
  </cols>
  <sheetData>
    <row r="1" spans="1:17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x14ac:dyDescent="0.25">
      <c r="A2" s="96" t="s">
        <v>215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24" customHeight="1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7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7" ht="15" x14ac:dyDescent="0.25">
      <c r="A7" s="27" t="s">
        <v>107</v>
      </c>
      <c r="B7" s="27"/>
      <c r="C7" s="27"/>
      <c r="D7" s="27"/>
      <c r="E7" s="27"/>
      <c r="F7" s="6">
        <f>+F9+F62</f>
        <v>1255176.3740000001</v>
      </c>
      <c r="G7" s="6">
        <f t="shared" ref="G7:Q7" si="0">+G9+G62</f>
        <v>1163992.527</v>
      </c>
      <c r="H7" s="6">
        <f t="shared" si="0"/>
        <v>1163950.6410000001</v>
      </c>
      <c r="I7" s="6">
        <f t="shared" si="0"/>
        <v>1202973.9239999999</v>
      </c>
      <c r="J7" s="6">
        <f t="shared" si="0"/>
        <v>1239003.476</v>
      </c>
      <c r="K7" s="6">
        <f t="shared" si="0"/>
        <v>1288331.0429999998</v>
      </c>
      <c r="L7" s="6">
        <f t="shared" si="0"/>
        <v>1282128.895</v>
      </c>
      <c r="M7" s="6">
        <f t="shared" si="0"/>
        <v>1302550.8179999997</v>
      </c>
      <c r="N7" s="6">
        <f t="shared" si="0"/>
        <v>1308978.2030000002</v>
      </c>
      <c r="O7" s="6">
        <f t="shared" si="0"/>
        <v>1342493.7867999999</v>
      </c>
      <c r="P7" s="6">
        <f t="shared" si="0"/>
        <v>1386088.3569999998</v>
      </c>
      <c r="Q7" s="6">
        <f t="shared" si="0"/>
        <v>1372813.8270000003</v>
      </c>
    </row>
    <row r="8" spans="1:17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x14ac:dyDescent="0.25">
      <c r="B9" s="27" t="s">
        <v>108</v>
      </c>
      <c r="C9" s="27"/>
      <c r="D9" s="27"/>
      <c r="E9" s="27"/>
      <c r="F9" s="8">
        <f>F10+F27</f>
        <v>1234222.639</v>
      </c>
      <c r="G9" s="8">
        <f t="shared" ref="G9:Q9" si="1">G10+G27</f>
        <v>1148047.4979999999</v>
      </c>
      <c r="H9" s="8">
        <f t="shared" si="1"/>
        <v>1154012.365</v>
      </c>
      <c r="I9" s="8">
        <f t="shared" si="1"/>
        <v>1193066.4789999998</v>
      </c>
      <c r="J9" s="8">
        <f t="shared" si="1"/>
        <v>1229103.169</v>
      </c>
      <c r="K9" s="8">
        <f t="shared" si="1"/>
        <v>1278459.5789999999</v>
      </c>
      <c r="L9" s="8">
        <f t="shared" si="1"/>
        <v>1272274.648</v>
      </c>
      <c r="M9" s="8">
        <f t="shared" si="1"/>
        <v>1287707.3139999998</v>
      </c>
      <c r="N9" s="8">
        <f t="shared" si="1"/>
        <v>1292146.8120000002</v>
      </c>
      <c r="O9" s="8">
        <f t="shared" si="1"/>
        <v>1325673.3307999999</v>
      </c>
      <c r="P9" s="8">
        <f t="shared" si="1"/>
        <v>1369279.6949999998</v>
      </c>
      <c r="Q9" s="8">
        <f t="shared" si="1"/>
        <v>1354010.4600000002</v>
      </c>
    </row>
    <row r="10" spans="1:17" ht="15" x14ac:dyDescent="0.25">
      <c r="B10" s="27"/>
      <c r="C10" s="27" t="s">
        <v>24</v>
      </c>
      <c r="D10" s="27"/>
      <c r="E10" s="27"/>
      <c r="F10" s="8">
        <f>+F11+F16</f>
        <v>1001987.3089999999</v>
      </c>
      <c r="G10" s="8">
        <f t="shared" ref="G10:Q10" si="2">+G11+G16</f>
        <v>1008916.2959999999</v>
      </c>
      <c r="H10" s="8">
        <f t="shared" si="2"/>
        <v>1014908.076</v>
      </c>
      <c r="I10" s="8">
        <f t="shared" si="2"/>
        <v>1054029.4739999999</v>
      </c>
      <c r="J10" s="8">
        <f t="shared" si="2"/>
        <v>1090167.4739999999</v>
      </c>
      <c r="K10" s="8">
        <f t="shared" si="2"/>
        <v>1076512.8739999998</v>
      </c>
      <c r="L10" s="8">
        <f t="shared" si="2"/>
        <v>1070240.4739999999</v>
      </c>
      <c r="M10" s="8">
        <f t="shared" si="2"/>
        <v>1085585.2859999998</v>
      </c>
      <c r="N10" s="8">
        <f t="shared" si="2"/>
        <v>1089937.08</v>
      </c>
      <c r="O10" s="8">
        <f t="shared" si="2"/>
        <v>1123369.7867999999</v>
      </c>
      <c r="P10" s="8">
        <f t="shared" si="2"/>
        <v>1155395.5959999999</v>
      </c>
      <c r="Q10" s="8">
        <f t="shared" si="2"/>
        <v>1135258.6860000002</v>
      </c>
    </row>
    <row r="11" spans="1:17" ht="15" x14ac:dyDescent="0.25">
      <c r="B11" s="29"/>
      <c r="C11" s="29"/>
      <c r="D11" s="29" t="s">
        <v>109</v>
      </c>
      <c r="E11" s="29"/>
      <c r="F11" s="8">
        <f>SUM(F12:F14)</f>
        <v>426060.033</v>
      </c>
      <c r="G11" s="8">
        <f t="shared" ref="G11:Q11" si="3">SUM(G12:G14)</f>
        <v>418107.12</v>
      </c>
      <c r="H11" s="8">
        <f t="shared" si="3"/>
        <v>410644.4</v>
      </c>
      <c r="I11" s="8">
        <f t="shared" si="3"/>
        <v>431993.69999999995</v>
      </c>
      <c r="J11" s="8">
        <f t="shared" si="3"/>
        <v>443667.9</v>
      </c>
      <c r="K11" s="8">
        <f t="shared" si="3"/>
        <v>439886.6</v>
      </c>
      <c r="L11" s="8">
        <f t="shared" si="3"/>
        <v>413928.4</v>
      </c>
      <c r="M11" s="8">
        <f t="shared" si="3"/>
        <v>403684.5</v>
      </c>
      <c r="N11" s="8">
        <f t="shared" si="3"/>
        <v>404464.4</v>
      </c>
      <c r="O11" s="8">
        <f t="shared" si="3"/>
        <v>413339.5</v>
      </c>
      <c r="P11" s="8">
        <f t="shared" si="3"/>
        <v>428859.9</v>
      </c>
      <c r="Q11" s="8">
        <f t="shared" si="3"/>
        <v>405226.4</v>
      </c>
    </row>
    <row r="12" spans="1:17" x14ac:dyDescent="0.2">
      <c r="E12" s="23" t="s">
        <v>104</v>
      </c>
      <c r="F12" s="30">
        <f>22363.7+65000</f>
        <v>87363.7</v>
      </c>
      <c r="G12" s="30">
        <v>87099.6</v>
      </c>
      <c r="H12" s="30">
        <v>88877.2</v>
      </c>
      <c r="I12" s="30">
        <f>33953.2+65000</f>
        <v>98953.2</v>
      </c>
      <c r="J12" s="30">
        <f>47975.3+65000</f>
        <v>112975.3</v>
      </c>
      <c r="K12" s="30">
        <f>57993.8+65000</f>
        <v>122993.8</v>
      </c>
      <c r="L12" s="30">
        <f>43947.9+65000</f>
        <v>108947.9</v>
      </c>
      <c r="M12" s="30">
        <f>44633.3+65000</f>
        <v>109633.3</v>
      </c>
      <c r="N12" s="30">
        <f>62722.2+65000</f>
        <v>127722.2</v>
      </c>
      <c r="O12" s="30">
        <f>71571.4+65000</f>
        <v>136571.4</v>
      </c>
      <c r="P12" s="30">
        <f>63919.2+65000</f>
        <v>128919.2</v>
      </c>
      <c r="Q12" s="30">
        <f>34349.5+65000</f>
        <v>99349.5</v>
      </c>
    </row>
    <row r="13" spans="1:17" x14ac:dyDescent="0.2">
      <c r="E13" s="23" t="s">
        <v>105</v>
      </c>
      <c r="F13" s="30">
        <f>43342.9+60000</f>
        <v>103342.9</v>
      </c>
      <c r="G13" s="30">
        <v>111001.4</v>
      </c>
      <c r="H13" s="30">
        <v>117719.3</v>
      </c>
      <c r="I13" s="30">
        <f>66158.1+60000</f>
        <v>126158.1</v>
      </c>
      <c r="J13" s="30">
        <f>67373.7+60000</f>
        <v>127373.7</v>
      </c>
      <c r="K13" s="30">
        <f>73823.4+60000</f>
        <v>133823.4</v>
      </c>
      <c r="L13" s="30">
        <f>69613.9+60000</f>
        <v>129613.9</v>
      </c>
      <c r="M13" s="30">
        <f>63292.5+60000</f>
        <v>123292.5</v>
      </c>
      <c r="N13" s="30">
        <f>81436.2+60000</f>
        <v>141436.20000000001</v>
      </c>
      <c r="O13" s="30">
        <f>79230+60000</f>
        <v>139230</v>
      </c>
      <c r="P13" s="30">
        <f>97354.3+60000</f>
        <v>157354.29999999999</v>
      </c>
      <c r="Q13" s="30">
        <f>95181.8+60000</f>
        <v>155181.79999999999</v>
      </c>
    </row>
    <row r="14" spans="1:17" x14ac:dyDescent="0.2">
      <c r="E14" s="23" t="s">
        <v>106</v>
      </c>
      <c r="F14" s="30">
        <f>185785.133+49568.3</f>
        <v>235353.43300000002</v>
      </c>
      <c r="G14" s="30">
        <v>220006.12</v>
      </c>
      <c r="H14" s="30">
        <v>204047.9</v>
      </c>
      <c r="I14" s="30">
        <f>157314.4+49568</f>
        <v>206882.4</v>
      </c>
      <c r="J14" s="30">
        <f>153750.9+49568</f>
        <v>203318.9</v>
      </c>
      <c r="K14" s="30">
        <f>133501.4+49568</f>
        <v>183069.4</v>
      </c>
      <c r="L14" s="30">
        <f>125798.6+49568</f>
        <v>175366.6</v>
      </c>
      <c r="M14" s="30">
        <f>121190.7+49568</f>
        <v>170758.7</v>
      </c>
      <c r="N14" s="30">
        <f>85737.7+49568.3</f>
        <v>135306</v>
      </c>
      <c r="O14" s="30">
        <f>87969.8+49568.3</f>
        <v>137538.1</v>
      </c>
      <c r="P14" s="30">
        <f>93018.1+49568.3</f>
        <v>142586.40000000002</v>
      </c>
      <c r="Q14" s="30">
        <f>101126.8+49568.3</f>
        <v>150695.1</v>
      </c>
    </row>
    <row r="15" spans="1:17" x14ac:dyDescent="0.2"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15" x14ac:dyDescent="0.25">
      <c r="B16" s="29"/>
      <c r="C16" s="29"/>
      <c r="D16" s="29" t="s">
        <v>110</v>
      </c>
      <c r="E16" s="29"/>
      <c r="F16" s="8">
        <f>SUM(F17:F25)</f>
        <v>575927.27599999995</v>
      </c>
      <c r="G16" s="8">
        <f t="shared" ref="G16:M16" si="4">SUM(G17:G25)</f>
        <v>590809.17599999986</v>
      </c>
      <c r="H16" s="8">
        <f t="shared" si="4"/>
        <v>604263.67599999998</v>
      </c>
      <c r="I16" s="8">
        <f t="shared" si="4"/>
        <v>622035.77399999998</v>
      </c>
      <c r="J16" s="8">
        <f t="shared" si="4"/>
        <v>646499.57399999991</v>
      </c>
      <c r="K16" s="8">
        <f t="shared" si="4"/>
        <v>636626.27399999998</v>
      </c>
      <c r="L16" s="8">
        <f t="shared" si="4"/>
        <v>656312.07400000002</v>
      </c>
      <c r="M16" s="8">
        <f t="shared" si="4"/>
        <v>681900.78599999996</v>
      </c>
      <c r="N16" s="8">
        <f>SUM(N17:N25)-1</f>
        <v>685472.68</v>
      </c>
      <c r="O16" s="8">
        <f>SUM(O17:O25)</f>
        <v>710030.2868</v>
      </c>
      <c r="P16" s="8">
        <f>SUM(P17:P25)</f>
        <v>726535.696</v>
      </c>
      <c r="Q16" s="8">
        <f>SUM(Q17:Q25)</f>
        <v>730032.28600000008</v>
      </c>
    </row>
    <row r="17" spans="2:17" x14ac:dyDescent="0.2">
      <c r="E17" s="23" t="s">
        <v>111</v>
      </c>
      <c r="F17" s="30">
        <v>159544.88800000001</v>
      </c>
      <c r="G17" s="30">
        <v>165108.288</v>
      </c>
      <c r="H17" s="30">
        <v>164833.48800000001</v>
      </c>
      <c r="I17" s="30">
        <v>166307.88800000001</v>
      </c>
      <c r="J17" s="30">
        <v>178366.08799999999</v>
      </c>
      <c r="K17" s="30">
        <v>169231.18799999999</v>
      </c>
      <c r="L17" s="30">
        <v>167317.288</v>
      </c>
      <c r="M17" s="30">
        <v>174250.9</v>
      </c>
      <c r="N17" s="30">
        <v>160846.20000000001</v>
      </c>
      <c r="O17" s="30">
        <v>169715.20000000001</v>
      </c>
      <c r="P17" s="30">
        <v>175547.91</v>
      </c>
      <c r="Q17" s="30">
        <v>176832.8</v>
      </c>
    </row>
    <row r="18" spans="2:17" x14ac:dyDescent="0.2">
      <c r="E18" s="23" t="s">
        <v>28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6918.1</v>
      </c>
      <c r="M18" s="30">
        <v>18935</v>
      </c>
      <c r="N18" s="30">
        <v>31666.1</v>
      </c>
      <c r="O18" s="30">
        <v>35862.1</v>
      </c>
      <c r="P18" s="30">
        <v>36076.5</v>
      </c>
      <c r="Q18" s="30">
        <v>36076.5</v>
      </c>
    </row>
    <row r="19" spans="2:17" x14ac:dyDescent="0.2">
      <c r="E19" s="23" t="s">
        <v>112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3018.3</v>
      </c>
      <c r="M19" s="30">
        <v>6537.8</v>
      </c>
      <c r="N19" s="30">
        <v>7690.2</v>
      </c>
      <c r="O19" s="30">
        <v>10929.4</v>
      </c>
      <c r="P19" s="30">
        <v>14706.3</v>
      </c>
      <c r="Q19" s="30">
        <v>14706.3</v>
      </c>
    </row>
    <row r="20" spans="2:17" x14ac:dyDescent="0.2">
      <c r="E20" s="23" t="s">
        <v>27</v>
      </c>
      <c r="F20" s="30">
        <v>157268.97500000001</v>
      </c>
      <c r="G20" s="30">
        <v>163926.77499999999</v>
      </c>
      <c r="H20" s="30">
        <v>171611.17499999999</v>
      </c>
      <c r="I20" s="30">
        <v>179063.97500000001</v>
      </c>
      <c r="J20" s="30">
        <v>188237.77499999999</v>
      </c>
      <c r="K20" s="30">
        <v>187249.27499999999</v>
      </c>
      <c r="L20" s="30">
        <v>195705.17499999999</v>
      </c>
      <c r="M20" s="30">
        <v>198705.17499999999</v>
      </c>
      <c r="N20" s="30">
        <v>201705.17499999999</v>
      </c>
      <c r="O20" s="30">
        <v>205719.67499999999</v>
      </c>
      <c r="P20" s="30">
        <v>210600.77499999999</v>
      </c>
      <c r="Q20" s="30">
        <v>210900.77499999999</v>
      </c>
    </row>
    <row r="21" spans="2:17" x14ac:dyDescent="0.2">
      <c r="E21" s="23" t="s">
        <v>26</v>
      </c>
      <c r="F21" s="30">
        <v>133881.29999999999</v>
      </c>
      <c r="G21" s="30">
        <v>136444.1</v>
      </c>
      <c r="H21" s="30">
        <v>138399.1</v>
      </c>
      <c r="I21" s="30">
        <v>140780.79999999999</v>
      </c>
      <c r="J21" s="30">
        <v>141984</v>
      </c>
      <c r="K21" s="30">
        <v>142232.79999999999</v>
      </c>
      <c r="L21" s="30">
        <v>142383.1</v>
      </c>
      <c r="M21" s="30">
        <v>142466.9</v>
      </c>
      <c r="N21" s="30">
        <v>142514.9</v>
      </c>
      <c r="O21" s="30">
        <v>143735</v>
      </c>
      <c r="P21" s="30">
        <v>145535.29999999999</v>
      </c>
      <c r="Q21" s="30">
        <v>147447</v>
      </c>
    </row>
    <row r="22" spans="2:17" x14ac:dyDescent="0.2">
      <c r="E22" s="23" t="s">
        <v>113</v>
      </c>
      <c r="F22" s="30">
        <v>107083.747</v>
      </c>
      <c r="G22" s="30">
        <v>107181.647</v>
      </c>
      <c r="H22" s="30">
        <v>107259.04700000001</v>
      </c>
      <c r="I22" s="30">
        <v>113721.045</v>
      </c>
      <c r="J22" s="30">
        <v>115738.845</v>
      </c>
      <c r="K22" s="30">
        <v>115738.845</v>
      </c>
      <c r="L22" s="30">
        <v>115739.545</v>
      </c>
      <c r="M22" s="30">
        <v>115749.145</v>
      </c>
      <c r="N22" s="30">
        <v>115758.845</v>
      </c>
      <c r="O22" s="30">
        <v>117769.4458</v>
      </c>
      <c r="P22" s="30">
        <v>117769.44500000001</v>
      </c>
      <c r="Q22" s="30">
        <v>117769.44500000001</v>
      </c>
    </row>
    <row r="23" spans="2:17" x14ac:dyDescent="0.2">
      <c r="E23" s="23" t="s">
        <v>114</v>
      </c>
      <c r="F23" s="30">
        <v>9849.2659999999996</v>
      </c>
      <c r="G23" s="30">
        <v>9849.2659999999996</v>
      </c>
      <c r="H23" s="30">
        <v>13861.766</v>
      </c>
      <c r="I23" s="30">
        <v>13862.966</v>
      </c>
      <c r="J23" s="30">
        <v>13873.766</v>
      </c>
      <c r="K23" s="30">
        <v>13875.066000000001</v>
      </c>
      <c r="L23" s="30">
        <v>16931.466</v>
      </c>
      <c r="M23" s="30">
        <v>16956.766</v>
      </c>
      <c r="N23" s="30">
        <v>16993.16</v>
      </c>
      <c r="O23" s="30">
        <v>18000.366000000002</v>
      </c>
      <c r="P23" s="30">
        <v>18000.366000000002</v>
      </c>
      <c r="Q23" s="30">
        <v>18000.366000000002</v>
      </c>
    </row>
    <row r="24" spans="2:17" x14ac:dyDescent="0.2">
      <c r="E24" s="23" t="s">
        <v>115</v>
      </c>
      <c r="F24" s="30">
        <v>8202.1</v>
      </c>
      <c r="G24" s="30">
        <v>8202.1</v>
      </c>
      <c r="H24" s="30">
        <v>8202.1</v>
      </c>
      <c r="I24" s="30">
        <v>8202.1</v>
      </c>
      <c r="J24" s="30">
        <v>8202.1</v>
      </c>
      <c r="K24" s="30">
        <v>8202.1</v>
      </c>
      <c r="L24" s="30">
        <v>8202.1</v>
      </c>
      <c r="M24" s="30">
        <v>8202.1</v>
      </c>
      <c r="N24" s="30">
        <v>8202.1</v>
      </c>
      <c r="O24" s="30">
        <v>8202.1</v>
      </c>
      <c r="P24" s="30">
        <v>8202.1</v>
      </c>
      <c r="Q24" s="30">
        <v>8202.1</v>
      </c>
    </row>
    <row r="25" spans="2:17" x14ac:dyDescent="0.2">
      <c r="E25" s="23" t="s">
        <v>116</v>
      </c>
      <c r="F25" s="30">
        <v>97</v>
      </c>
      <c r="G25" s="30">
        <v>97</v>
      </c>
      <c r="H25" s="30">
        <v>97</v>
      </c>
      <c r="I25" s="30">
        <v>97</v>
      </c>
      <c r="J25" s="30">
        <v>97</v>
      </c>
      <c r="K25" s="30">
        <v>97</v>
      </c>
      <c r="L25" s="30">
        <v>97</v>
      </c>
      <c r="M25" s="30">
        <v>97</v>
      </c>
      <c r="N25" s="30">
        <v>97</v>
      </c>
      <c r="O25" s="30">
        <v>97</v>
      </c>
      <c r="P25" s="30">
        <v>97</v>
      </c>
      <c r="Q25" s="30">
        <v>97</v>
      </c>
    </row>
    <row r="26" spans="2:17" x14ac:dyDescent="0.2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2:17" ht="15" x14ac:dyDescent="0.25">
      <c r="B27" s="29"/>
      <c r="C27" s="29" t="s">
        <v>117</v>
      </c>
      <c r="D27" s="29"/>
      <c r="E27" s="29"/>
      <c r="F27" s="8">
        <f>+F28+F33+F35+F37+F41+F46+F48+F52+F54+F56+F58+F60</f>
        <v>232235.33000000002</v>
      </c>
      <c r="G27" s="8">
        <f t="shared" ref="G27:Q27" si="5">+G28+G33+G35+G37+G41+G46+G48+G52</f>
        <v>139131.20199999999</v>
      </c>
      <c r="H27" s="8">
        <f t="shared" si="5"/>
        <v>139104.28899999999</v>
      </c>
      <c r="I27" s="8">
        <f t="shared" si="5"/>
        <v>139037.005</v>
      </c>
      <c r="J27" s="8">
        <f t="shared" si="5"/>
        <v>138935.69500000001</v>
      </c>
      <c r="K27" s="8">
        <f t="shared" si="5"/>
        <v>201946.70499999999</v>
      </c>
      <c r="L27" s="8">
        <f t="shared" si="5"/>
        <v>202034.174</v>
      </c>
      <c r="M27" s="8">
        <f t="shared" si="5"/>
        <v>202122.02799999999</v>
      </c>
      <c r="N27" s="8">
        <f t="shared" si="5"/>
        <v>202209.73199999999</v>
      </c>
      <c r="O27" s="8">
        <f t="shared" si="5"/>
        <v>202303.54399999999</v>
      </c>
      <c r="P27" s="8">
        <f t="shared" si="5"/>
        <v>213884.09899999999</v>
      </c>
      <c r="Q27" s="8">
        <f t="shared" si="5"/>
        <v>218751.77399999998</v>
      </c>
    </row>
    <row r="28" spans="2:17" ht="15" x14ac:dyDescent="0.25">
      <c r="B28" s="29"/>
      <c r="C28" s="29"/>
      <c r="D28" s="29" t="s">
        <v>118</v>
      </c>
      <c r="E28" s="29"/>
      <c r="F28" s="8">
        <f t="shared" ref="F28:Q28" si="6">SUM(F29:F31)</f>
        <v>37993.159</v>
      </c>
      <c r="G28" s="8">
        <f t="shared" si="6"/>
        <v>37993.159</v>
      </c>
      <c r="H28" s="8">
        <f t="shared" si="6"/>
        <v>37993.159</v>
      </c>
      <c r="I28" s="8">
        <f t="shared" si="6"/>
        <v>37993.159</v>
      </c>
      <c r="J28" s="8">
        <f t="shared" si="6"/>
        <v>37993.159</v>
      </c>
      <c r="K28" s="8">
        <f t="shared" si="6"/>
        <v>100923.429</v>
      </c>
      <c r="L28" s="8">
        <f t="shared" si="6"/>
        <v>100923.429</v>
      </c>
      <c r="M28" s="8">
        <f t="shared" si="6"/>
        <v>100923.429</v>
      </c>
      <c r="N28" s="8">
        <f t="shared" si="6"/>
        <v>100923.429</v>
      </c>
      <c r="O28" s="8">
        <f t="shared" si="6"/>
        <v>100923.429</v>
      </c>
      <c r="P28" s="8">
        <f t="shared" si="6"/>
        <v>100923.429</v>
      </c>
      <c r="Q28" s="8">
        <f t="shared" si="6"/>
        <v>100923.429</v>
      </c>
    </row>
    <row r="29" spans="2:17" x14ac:dyDescent="0.2">
      <c r="E29" s="23" t="s">
        <v>119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23271.485000000001</v>
      </c>
      <c r="L29" s="30">
        <v>23259.744999999999</v>
      </c>
      <c r="M29" s="30">
        <v>23259.744999999999</v>
      </c>
      <c r="N29" s="30">
        <v>23259.744999999999</v>
      </c>
      <c r="O29" s="30">
        <v>23259.744999999999</v>
      </c>
      <c r="P29" s="30">
        <v>23259.744999999999</v>
      </c>
      <c r="Q29" s="30">
        <v>23259.744999999999</v>
      </c>
    </row>
    <row r="30" spans="2:17" x14ac:dyDescent="0.2">
      <c r="E30" s="23" t="s">
        <v>120</v>
      </c>
      <c r="F30" s="30">
        <v>37993.159</v>
      </c>
      <c r="G30" s="30">
        <v>37993.159</v>
      </c>
      <c r="H30" s="30">
        <v>37993.159</v>
      </c>
      <c r="I30" s="30">
        <v>37993.159</v>
      </c>
      <c r="J30" s="30">
        <v>37993.159</v>
      </c>
      <c r="K30" s="30">
        <v>37993.159</v>
      </c>
      <c r="L30" s="30">
        <v>37993.159</v>
      </c>
      <c r="M30" s="30">
        <v>37993.159</v>
      </c>
      <c r="N30" s="30">
        <v>37993.159</v>
      </c>
      <c r="O30" s="30">
        <v>37993.159</v>
      </c>
      <c r="P30" s="30">
        <v>37993.159</v>
      </c>
      <c r="Q30" s="30">
        <v>37993.159</v>
      </c>
    </row>
    <row r="31" spans="2:17" x14ac:dyDescent="0.2">
      <c r="E31" s="23" t="s">
        <v>121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39658.785000000003</v>
      </c>
      <c r="L31" s="30">
        <v>39670.525000000001</v>
      </c>
      <c r="M31" s="30">
        <v>39670.525000000001</v>
      </c>
      <c r="N31" s="30">
        <v>39670.525000000001</v>
      </c>
      <c r="O31" s="30">
        <v>39670.525000000001</v>
      </c>
      <c r="P31" s="30">
        <v>39670.525000000001</v>
      </c>
      <c r="Q31" s="30">
        <v>39670.525000000001</v>
      </c>
    </row>
    <row r="32" spans="2:17" x14ac:dyDescent="0.2"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2:17" ht="15" x14ac:dyDescent="0.25">
      <c r="B33" s="29"/>
      <c r="C33" s="29"/>
      <c r="D33" s="29" t="s">
        <v>122</v>
      </c>
      <c r="E33" s="29"/>
      <c r="F33" s="28">
        <v>30260</v>
      </c>
      <c r="G33" s="28">
        <v>30260</v>
      </c>
      <c r="H33" s="28">
        <v>30260</v>
      </c>
      <c r="I33" s="28">
        <v>30260</v>
      </c>
      <c r="J33" s="28">
        <v>30260</v>
      </c>
      <c r="K33" s="28">
        <v>30260</v>
      </c>
      <c r="L33" s="28">
        <v>30260</v>
      </c>
      <c r="M33" s="28">
        <v>30260</v>
      </c>
      <c r="N33" s="28">
        <v>30260.235000000001</v>
      </c>
      <c r="O33" s="28">
        <v>30260.235000000001</v>
      </c>
      <c r="P33" s="28">
        <v>30260.235000000001</v>
      </c>
      <c r="Q33" s="28">
        <v>30260.235000000001</v>
      </c>
    </row>
    <row r="34" spans="2:17" x14ac:dyDescent="0.2"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2:17" ht="15" x14ac:dyDescent="0.25">
      <c r="C35" s="29"/>
      <c r="D35" s="29" t="s">
        <v>123</v>
      </c>
      <c r="E35" s="29"/>
      <c r="F35" s="28">
        <v>8000</v>
      </c>
      <c r="G35" s="28">
        <v>8000</v>
      </c>
      <c r="H35" s="28">
        <v>8000</v>
      </c>
      <c r="I35" s="28">
        <v>8000</v>
      </c>
      <c r="J35" s="28">
        <v>8000</v>
      </c>
      <c r="K35" s="28">
        <v>8000</v>
      </c>
      <c r="L35" s="28">
        <v>8000</v>
      </c>
      <c r="M35" s="28">
        <v>8000</v>
      </c>
      <c r="N35" s="28">
        <v>8000</v>
      </c>
      <c r="O35" s="28">
        <v>8000</v>
      </c>
      <c r="P35" s="28">
        <v>8000</v>
      </c>
      <c r="Q35" s="28">
        <v>8000</v>
      </c>
    </row>
    <row r="36" spans="2:17" x14ac:dyDescent="0.2"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7" ht="15" x14ac:dyDescent="0.25">
      <c r="C37" s="29"/>
      <c r="D37" s="29" t="s">
        <v>124</v>
      </c>
      <c r="E37" s="29"/>
      <c r="F37" s="8">
        <f>SUM(F38:F39)</f>
        <v>0</v>
      </c>
      <c r="G37" s="8">
        <f t="shared" ref="G37:M37" si="7">SUM(G38:G39)</f>
        <v>0</v>
      </c>
      <c r="H37" s="8">
        <f t="shared" si="7"/>
        <v>0</v>
      </c>
      <c r="I37" s="8">
        <f t="shared" si="7"/>
        <v>0</v>
      </c>
      <c r="J37" s="8">
        <f t="shared" si="7"/>
        <v>0</v>
      </c>
      <c r="K37" s="8">
        <f t="shared" si="7"/>
        <v>0</v>
      </c>
      <c r="L37" s="8">
        <f t="shared" si="7"/>
        <v>0</v>
      </c>
      <c r="M37" s="8">
        <f t="shared" si="7"/>
        <v>0</v>
      </c>
      <c r="N37" s="8">
        <f>SUM(N38:N39)</f>
        <v>0</v>
      </c>
      <c r="O37" s="8">
        <f>SUM(O38:O39)</f>
        <v>0</v>
      </c>
      <c r="P37" s="8">
        <f>SUM(P38:P39)</f>
        <v>11520</v>
      </c>
      <c r="Q37" s="8">
        <f>SUM(Q38:Q39)</f>
        <v>11520</v>
      </c>
    </row>
    <row r="38" spans="2:17" x14ac:dyDescent="0.2">
      <c r="E38" s="23" t="s">
        <v>119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6230</v>
      </c>
      <c r="Q38" s="30">
        <v>6230</v>
      </c>
    </row>
    <row r="39" spans="2:17" x14ac:dyDescent="0.2">
      <c r="E39" s="23" t="s">
        <v>121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5290</v>
      </c>
      <c r="Q39" s="30">
        <v>5290</v>
      </c>
    </row>
    <row r="40" spans="2:17" x14ac:dyDescent="0.2"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7" ht="15" x14ac:dyDescent="0.25">
      <c r="B41" s="29"/>
      <c r="C41" s="29"/>
      <c r="D41" s="29" t="s">
        <v>126</v>
      </c>
      <c r="E41" s="29"/>
      <c r="F41" s="8">
        <f t="shared" ref="F41:Q41" si="8">SUM(F42:F44)</f>
        <v>11810</v>
      </c>
      <c r="G41" s="8">
        <f t="shared" si="8"/>
        <v>11810</v>
      </c>
      <c r="H41" s="8">
        <f t="shared" si="8"/>
        <v>11810</v>
      </c>
      <c r="I41" s="8">
        <f t="shared" si="8"/>
        <v>11810</v>
      </c>
      <c r="J41" s="8">
        <f t="shared" si="8"/>
        <v>11810</v>
      </c>
      <c r="K41" s="8">
        <f t="shared" si="8"/>
        <v>11810</v>
      </c>
      <c r="L41" s="8">
        <f t="shared" si="8"/>
        <v>11810</v>
      </c>
      <c r="M41" s="8">
        <f t="shared" si="8"/>
        <v>11810</v>
      </c>
      <c r="N41" s="8">
        <f t="shared" si="8"/>
        <v>11810</v>
      </c>
      <c r="O41" s="8">
        <f t="shared" si="8"/>
        <v>11810</v>
      </c>
      <c r="P41" s="8">
        <f t="shared" si="8"/>
        <v>11810</v>
      </c>
      <c r="Q41" s="8">
        <f t="shared" si="8"/>
        <v>11810</v>
      </c>
    </row>
    <row r="42" spans="2:17" x14ac:dyDescent="0.2">
      <c r="E42" s="23" t="s">
        <v>129</v>
      </c>
      <c r="F42" s="30">
        <v>6330</v>
      </c>
      <c r="G42" s="30">
        <v>6330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</row>
    <row r="43" spans="2:17" x14ac:dyDescent="0.2">
      <c r="E43" s="23" t="s">
        <v>119</v>
      </c>
      <c r="F43" s="30">
        <v>0</v>
      </c>
      <c r="G43" s="30">
        <v>0</v>
      </c>
      <c r="H43" s="30">
        <v>6330</v>
      </c>
      <c r="I43" s="30">
        <v>6330</v>
      </c>
      <c r="J43" s="30">
        <v>6330</v>
      </c>
      <c r="K43" s="30">
        <v>6330</v>
      </c>
      <c r="L43" s="30">
        <v>6330</v>
      </c>
      <c r="M43" s="30">
        <v>6330</v>
      </c>
      <c r="N43" s="30">
        <v>6330</v>
      </c>
      <c r="O43" s="30">
        <v>6330</v>
      </c>
      <c r="P43" s="30">
        <v>6330</v>
      </c>
      <c r="Q43" s="30">
        <v>6330</v>
      </c>
    </row>
    <row r="44" spans="2:17" x14ac:dyDescent="0.2">
      <c r="E44" s="23" t="s">
        <v>121</v>
      </c>
      <c r="F44" s="30">
        <v>5480</v>
      </c>
      <c r="G44" s="30">
        <v>5480</v>
      </c>
      <c r="H44" s="30">
        <v>5480</v>
      </c>
      <c r="I44" s="30">
        <v>5480</v>
      </c>
      <c r="J44" s="30">
        <v>5480</v>
      </c>
      <c r="K44" s="30">
        <v>5480</v>
      </c>
      <c r="L44" s="30">
        <v>5480</v>
      </c>
      <c r="M44" s="30">
        <v>5480</v>
      </c>
      <c r="N44" s="30">
        <v>5480</v>
      </c>
      <c r="O44" s="30">
        <v>5480</v>
      </c>
      <c r="P44" s="30">
        <v>5480</v>
      </c>
      <c r="Q44" s="30">
        <v>5480</v>
      </c>
    </row>
    <row r="45" spans="2:17" x14ac:dyDescent="0.2"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7" ht="15" x14ac:dyDescent="0.25">
      <c r="B46" s="29"/>
      <c r="C46" s="29"/>
      <c r="D46" s="29" t="s">
        <v>127</v>
      </c>
      <c r="E46" s="29"/>
      <c r="F46" s="28">
        <v>9158</v>
      </c>
      <c r="G46" s="28">
        <v>9158</v>
      </c>
      <c r="H46" s="28">
        <v>9158</v>
      </c>
      <c r="I46" s="28">
        <v>9158</v>
      </c>
      <c r="J46" s="28">
        <v>9157.6149999999998</v>
      </c>
      <c r="K46" s="28">
        <v>9157.6149999999998</v>
      </c>
      <c r="L46" s="28">
        <v>9157.6149999999998</v>
      </c>
      <c r="M46" s="28">
        <v>9158</v>
      </c>
      <c r="N46" s="28">
        <v>9158</v>
      </c>
      <c r="O46" s="28">
        <v>9157.6149999999998</v>
      </c>
      <c r="P46" s="28">
        <v>9157.6149999999998</v>
      </c>
      <c r="Q46" s="28">
        <v>9157.6149999999998</v>
      </c>
    </row>
    <row r="47" spans="2:17" x14ac:dyDescent="0.2"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7" ht="15" x14ac:dyDescent="0.25">
      <c r="B48" s="29"/>
      <c r="C48" s="29"/>
      <c r="D48" s="29" t="s">
        <v>160</v>
      </c>
      <c r="E48" s="29"/>
      <c r="F48" s="8">
        <f t="shared" ref="F48:P48" si="9">SUM(F49:F50)</f>
        <v>6889.8580000000002</v>
      </c>
      <c r="G48" s="8">
        <f t="shared" si="9"/>
        <v>6910.0429999999997</v>
      </c>
      <c r="H48" s="8">
        <f t="shared" si="9"/>
        <v>6883.13</v>
      </c>
      <c r="I48" s="8">
        <f t="shared" si="9"/>
        <v>6815.8459999999995</v>
      </c>
      <c r="J48" s="8">
        <f t="shared" si="9"/>
        <v>6714.9210000000003</v>
      </c>
      <c r="K48" s="8">
        <f t="shared" si="9"/>
        <v>6795.6610000000001</v>
      </c>
      <c r="L48" s="8">
        <f t="shared" si="9"/>
        <v>6883.13</v>
      </c>
      <c r="M48" s="8">
        <f t="shared" si="9"/>
        <v>6970.5990000000002</v>
      </c>
      <c r="N48" s="8">
        <f t="shared" si="9"/>
        <v>7058.0680000000002</v>
      </c>
      <c r="O48" s="8">
        <f t="shared" si="9"/>
        <v>7152.2650000000003</v>
      </c>
      <c r="P48" s="8">
        <f t="shared" si="9"/>
        <v>7212.82</v>
      </c>
      <c r="Q48" s="8">
        <f>SUM(Q49:Q50)</f>
        <v>12080.495000000001</v>
      </c>
    </row>
    <row r="49" spans="1:17" x14ac:dyDescent="0.2">
      <c r="E49" s="23" t="s">
        <v>129</v>
      </c>
      <c r="F49" s="30">
        <v>3447.0810000000001</v>
      </c>
      <c r="G49" s="30">
        <v>3457.18</v>
      </c>
      <c r="H49" s="30">
        <v>3443.7150000000001</v>
      </c>
      <c r="I49" s="30">
        <v>3410.0520000000001</v>
      </c>
      <c r="J49" s="30">
        <v>3359.558</v>
      </c>
      <c r="K49" s="30">
        <v>3399.953</v>
      </c>
      <c r="L49" s="30">
        <v>3443.7150000000001</v>
      </c>
      <c r="M49" s="30">
        <v>3487.4769999999999</v>
      </c>
      <c r="N49" s="30">
        <v>3531.239</v>
      </c>
      <c r="O49" s="30">
        <v>3578.3670000000002</v>
      </c>
      <c r="P49" s="30">
        <v>3608.663</v>
      </c>
      <c r="Q49" s="30">
        <v>3571.634</v>
      </c>
    </row>
    <row r="50" spans="1:17" x14ac:dyDescent="0.2">
      <c r="E50" s="23" t="s">
        <v>119</v>
      </c>
      <c r="F50" s="30">
        <v>3442.777</v>
      </c>
      <c r="G50" s="30">
        <v>3452.8629999999998</v>
      </c>
      <c r="H50" s="30">
        <v>3439.415</v>
      </c>
      <c r="I50" s="30">
        <v>3405.7939999999999</v>
      </c>
      <c r="J50" s="30">
        <v>3355.3629999999998</v>
      </c>
      <c r="K50" s="30">
        <v>3395.7080000000001</v>
      </c>
      <c r="L50" s="30">
        <v>3439.415</v>
      </c>
      <c r="M50" s="30">
        <v>3483.1219999999998</v>
      </c>
      <c r="N50" s="30">
        <v>3526.8290000000002</v>
      </c>
      <c r="O50" s="30">
        <v>3573.8980000000001</v>
      </c>
      <c r="P50" s="30">
        <v>3604.1570000000002</v>
      </c>
      <c r="Q50" s="30">
        <v>8508.8610000000008</v>
      </c>
    </row>
    <row r="51" spans="1:17" x14ac:dyDescent="0.2"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15" x14ac:dyDescent="0.25">
      <c r="B52" s="29"/>
      <c r="C52" s="29"/>
      <c r="D52" s="29" t="s">
        <v>130</v>
      </c>
      <c r="E52" s="29"/>
      <c r="F52" s="28">
        <v>35000</v>
      </c>
      <c r="G52" s="28">
        <v>35000</v>
      </c>
      <c r="H52" s="28">
        <v>35000</v>
      </c>
      <c r="I52" s="28">
        <v>35000</v>
      </c>
      <c r="J52" s="28">
        <v>35000</v>
      </c>
      <c r="K52" s="28">
        <v>35000</v>
      </c>
      <c r="L52" s="28">
        <v>35000</v>
      </c>
      <c r="M52" s="28">
        <v>35000</v>
      </c>
      <c r="N52" s="28">
        <v>35000</v>
      </c>
      <c r="O52" s="28">
        <v>35000</v>
      </c>
      <c r="P52" s="28">
        <v>35000</v>
      </c>
      <c r="Q52" s="28">
        <v>35000</v>
      </c>
    </row>
    <row r="53" spans="1:17" x14ac:dyDescent="0.2"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5" x14ac:dyDescent="0.25">
      <c r="A54" s="29"/>
      <c r="B54" s="29"/>
      <c r="C54" s="29"/>
      <c r="D54" s="29" t="s">
        <v>161</v>
      </c>
      <c r="E54" s="29"/>
      <c r="F54" s="28">
        <f>80986.975-97.05</f>
        <v>80889.925000000003</v>
      </c>
      <c r="G54" s="28">
        <f>80915.77-97.05</f>
        <v>80818.720000000001</v>
      </c>
      <c r="H54" s="28">
        <f>80915.77-97.05</f>
        <v>80818.720000000001</v>
      </c>
      <c r="I54" s="28">
        <f>80915.77-97.05</f>
        <v>80818.720000000001</v>
      </c>
      <c r="J54" s="28">
        <f>80908.74-97.05</f>
        <v>80811.69</v>
      </c>
      <c r="K54" s="28">
        <f>80908.74-97.05</f>
        <v>80811.69</v>
      </c>
      <c r="L54" s="28">
        <f>80908.74-97.05</f>
        <v>80811.69</v>
      </c>
      <c r="M54" s="28">
        <f>80906.736-97.05</f>
        <v>80809.686000000002</v>
      </c>
      <c r="N54" s="28">
        <f>80849.531-97.05</f>
        <v>80752.481</v>
      </c>
      <c r="O54" s="28">
        <f>80849.581-97.05</f>
        <v>80752.531000000003</v>
      </c>
      <c r="P54" s="28">
        <f>80849.581-97.05</f>
        <v>80752.531000000003</v>
      </c>
      <c r="Q54" s="28">
        <f>80849.581-97.05</f>
        <v>80752.531000000003</v>
      </c>
    </row>
    <row r="55" spans="1:17" ht="15" x14ac:dyDescent="0.25">
      <c r="A55" s="29"/>
      <c r="B55" s="29"/>
      <c r="C55" s="29"/>
      <c r="D55" s="29"/>
      <c r="E55" s="29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ht="15" x14ac:dyDescent="0.25">
      <c r="A56" s="29"/>
      <c r="B56" s="29"/>
      <c r="C56" s="29"/>
      <c r="D56" s="29" t="s">
        <v>162</v>
      </c>
      <c r="E56" s="29"/>
      <c r="F56" s="28">
        <v>2415.5509999999999</v>
      </c>
      <c r="G56" s="28">
        <v>2415.5509999999999</v>
      </c>
      <c r="H56" s="28">
        <v>2415.5509999999999</v>
      </c>
      <c r="I56" s="28">
        <v>2415.5509999999999</v>
      </c>
      <c r="J56" s="28">
        <v>2415.5509999999999</v>
      </c>
      <c r="K56" s="28">
        <v>2415.5509999999999</v>
      </c>
      <c r="L56" s="28">
        <v>2415.5509999999999</v>
      </c>
      <c r="M56" s="28">
        <v>2415.5509999999999</v>
      </c>
      <c r="N56" s="28">
        <v>2415.5309999999999</v>
      </c>
      <c r="O56" s="28">
        <v>2415.5509999999999</v>
      </c>
      <c r="P56" s="28">
        <v>2415.5500000000002</v>
      </c>
      <c r="Q56" s="28">
        <v>2415.5509999999999</v>
      </c>
    </row>
    <row r="57" spans="1:17" ht="15" x14ac:dyDescent="0.25">
      <c r="A57" s="29"/>
      <c r="B57" s="29"/>
      <c r="C57" s="29"/>
      <c r="D57" s="29"/>
      <c r="E57" s="29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17" ht="15" x14ac:dyDescent="0.25">
      <c r="A58" s="29"/>
      <c r="B58" s="29"/>
      <c r="C58" s="29"/>
      <c r="D58" s="29" t="s">
        <v>163</v>
      </c>
      <c r="E58" s="29"/>
      <c r="F58" s="28">
        <v>9297.6589999999997</v>
      </c>
      <c r="G58" s="28">
        <v>9352.5509999999995</v>
      </c>
      <c r="H58" s="28">
        <v>9424.81</v>
      </c>
      <c r="I58" s="28">
        <v>9450.0869999999995</v>
      </c>
      <c r="J58" s="28">
        <v>9486.4089999999997</v>
      </c>
      <c r="K58" s="28">
        <v>9514.9030000000002</v>
      </c>
      <c r="L58" s="28">
        <v>9542.5869999999995</v>
      </c>
      <c r="M58" s="28">
        <v>9766.7520000000004</v>
      </c>
      <c r="N58" s="28">
        <v>9802.5810000000001</v>
      </c>
      <c r="O58" s="28">
        <v>9794.3760000000002</v>
      </c>
      <c r="P58" s="28">
        <v>9882.91</v>
      </c>
      <c r="Q58" s="28">
        <v>9858.1180000000004</v>
      </c>
    </row>
    <row r="59" spans="1:17" ht="15" x14ac:dyDescent="0.25">
      <c r="A59" s="29"/>
      <c r="B59" s="29"/>
      <c r="C59" s="29"/>
      <c r="D59" s="29"/>
      <c r="E59" s="29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1:17" ht="15" x14ac:dyDescent="0.25">
      <c r="A60" s="29"/>
      <c r="B60" s="29"/>
      <c r="C60" s="29"/>
      <c r="D60" s="29" t="s">
        <v>164</v>
      </c>
      <c r="E60" s="29"/>
      <c r="F60" s="28">
        <v>521.178</v>
      </c>
      <c r="G60" s="28">
        <v>522.87800000000004</v>
      </c>
      <c r="H60" s="28">
        <v>488.27800000000002</v>
      </c>
      <c r="I60" s="28">
        <v>484.24700000000001</v>
      </c>
      <c r="J60" s="28">
        <v>438.54700000000003</v>
      </c>
      <c r="K60" s="28">
        <v>403.74700000000001</v>
      </c>
      <c r="L60" s="28">
        <v>406.24700000000001</v>
      </c>
      <c r="M60" s="28">
        <v>380.24700000000001</v>
      </c>
      <c r="N60" s="28">
        <v>375.74700000000001</v>
      </c>
      <c r="O60" s="28">
        <v>341.84100000000001</v>
      </c>
      <c r="P60" s="28">
        <v>328.47699999999998</v>
      </c>
      <c r="Q60" s="28">
        <v>305.077</v>
      </c>
    </row>
    <row r="61" spans="1:17" ht="15" x14ac:dyDescent="0.25"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5" x14ac:dyDescent="0.25">
      <c r="A62" s="29" t="s">
        <v>137</v>
      </c>
      <c r="B62" s="29"/>
      <c r="C62" s="29"/>
      <c r="D62" s="29"/>
      <c r="E62" s="29"/>
      <c r="F62" s="8">
        <v>20953.735000000001</v>
      </c>
      <c r="G62" s="8">
        <v>15945.029</v>
      </c>
      <c r="H62" s="8">
        <v>9938.2759999999998</v>
      </c>
      <c r="I62" s="8">
        <v>9907.4449999999997</v>
      </c>
      <c r="J62" s="8">
        <v>9900.3070000000007</v>
      </c>
      <c r="K62" s="8">
        <v>9871.4639999999999</v>
      </c>
      <c r="L62" s="8">
        <v>9854.2469999999994</v>
      </c>
      <c r="M62" s="8">
        <v>14843.504000000001</v>
      </c>
      <c r="N62" s="8">
        <v>16831.391</v>
      </c>
      <c r="O62" s="8">
        <v>16820.455999999998</v>
      </c>
      <c r="P62" s="8">
        <v>16808.662</v>
      </c>
      <c r="Q62" s="8">
        <v>18803.366999999998</v>
      </c>
    </row>
    <row r="63" spans="1:17" x14ac:dyDescent="0.2">
      <c r="F63" s="32"/>
      <c r="G63" s="33"/>
      <c r="H63" s="32"/>
      <c r="I63" s="32"/>
      <c r="J63" s="32"/>
      <c r="K63" s="32"/>
      <c r="L63" s="32"/>
      <c r="M63" s="32"/>
      <c r="N63" s="32"/>
      <c r="O63" s="32"/>
      <c r="P63" s="32"/>
      <c r="Q63" s="32"/>
    </row>
    <row r="64" spans="1:17" x14ac:dyDescent="0.2">
      <c r="A64" s="34"/>
      <c r="B64" s="35"/>
      <c r="C64" s="35"/>
    </row>
    <row r="65" spans="1:7" x14ac:dyDescent="0.2">
      <c r="A65" s="34"/>
      <c r="B65" s="35"/>
      <c r="C65" s="35"/>
    </row>
    <row r="66" spans="1:7" x14ac:dyDescent="0.2">
      <c r="A66" s="34"/>
      <c r="B66" s="35" t="s">
        <v>21</v>
      </c>
      <c r="C66" s="35"/>
      <c r="D66" s="35"/>
      <c r="E66" s="35"/>
      <c r="F66" s="35"/>
      <c r="G66" s="37"/>
    </row>
    <row r="68" spans="1:7" x14ac:dyDescent="0.2">
      <c r="A68" s="35"/>
      <c r="B68" s="35"/>
      <c r="C68" s="35"/>
    </row>
    <row r="69" spans="1:7" x14ac:dyDescent="0.2">
      <c r="A69" s="36"/>
      <c r="B69" s="35"/>
      <c r="C69" s="35"/>
    </row>
  </sheetData>
  <mergeCells count="4">
    <mergeCell ref="A1:Q1"/>
    <mergeCell ref="A2:Q2"/>
    <mergeCell ref="A3:Q3"/>
    <mergeCell ref="A5:E5"/>
  </mergeCells>
  <printOptions horizontalCentered="1"/>
  <pageMargins left="0" right="0" top="0.45866141700000002" bottom="0.59055118110236204" header="0.511811023622047" footer="0.511811023622047"/>
  <pageSetup paperSize="9" scale="6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62"/>
  <sheetViews>
    <sheetView zoomScaleNormal="100" workbookViewId="0">
      <pane xSplit="5" ySplit="7" topLeftCell="F8" activePane="bottomRight" state="frozen"/>
      <selection activeCell="F20" sqref="F20"/>
      <selection pane="topRight" activeCell="F20" sqref="F20"/>
      <selection pane="bottomLeft" activeCell="F20" sqref="F20"/>
      <selection pane="bottomRight" activeCell="A2" sqref="A2:Q2"/>
    </sheetView>
  </sheetViews>
  <sheetFormatPr defaultColWidth="8.85546875" defaultRowHeight="14.25" x14ac:dyDescent="0.2"/>
  <cols>
    <col min="1" max="1" width="0.28515625" style="23" customWidth="1"/>
    <col min="2" max="2" width="1.140625" style="23" customWidth="1"/>
    <col min="3" max="3" width="2.140625" style="23" customWidth="1"/>
    <col min="4" max="4" width="1.28515625" style="23" customWidth="1"/>
    <col min="5" max="5" width="28.42578125" style="23" customWidth="1"/>
    <col min="6" max="17" width="11.140625" style="23" customWidth="1"/>
    <col min="18" max="256" width="9.140625" style="23"/>
    <col min="257" max="257" width="0.28515625" style="23" customWidth="1"/>
    <col min="258" max="258" width="1.140625" style="23" customWidth="1"/>
    <col min="259" max="259" width="2.140625" style="23" customWidth="1"/>
    <col min="260" max="260" width="1.28515625" style="23" customWidth="1"/>
    <col min="261" max="261" width="26.42578125" style="23" customWidth="1"/>
    <col min="262" max="263" width="11" style="23" customWidth="1"/>
    <col min="264" max="264" width="10.42578125" style="23" customWidth="1"/>
    <col min="265" max="266" width="10.7109375" style="23" customWidth="1"/>
    <col min="267" max="267" width="10.42578125" style="23" customWidth="1"/>
    <col min="268" max="269" width="9.85546875" style="23" customWidth="1"/>
    <col min="270" max="270" width="9.7109375" style="23" customWidth="1"/>
    <col min="271" max="271" width="10.42578125" style="23" customWidth="1"/>
    <col min="272" max="273" width="9.85546875" style="23" customWidth="1"/>
    <col min="274" max="512" width="9.140625" style="23"/>
    <col min="513" max="513" width="0.28515625" style="23" customWidth="1"/>
    <col min="514" max="514" width="1.140625" style="23" customWidth="1"/>
    <col min="515" max="515" width="2.140625" style="23" customWidth="1"/>
    <col min="516" max="516" width="1.28515625" style="23" customWidth="1"/>
    <col min="517" max="517" width="26.42578125" style="23" customWidth="1"/>
    <col min="518" max="519" width="11" style="23" customWidth="1"/>
    <col min="520" max="520" width="10.42578125" style="23" customWidth="1"/>
    <col min="521" max="522" width="10.7109375" style="23" customWidth="1"/>
    <col min="523" max="523" width="10.42578125" style="23" customWidth="1"/>
    <col min="524" max="525" width="9.85546875" style="23" customWidth="1"/>
    <col min="526" max="526" width="9.7109375" style="23" customWidth="1"/>
    <col min="527" max="527" width="10.42578125" style="23" customWidth="1"/>
    <col min="528" max="529" width="9.85546875" style="23" customWidth="1"/>
    <col min="530" max="768" width="9.140625" style="23"/>
    <col min="769" max="769" width="0.28515625" style="23" customWidth="1"/>
    <col min="770" max="770" width="1.140625" style="23" customWidth="1"/>
    <col min="771" max="771" width="2.140625" style="23" customWidth="1"/>
    <col min="772" max="772" width="1.28515625" style="23" customWidth="1"/>
    <col min="773" max="773" width="26.42578125" style="23" customWidth="1"/>
    <col min="774" max="775" width="11" style="23" customWidth="1"/>
    <col min="776" max="776" width="10.42578125" style="23" customWidth="1"/>
    <col min="777" max="778" width="10.7109375" style="23" customWidth="1"/>
    <col min="779" max="779" width="10.42578125" style="23" customWidth="1"/>
    <col min="780" max="781" width="9.85546875" style="23" customWidth="1"/>
    <col min="782" max="782" width="9.7109375" style="23" customWidth="1"/>
    <col min="783" max="783" width="10.42578125" style="23" customWidth="1"/>
    <col min="784" max="785" width="9.85546875" style="23" customWidth="1"/>
    <col min="786" max="1024" width="9.140625" style="23"/>
    <col min="1025" max="1025" width="0.28515625" style="23" customWidth="1"/>
    <col min="1026" max="1026" width="1.140625" style="23" customWidth="1"/>
    <col min="1027" max="1027" width="2.140625" style="23" customWidth="1"/>
    <col min="1028" max="1028" width="1.28515625" style="23" customWidth="1"/>
    <col min="1029" max="1029" width="26.42578125" style="23" customWidth="1"/>
    <col min="1030" max="1031" width="11" style="23" customWidth="1"/>
    <col min="1032" max="1032" width="10.42578125" style="23" customWidth="1"/>
    <col min="1033" max="1034" width="10.7109375" style="23" customWidth="1"/>
    <col min="1035" max="1035" width="10.42578125" style="23" customWidth="1"/>
    <col min="1036" max="1037" width="9.85546875" style="23" customWidth="1"/>
    <col min="1038" max="1038" width="9.7109375" style="23" customWidth="1"/>
    <col min="1039" max="1039" width="10.42578125" style="23" customWidth="1"/>
    <col min="1040" max="1041" width="9.85546875" style="23" customWidth="1"/>
    <col min="1042" max="1280" width="9.140625" style="23"/>
    <col min="1281" max="1281" width="0.28515625" style="23" customWidth="1"/>
    <col min="1282" max="1282" width="1.140625" style="23" customWidth="1"/>
    <col min="1283" max="1283" width="2.140625" style="23" customWidth="1"/>
    <col min="1284" max="1284" width="1.28515625" style="23" customWidth="1"/>
    <col min="1285" max="1285" width="26.42578125" style="23" customWidth="1"/>
    <col min="1286" max="1287" width="11" style="23" customWidth="1"/>
    <col min="1288" max="1288" width="10.42578125" style="23" customWidth="1"/>
    <col min="1289" max="1290" width="10.7109375" style="23" customWidth="1"/>
    <col min="1291" max="1291" width="10.42578125" style="23" customWidth="1"/>
    <col min="1292" max="1293" width="9.85546875" style="23" customWidth="1"/>
    <col min="1294" max="1294" width="9.7109375" style="23" customWidth="1"/>
    <col min="1295" max="1295" width="10.42578125" style="23" customWidth="1"/>
    <col min="1296" max="1297" width="9.85546875" style="23" customWidth="1"/>
    <col min="1298" max="1536" width="9.140625" style="23"/>
    <col min="1537" max="1537" width="0.28515625" style="23" customWidth="1"/>
    <col min="1538" max="1538" width="1.140625" style="23" customWidth="1"/>
    <col min="1539" max="1539" width="2.140625" style="23" customWidth="1"/>
    <col min="1540" max="1540" width="1.28515625" style="23" customWidth="1"/>
    <col min="1541" max="1541" width="26.42578125" style="23" customWidth="1"/>
    <col min="1542" max="1543" width="11" style="23" customWidth="1"/>
    <col min="1544" max="1544" width="10.42578125" style="23" customWidth="1"/>
    <col min="1545" max="1546" width="10.7109375" style="23" customWidth="1"/>
    <col min="1547" max="1547" width="10.42578125" style="23" customWidth="1"/>
    <col min="1548" max="1549" width="9.85546875" style="23" customWidth="1"/>
    <col min="1550" max="1550" width="9.7109375" style="23" customWidth="1"/>
    <col min="1551" max="1551" width="10.42578125" style="23" customWidth="1"/>
    <col min="1552" max="1553" width="9.85546875" style="23" customWidth="1"/>
    <col min="1554" max="1792" width="9.140625" style="23"/>
    <col min="1793" max="1793" width="0.28515625" style="23" customWidth="1"/>
    <col min="1794" max="1794" width="1.140625" style="23" customWidth="1"/>
    <col min="1795" max="1795" width="2.140625" style="23" customWidth="1"/>
    <col min="1796" max="1796" width="1.28515625" style="23" customWidth="1"/>
    <col min="1797" max="1797" width="26.42578125" style="23" customWidth="1"/>
    <col min="1798" max="1799" width="11" style="23" customWidth="1"/>
    <col min="1800" max="1800" width="10.42578125" style="23" customWidth="1"/>
    <col min="1801" max="1802" width="10.7109375" style="23" customWidth="1"/>
    <col min="1803" max="1803" width="10.42578125" style="23" customWidth="1"/>
    <col min="1804" max="1805" width="9.85546875" style="23" customWidth="1"/>
    <col min="1806" max="1806" width="9.7109375" style="23" customWidth="1"/>
    <col min="1807" max="1807" width="10.42578125" style="23" customWidth="1"/>
    <col min="1808" max="1809" width="9.85546875" style="23" customWidth="1"/>
    <col min="1810" max="2048" width="9.140625" style="23"/>
    <col min="2049" max="2049" width="0.28515625" style="23" customWidth="1"/>
    <col min="2050" max="2050" width="1.140625" style="23" customWidth="1"/>
    <col min="2051" max="2051" width="2.140625" style="23" customWidth="1"/>
    <col min="2052" max="2052" width="1.28515625" style="23" customWidth="1"/>
    <col min="2053" max="2053" width="26.42578125" style="23" customWidth="1"/>
    <col min="2054" max="2055" width="11" style="23" customWidth="1"/>
    <col min="2056" max="2056" width="10.42578125" style="23" customWidth="1"/>
    <col min="2057" max="2058" width="10.7109375" style="23" customWidth="1"/>
    <col min="2059" max="2059" width="10.42578125" style="23" customWidth="1"/>
    <col min="2060" max="2061" width="9.85546875" style="23" customWidth="1"/>
    <col min="2062" max="2062" width="9.7109375" style="23" customWidth="1"/>
    <col min="2063" max="2063" width="10.42578125" style="23" customWidth="1"/>
    <col min="2064" max="2065" width="9.85546875" style="23" customWidth="1"/>
    <col min="2066" max="2304" width="9.140625" style="23"/>
    <col min="2305" max="2305" width="0.28515625" style="23" customWidth="1"/>
    <col min="2306" max="2306" width="1.140625" style="23" customWidth="1"/>
    <col min="2307" max="2307" width="2.140625" style="23" customWidth="1"/>
    <col min="2308" max="2308" width="1.28515625" style="23" customWidth="1"/>
    <col min="2309" max="2309" width="26.42578125" style="23" customWidth="1"/>
    <col min="2310" max="2311" width="11" style="23" customWidth="1"/>
    <col min="2312" max="2312" width="10.42578125" style="23" customWidth="1"/>
    <col min="2313" max="2314" width="10.7109375" style="23" customWidth="1"/>
    <col min="2315" max="2315" width="10.42578125" style="23" customWidth="1"/>
    <col min="2316" max="2317" width="9.85546875" style="23" customWidth="1"/>
    <col min="2318" max="2318" width="9.7109375" style="23" customWidth="1"/>
    <col min="2319" max="2319" width="10.42578125" style="23" customWidth="1"/>
    <col min="2320" max="2321" width="9.85546875" style="23" customWidth="1"/>
    <col min="2322" max="2560" width="9.140625" style="23"/>
    <col min="2561" max="2561" width="0.28515625" style="23" customWidth="1"/>
    <col min="2562" max="2562" width="1.140625" style="23" customWidth="1"/>
    <col min="2563" max="2563" width="2.140625" style="23" customWidth="1"/>
    <col min="2564" max="2564" width="1.28515625" style="23" customWidth="1"/>
    <col min="2565" max="2565" width="26.42578125" style="23" customWidth="1"/>
    <col min="2566" max="2567" width="11" style="23" customWidth="1"/>
    <col min="2568" max="2568" width="10.42578125" style="23" customWidth="1"/>
    <col min="2569" max="2570" width="10.7109375" style="23" customWidth="1"/>
    <col min="2571" max="2571" width="10.42578125" style="23" customWidth="1"/>
    <col min="2572" max="2573" width="9.85546875" style="23" customWidth="1"/>
    <col min="2574" max="2574" width="9.7109375" style="23" customWidth="1"/>
    <col min="2575" max="2575" width="10.42578125" style="23" customWidth="1"/>
    <col min="2576" max="2577" width="9.85546875" style="23" customWidth="1"/>
    <col min="2578" max="2816" width="9.140625" style="23"/>
    <col min="2817" max="2817" width="0.28515625" style="23" customWidth="1"/>
    <col min="2818" max="2818" width="1.140625" style="23" customWidth="1"/>
    <col min="2819" max="2819" width="2.140625" style="23" customWidth="1"/>
    <col min="2820" max="2820" width="1.28515625" style="23" customWidth="1"/>
    <col min="2821" max="2821" width="26.42578125" style="23" customWidth="1"/>
    <col min="2822" max="2823" width="11" style="23" customWidth="1"/>
    <col min="2824" max="2824" width="10.42578125" style="23" customWidth="1"/>
    <col min="2825" max="2826" width="10.7109375" style="23" customWidth="1"/>
    <col min="2827" max="2827" width="10.42578125" style="23" customWidth="1"/>
    <col min="2828" max="2829" width="9.85546875" style="23" customWidth="1"/>
    <col min="2830" max="2830" width="9.7109375" style="23" customWidth="1"/>
    <col min="2831" max="2831" width="10.42578125" style="23" customWidth="1"/>
    <col min="2832" max="2833" width="9.85546875" style="23" customWidth="1"/>
    <col min="2834" max="3072" width="9.140625" style="23"/>
    <col min="3073" max="3073" width="0.28515625" style="23" customWidth="1"/>
    <col min="3074" max="3074" width="1.140625" style="23" customWidth="1"/>
    <col min="3075" max="3075" width="2.140625" style="23" customWidth="1"/>
    <col min="3076" max="3076" width="1.28515625" style="23" customWidth="1"/>
    <col min="3077" max="3077" width="26.42578125" style="23" customWidth="1"/>
    <col min="3078" max="3079" width="11" style="23" customWidth="1"/>
    <col min="3080" max="3080" width="10.42578125" style="23" customWidth="1"/>
    <col min="3081" max="3082" width="10.7109375" style="23" customWidth="1"/>
    <col min="3083" max="3083" width="10.42578125" style="23" customWidth="1"/>
    <col min="3084" max="3085" width="9.85546875" style="23" customWidth="1"/>
    <col min="3086" max="3086" width="9.7109375" style="23" customWidth="1"/>
    <col min="3087" max="3087" width="10.42578125" style="23" customWidth="1"/>
    <col min="3088" max="3089" width="9.85546875" style="23" customWidth="1"/>
    <col min="3090" max="3328" width="9.140625" style="23"/>
    <col min="3329" max="3329" width="0.28515625" style="23" customWidth="1"/>
    <col min="3330" max="3330" width="1.140625" style="23" customWidth="1"/>
    <col min="3331" max="3331" width="2.140625" style="23" customWidth="1"/>
    <col min="3332" max="3332" width="1.28515625" style="23" customWidth="1"/>
    <col min="3333" max="3333" width="26.42578125" style="23" customWidth="1"/>
    <col min="3334" max="3335" width="11" style="23" customWidth="1"/>
    <col min="3336" max="3336" width="10.42578125" style="23" customWidth="1"/>
    <col min="3337" max="3338" width="10.7109375" style="23" customWidth="1"/>
    <col min="3339" max="3339" width="10.42578125" style="23" customWidth="1"/>
    <col min="3340" max="3341" width="9.85546875" style="23" customWidth="1"/>
    <col min="3342" max="3342" width="9.7109375" style="23" customWidth="1"/>
    <col min="3343" max="3343" width="10.42578125" style="23" customWidth="1"/>
    <col min="3344" max="3345" width="9.85546875" style="23" customWidth="1"/>
    <col min="3346" max="3584" width="9.140625" style="23"/>
    <col min="3585" max="3585" width="0.28515625" style="23" customWidth="1"/>
    <col min="3586" max="3586" width="1.140625" style="23" customWidth="1"/>
    <col min="3587" max="3587" width="2.140625" style="23" customWidth="1"/>
    <col min="3588" max="3588" width="1.28515625" style="23" customWidth="1"/>
    <col min="3589" max="3589" width="26.42578125" style="23" customWidth="1"/>
    <col min="3590" max="3591" width="11" style="23" customWidth="1"/>
    <col min="3592" max="3592" width="10.42578125" style="23" customWidth="1"/>
    <col min="3593" max="3594" width="10.7109375" style="23" customWidth="1"/>
    <col min="3595" max="3595" width="10.42578125" style="23" customWidth="1"/>
    <col min="3596" max="3597" width="9.85546875" style="23" customWidth="1"/>
    <col min="3598" max="3598" width="9.7109375" style="23" customWidth="1"/>
    <col min="3599" max="3599" width="10.42578125" style="23" customWidth="1"/>
    <col min="3600" max="3601" width="9.85546875" style="23" customWidth="1"/>
    <col min="3602" max="3840" width="9.140625" style="23"/>
    <col min="3841" max="3841" width="0.28515625" style="23" customWidth="1"/>
    <col min="3842" max="3842" width="1.140625" style="23" customWidth="1"/>
    <col min="3843" max="3843" width="2.140625" style="23" customWidth="1"/>
    <col min="3844" max="3844" width="1.28515625" style="23" customWidth="1"/>
    <col min="3845" max="3845" width="26.42578125" style="23" customWidth="1"/>
    <col min="3846" max="3847" width="11" style="23" customWidth="1"/>
    <col min="3848" max="3848" width="10.42578125" style="23" customWidth="1"/>
    <col min="3849" max="3850" width="10.7109375" style="23" customWidth="1"/>
    <col min="3851" max="3851" width="10.42578125" style="23" customWidth="1"/>
    <col min="3852" max="3853" width="9.85546875" style="23" customWidth="1"/>
    <col min="3854" max="3854" width="9.7109375" style="23" customWidth="1"/>
    <col min="3855" max="3855" width="10.42578125" style="23" customWidth="1"/>
    <col min="3856" max="3857" width="9.85546875" style="23" customWidth="1"/>
    <col min="3858" max="4096" width="9.140625" style="23"/>
    <col min="4097" max="4097" width="0.28515625" style="23" customWidth="1"/>
    <col min="4098" max="4098" width="1.140625" style="23" customWidth="1"/>
    <col min="4099" max="4099" width="2.140625" style="23" customWidth="1"/>
    <col min="4100" max="4100" width="1.28515625" style="23" customWidth="1"/>
    <col min="4101" max="4101" width="26.42578125" style="23" customWidth="1"/>
    <col min="4102" max="4103" width="11" style="23" customWidth="1"/>
    <col min="4104" max="4104" width="10.42578125" style="23" customWidth="1"/>
    <col min="4105" max="4106" width="10.7109375" style="23" customWidth="1"/>
    <col min="4107" max="4107" width="10.42578125" style="23" customWidth="1"/>
    <col min="4108" max="4109" width="9.85546875" style="23" customWidth="1"/>
    <col min="4110" max="4110" width="9.7109375" style="23" customWidth="1"/>
    <col min="4111" max="4111" width="10.42578125" style="23" customWidth="1"/>
    <col min="4112" max="4113" width="9.85546875" style="23" customWidth="1"/>
    <col min="4114" max="4352" width="9.140625" style="23"/>
    <col min="4353" max="4353" width="0.28515625" style="23" customWidth="1"/>
    <col min="4354" max="4354" width="1.140625" style="23" customWidth="1"/>
    <col min="4355" max="4355" width="2.140625" style="23" customWidth="1"/>
    <col min="4356" max="4356" width="1.28515625" style="23" customWidth="1"/>
    <col min="4357" max="4357" width="26.42578125" style="23" customWidth="1"/>
    <col min="4358" max="4359" width="11" style="23" customWidth="1"/>
    <col min="4360" max="4360" width="10.42578125" style="23" customWidth="1"/>
    <col min="4361" max="4362" width="10.7109375" style="23" customWidth="1"/>
    <col min="4363" max="4363" width="10.42578125" style="23" customWidth="1"/>
    <col min="4364" max="4365" width="9.85546875" style="23" customWidth="1"/>
    <col min="4366" max="4366" width="9.7109375" style="23" customWidth="1"/>
    <col min="4367" max="4367" width="10.42578125" style="23" customWidth="1"/>
    <col min="4368" max="4369" width="9.85546875" style="23" customWidth="1"/>
    <col min="4370" max="4608" width="9.140625" style="23"/>
    <col min="4609" max="4609" width="0.28515625" style="23" customWidth="1"/>
    <col min="4610" max="4610" width="1.140625" style="23" customWidth="1"/>
    <col min="4611" max="4611" width="2.140625" style="23" customWidth="1"/>
    <col min="4612" max="4612" width="1.28515625" style="23" customWidth="1"/>
    <col min="4613" max="4613" width="26.42578125" style="23" customWidth="1"/>
    <col min="4614" max="4615" width="11" style="23" customWidth="1"/>
    <col min="4616" max="4616" width="10.42578125" style="23" customWidth="1"/>
    <col min="4617" max="4618" width="10.7109375" style="23" customWidth="1"/>
    <col min="4619" max="4619" width="10.42578125" style="23" customWidth="1"/>
    <col min="4620" max="4621" width="9.85546875" style="23" customWidth="1"/>
    <col min="4622" max="4622" width="9.7109375" style="23" customWidth="1"/>
    <col min="4623" max="4623" width="10.42578125" style="23" customWidth="1"/>
    <col min="4624" max="4625" width="9.85546875" style="23" customWidth="1"/>
    <col min="4626" max="4864" width="9.140625" style="23"/>
    <col min="4865" max="4865" width="0.28515625" style="23" customWidth="1"/>
    <col min="4866" max="4866" width="1.140625" style="23" customWidth="1"/>
    <col min="4867" max="4867" width="2.140625" style="23" customWidth="1"/>
    <col min="4868" max="4868" width="1.28515625" style="23" customWidth="1"/>
    <col min="4869" max="4869" width="26.42578125" style="23" customWidth="1"/>
    <col min="4870" max="4871" width="11" style="23" customWidth="1"/>
    <col min="4872" max="4872" width="10.42578125" style="23" customWidth="1"/>
    <col min="4873" max="4874" width="10.7109375" style="23" customWidth="1"/>
    <col min="4875" max="4875" width="10.42578125" style="23" customWidth="1"/>
    <col min="4876" max="4877" width="9.85546875" style="23" customWidth="1"/>
    <col min="4878" max="4878" width="9.7109375" style="23" customWidth="1"/>
    <col min="4879" max="4879" width="10.42578125" style="23" customWidth="1"/>
    <col min="4880" max="4881" width="9.85546875" style="23" customWidth="1"/>
    <col min="4882" max="5120" width="9.140625" style="23"/>
    <col min="5121" max="5121" width="0.28515625" style="23" customWidth="1"/>
    <col min="5122" max="5122" width="1.140625" style="23" customWidth="1"/>
    <col min="5123" max="5123" width="2.140625" style="23" customWidth="1"/>
    <col min="5124" max="5124" width="1.28515625" style="23" customWidth="1"/>
    <col min="5125" max="5125" width="26.42578125" style="23" customWidth="1"/>
    <col min="5126" max="5127" width="11" style="23" customWidth="1"/>
    <col min="5128" max="5128" width="10.42578125" style="23" customWidth="1"/>
    <col min="5129" max="5130" width="10.7109375" style="23" customWidth="1"/>
    <col min="5131" max="5131" width="10.42578125" style="23" customWidth="1"/>
    <col min="5132" max="5133" width="9.85546875" style="23" customWidth="1"/>
    <col min="5134" max="5134" width="9.7109375" style="23" customWidth="1"/>
    <col min="5135" max="5135" width="10.42578125" style="23" customWidth="1"/>
    <col min="5136" max="5137" width="9.85546875" style="23" customWidth="1"/>
    <col min="5138" max="5376" width="9.140625" style="23"/>
    <col min="5377" max="5377" width="0.28515625" style="23" customWidth="1"/>
    <col min="5378" max="5378" width="1.140625" style="23" customWidth="1"/>
    <col min="5379" max="5379" width="2.140625" style="23" customWidth="1"/>
    <col min="5380" max="5380" width="1.28515625" style="23" customWidth="1"/>
    <col min="5381" max="5381" width="26.42578125" style="23" customWidth="1"/>
    <col min="5382" max="5383" width="11" style="23" customWidth="1"/>
    <col min="5384" max="5384" width="10.42578125" style="23" customWidth="1"/>
    <col min="5385" max="5386" width="10.7109375" style="23" customWidth="1"/>
    <col min="5387" max="5387" width="10.42578125" style="23" customWidth="1"/>
    <col min="5388" max="5389" width="9.85546875" style="23" customWidth="1"/>
    <col min="5390" max="5390" width="9.7109375" style="23" customWidth="1"/>
    <col min="5391" max="5391" width="10.42578125" style="23" customWidth="1"/>
    <col min="5392" max="5393" width="9.85546875" style="23" customWidth="1"/>
    <col min="5394" max="5632" width="9.140625" style="23"/>
    <col min="5633" max="5633" width="0.28515625" style="23" customWidth="1"/>
    <col min="5634" max="5634" width="1.140625" style="23" customWidth="1"/>
    <col min="5635" max="5635" width="2.140625" style="23" customWidth="1"/>
    <col min="5636" max="5636" width="1.28515625" style="23" customWidth="1"/>
    <col min="5637" max="5637" width="26.42578125" style="23" customWidth="1"/>
    <col min="5638" max="5639" width="11" style="23" customWidth="1"/>
    <col min="5640" max="5640" width="10.42578125" style="23" customWidth="1"/>
    <col min="5641" max="5642" width="10.7109375" style="23" customWidth="1"/>
    <col min="5643" max="5643" width="10.42578125" style="23" customWidth="1"/>
    <col min="5644" max="5645" width="9.85546875" style="23" customWidth="1"/>
    <col min="5646" max="5646" width="9.7109375" style="23" customWidth="1"/>
    <col min="5647" max="5647" width="10.42578125" style="23" customWidth="1"/>
    <col min="5648" max="5649" width="9.85546875" style="23" customWidth="1"/>
    <col min="5650" max="5888" width="9.140625" style="23"/>
    <col min="5889" max="5889" width="0.28515625" style="23" customWidth="1"/>
    <col min="5890" max="5890" width="1.140625" style="23" customWidth="1"/>
    <col min="5891" max="5891" width="2.140625" style="23" customWidth="1"/>
    <col min="5892" max="5892" width="1.28515625" style="23" customWidth="1"/>
    <col min="5893" max="5893" width="26.42578125" style="23" customWidth="1"/>
    <col min="5894" max="5895" width="11" style="23" customWidth="1"/>
    <col min="5896" max="5896" width="10.42578125" style="23" customWidth="1"/>
    <col min="5897" max="5898" width="10.7109375" style="23" customWidth="1"/>
    <col min="5899" max="5899" width="10.42578125" style="23" customWidth="1"/>
    <col min="5900" max="5901" width="9.85546875" style="23" customWidth="1"/>
    <col min="5902" max="5902" width="9.7109375" style="23" customWidth="1"/>
    <col min="5903" max="5903" width="10.42578125" style="23" customWidth="1"/>
    <col min="5904" max="5905" width="9.85546875" style="23" customWidth="1"/>
    <col min="5906" max="6144" width="9.140625" style="23"/>
    <col min="6145" max="6145" width="0.28515625" style="23" customWidth="1"/>
    <col min="6146" max="6146" width="1.140625" style="23" customWidth="1"/>
    <col min="6147" max="6147" width="2.140625" style="23" customWidth="1"/>
    <col min="6148" max="6148" width="1.28515625" style="23" customWidth="1"/>
    <col min="6149" max="6149" width="26.42578125" style="23" customWidth="1"/>
    <col min="6150" max="6151" width="11" style="23" customWidth="1"/>
    <col min="6152" max="6152" width="10.42578125" style="23" customWidth="1"/>
    <col min="6153" max="6154" width="10.7109375" style="23" customWidth="1"/>
    <col min="6155" max="6155" width="10.42578125" style="23" customWidth="1"/>
    <col min="6156" max="6157" width="9.85546875" style="23" customWidth="1"/>
    <col min="6158" max="6158" width="9.7109375" style="23" customWidth="1"/>
    <col min="6159" max="6159" width="10.42578125" style="23" customWidth="1"/>
    <col min="6160" max="6161" width="9.85546875" style="23" customWidth="1"/>
    <col min="6162" max="6400" width="9.140625" style="23"/>
    <col min="6401" max="6401" width="0.28515625" style="23" customWidth="1"/>
    <col min="6402" max="6402" width="1.140625" style="23" customWidth="1"/>
    <col min="6403" max="6403" width="2.140625" style="23" customWidth="1"/>
    <col min="6404" max="6404" width="1.28515625" style="23" customWidth="1"/>
    <col min="6405" max="6405" width="26.42578125" style="23" customWidth="1"/>
    <col min="6406" max="6407" width="11" style="23" customWidth="1"/>
    <col min="6408" max="6408" width="10.42578125" style="23" customWidth="1"/>
    <col min="6409" max="6410" width="10.7109375" style="23" customWidth="1"/>
    <col min="6411" max="6411" width="10.42578125" style="23" customWidth="1"/>
    <col min="6412" max="6413" width="9.85546875" style="23" customWidth="1"/>
    <col min="6414" max="6414" width="9.7109375" style="23" customWidth="1"/>
    <col min="6415" max="6415" width="10.42578125" style="23" customWidth="1"/>
    <col min="6416" max="6417" width="9.85546875" style="23" customWidth="1"/>
    <col min="6418" max="6656" width="9.140625" style="23"/>
    <col min="6657" max="6657" width="0.28515625" style="23" customWidth="1"/>
    <col min="6658" max="6658" width="1.140625" style="23" customWidth="1"/>
    <col min="6659" max="6659" width="2.140625" style="23" customWidth="1"/>
    <col min="6660" max="6660" width="1.28515625" style="23" customWidth="1"/>
    <col min="6661" max="6661" width="26.42578125" style="23" customWidth="1"/>
    <col min="6662" max="6663" width="11" style="23" customWidth="1"/>
    <col min="6664" max="6664" width="10.42578125" style="23" customWidth="1"/>
    <col min="6665" max="6666" width="10.7109375" style="23" customWidth="1"/>
    <col min="6667" max="6667" width="10.42578125" style="23" customWidth="1"/>
    <col min="6668" max="6669" width="9.85546875" style="23" customWidth="1"/>
    <col min="6670" max="6670" width="9.7109375" style="23" customWidth="1"/>
    <col min="6671" max="6671" width="10.42578125" style="23" customWidth="1"/>
    <col min="6672" max="6673" width="9.85546875" style="23" customWidth="1"/>
    <col min="6674" max="6912" width="9.140625" style="23"/>
    <col min="6913" max="6913" width="0.28515625" style="23" customWidth="1"/>
    <col min="6914" max="6914" width="1.140625" style="23" customWidth="1"/>
    <col min="6915" max="6915" width="2.140625" style="23" customWidth="1"/>
    <col min="6916" max="6916" width="1.28515625" style="23" customWidth="1"/>
    <col min="6917" max="6917" width="26.42578125" style="23" customWidth="1"/>
    <col min="6918" max="6919" width="11" style="23" customWidth="1"/>
    <col min="6920" max="6920" width="10.42578125" style="23" customWidth="1"/>
    <col min="6921" max="6922" width="10.7109375" style="23" customWidth="1"/>
    <col min="6923" max="6923" width="10.42578125" style="23" customWidth="1"/>
    <col min="6924" max="6925" width="9.85546875" style="23" customWidth="1"/>
    <col min="6926" max="6926" width="9.7109375" style="23" customWidth="1"/>
    <col min="6927" max="6927" width="10.42578125" style="23" customWidth="1"/>
    <col min="6928" max="6929" width="9.85546875" style="23" customWidth="1"/>
    <col min="6930" max="7168" width="9.140625" style="23"/>
    <col min="7169" max="7169" width="0.28515625" style="23" customWidth="1"/>
    <col min="7170" max="7170" width="1.140625" style="23" customWidth="1"/>
    <col min="7171" max="7171" width="2.140625" style="23" customWidth="1"/>
    <col min="7172" max="7172" width="1.28515625" style="23" customWidth="1"/>
    <col min="7173" max="7173" width="26.42578125" style="23" customWidth="1"/>
    <col min="7174" max="7175" width="11" style="23" customWidth="1"/>
    <col min="7176" max="7176" width="10.42578125" style="23" customWidth="1"/>
    <col min="7177" max="7178" width="10.7109375" style="23" customWidth="1"/>
    <col min="7179" max="7179" width="10.42578125" style="23" customWidth="1"/>
    <col min="7180" max="7181" width="9.85546875" style="23" customWidth="1"/>
    <col min="7182" max="7182" width="9.7109375" style="23" customWidth="1"/>
    <col min="7183" max="7183" width="10.42578125" style="23" customWidth="1"/>
    <col min="7184" max="7185" width="9.85546875" style="23" customWidth="1"/>
    <col min="7186" max="7424" width="9.140625" style="23"/>
    <col min="7425" max="7425" width="0.28515625" style="23" customWidth="1"/>
    <col min="7426" max="7426" width="1.140625" style="23" customWidth="1"/>
    <col min="7427" max="7427" width="2.140625" style="23" customWidth="1"/>
    <col min="7428" max="7428" width="1.28515625" style="23" customWidth="1"/>
    <col min="7429" max="7429" width="26.42578125" style="23" customWidth="1"/>
    <col min="7430" max="7431" width="11" style="23" customWidth="1"/>
    <col min="7432" max="7432" width="10.42578125" style="23" customWidth="1"/>
    <col min="7433" max="7434" width="10.7109375" style="23" customWidth="1"/>
    <col min="7435" max="7435" width="10.42578125" style="23" customWidth="1"/>
    <col min="7436" max="7437" width="9.85546875" style="23" customWidth="1"/>
    <col min="7438" max="7438" width="9.7109375" style="23" customWidth="1"/>
    <col min="7439" max="7439" width="10.42578125" style="23" customWidth="1"/>
    <col min="7440" max="7441" width="9.85546875" style="23" customWidth="1"/>
    <col min="7442" max="7680" width="9.140625" style="23"/>
    <col min="7681" max="7681" width="0.28515625" style="23" customWidth="1"/>
    <col min="7682" max="7682" width="1.140625" style="23" customWidth="1"/>
    <col min="7683" max="7683" width="2.140625" style="23" customWidth="1"/>
    <col min="7684" max="7684" width="1.28515625" style="23" customWidth="1"/>
    <col min="7685" max="7685" width="26.42578125" style="23" customWidth="1"/>
    <col min="7686" max="7687" width="11" style="23" customWidth="1"/>
    <col min="7688" max="7688" width="10.42578125" style="23" customWidth="1"/>
    <col min="7689" max="7690" width="10.7109375" style="23" customWidth="1"/>
    <col min="7691" max="7691" width="10.42578125" style="23" customWidth="1"/>
    <col min="7692" max="7693" width="9.85546875" style="23" customWidth="1"/>
    <col min="7694" max="7694" width="9.7109375" style="23" customWidth="1"/>
    <col min="7695" max="7695" width="10.42578125" style="23" customWidth="1"/>
    <col min="7696" max="7697" width="9.85546875" style="23" customWidth="1"/>
    <col min="7698" max="7936" width="9.140625" style="23"/>
    <col min="7937" max="7937" width="0.28515625" style="23" customWidth="1"/>
    <col min="7938" max="7938" width="1.140625" style="23" customWidth="1"/>
    <col min="7939" max="7939" width="2.140625" style="23" customWidth="1"/>
    <col min="7940" max="7940" width="1.28515625" style="23" customWidth="1"/>
    <col min="7941" max="7941" width="26.42578125" style="23" customWidth="1"/>
    <col min="7942" max="7943" width="11" style="23" customWidth="1"/>
    <col min="7944" max="7944" width="10.42578125" style="23" customWidth="1"/>
    <col min="7945" max="7946" width="10.7109375" style="23" customWidth="1"/>
    <col min="7947" max="7947" width="10.42578125" style="23" customWidth="1"/>
    <col min="7948" max="7949" width="9.85546875" style="23" customWidth="1"/>
    <col min="7950" max="7950" width="9.7109375" style="23" customWidth="1"/>
    <col min="7951" max="7951" width="10.42578125" style="23" customWidth="1"/>
    <col min="7952" max="7953" width="9.85546875" style="23" customWidth="1"/>
    <col min="7954" max="8192" width="9.140625" style="23"/>
    <col min="8193" max="8193" width="0.28515625" style="23" customWidth="1"/>
    <col min="8194" max="8194" width="1.140625" style="23" customWidth="1"/>
    <col min="8195" max="8195" width="2.140625" style="23" customWidth="1"/>
    <col min="8196" max="8196" width="1.28515625" style="23" customWidth="1"/>
    <col min="8197" max="8197" width="26.42578125" style="23" customWidth="1"/>
    <col min="8198" max="8199" width="11" style="23" customWidth="1"/>
    <col min="8200" max="8200" width="10.42578125" style="23" customWidth="1"/>
    <col min="8201" max="8202" width="10.7109375" style="23" customWidth="1"/>
    <col min="8203" max="8203" width="10.42578125" style="23" customWidth="1"/>
    <col min="8204" max="8205" width="9.85546875" style="23" customWidth="1"/>
    <col min="8206" max="8206" width="9.7109375" style="23" customWidth="1"/>
    <col min="8207" max="8207" width="10.42578125" style="23" customWidth="1"/>
    <col min="8208" max="8209" width="9.85546875" style="23" customWidth="1"/>
    <col min="8210" max="8448" width="9.140625" style="23"/>
    <col min="8449" max="8449" width="0.28515625" style="23" customWidth="1"/>
    <col min="8450" max="8450" width="1.140625" style="23" customWidth="1"/>
    <col min="8451" max="8451" width="2.140625" style="23" customWidth="1"/>
    <col min="8452" max="8452" width="1.28515625" style="23" customWidth="1"/>
    <col min="8453" max="8453" width="26.42578125" style="23" customWidth="1"/>
    <col min="8454" max="8455" width="11" style="23" customWidth="1"/>
    <col min="8456" max="8456" width="10.42578125" style="23" customWidth="1"/>
    <col min="8457" max="8458" width="10.7109375" style="23" customWidth="1"/>
    <col min="8459" max="8459" width="10.42578125" style="23" customWidth="1"/>
    <col min="8460" max="8461" width="9.85546875" style="23" customWidth="1"/>
    <col min="8462" max="8462" width="9.7109375" style="23" customWidth="1"/>
    <col min="8463" max="8463" width="10.42578125" style="23" customWidth="1"/>
    <col min="8464" max="8465" width="9.85546875" style="23" customWidth="1"/>
    <col min="8466" max="8704" width="9.140625" style="23"/>
    <col min="8705" max="8705" width="0.28515625" style="23" customWidth="1"/>
    <col min="8706" max="8706" width="1.140625" style="23" customWidth="1"/>
    <col min="8707" max="8707" width="2.140625" style="23" customWidth="1"/>
    <col min="8708" max="8708" width="1.28515625" style="23" customWidth="1"/>
    <col min="8709" max="8709" width="26.42578125" style="23" customWidth="1"/>
    <col min="8710" max="8711" width="11" style="23" customWidth="1"/>
    <col min="8712" max="8712" width="10.42578125" style="23" customWidth="1"/>
    <col min="8713" max="8714" width="10.7109375" style="23" customWidth="1"/>
    <col min="8715" max="8715" width="10.42578125" style="23" customWidth="1"/>
    <col min="8716" max="8717" width="9.85546875" style="23" customWidth="1"/>
    <col min="8718" max="8718" width="9.7109375" style="23" customWidth="1"/>
    <col min="8719" max="8719" width="10.42578125" style="23" customWidth="1"/>
    <col min="8720" max="8721" width="9.85546875" style="23" customWidth="1"/>
    <col min="8722" max="8960" width="9.140625" style="23"/>
    <col min="8961" max="8961" width="0.28515625" style="23" customWidth="1"/>
    <col min="8962" max="8962" width="1.140625" style="23" customWidth="1"/>
    <col min="8963" max="8963" width="2.140625" style="23" customWidth="1"/>
    <col min="8964" max="8964" width="1.28515625" style="23" customWidth="1"/>
    <col min="8965" max="8965" width="26.42578125" style="23" customWidth="1"/>
    <col min="8966" max="8967" width="11" style="23" customWidth="1"/>
    <col min="8968" max="8968" width="10.42578125" style="23" customWidth="1"/>
    <col min="8969" max="8970" width="10.7109375" style="23" customWidth="1"/>
    <col min="8971" max="8971" width="10.42578125" style="23" customWidth="1"/>
    <col min="8972" max="8973" width="9.85546875" style="23" customWidth="1"/>
    <col min="8974" max="8974" width="9.7109375" style="23" customWidth="1"/>
    <col min="8975" max="8975" width="10.42578125" style="23" customWidth="1"/>
    <col min="8976" max="8977" width="9.85546875" style="23" customWidth="1"/>
    <col min="8978" max="9216" width="9.140625" style="23"/>
    <col min="9217" max="9217" width="0.28515625" style="23" customWidth="1"/>
    <col min="9218" max="9218" width="1.140625" style="23" customWidth="1"/>
    <col min="9219" max="9219" width="2.140625" style="23" customWidth="1"/>
    <col min="9220" max="9220" width="1.28515625" style="23" customWidth="1"/>
    <col min="9221" max="9221" width="26.42578125" style="23" customWidth="1"/>
    <col min="9222" max="9223" width="11" style="23" customWidth="1"/>
    <col min="9224" max="9224" width="10.42578125" style="23" customWidth="1"/>
    <col min="9225" max="9226" width="10.7109375" style="23" customWidth="1"/>
    <col min="9227" max="9227" width="10.42578125" style="23" customWidth="1"/>
    <col min="9228" max="9229" width="9.85546875" style="23" customWidth="1"/>
    <col min="9230" max="9230" width="9.7109375" style="23" customWidth="1"/>
    <col min="9231" max="9231" width="10.42578125" style="23" customWidth="1"/>
    <col min="9232" max="9233" width="9.85546875" style="23" customWidth="1"/>
    <col min="9234" max="9472" width="9.140625" style="23"/>
    <col min="9473" max="9473" width="0.28515625" style="23" customWidth="1"/>
    <col min="9474" max="9474" width="1.140625" style="23" customWidth="1"/>
    <col min="9475" max="9475" width="2.140625" style="23" customWidth="1"/>
    <col min="9476" max="9476" width="1.28515625" style="23" customWidth="1"/>
    <col min="9477" max="9477" width="26.42578125" style="23" customWidth="1"/>
    <col min="9478" max="9479" width="11" style="23" customWidth="1"/>
    <col min="9480" max="9480" width="10.42578125" style="23" customWidth="1"/>
    <col min="9481" max="9482" width="10.7109375" style="23" customWidth="1"/>
    <col min="9483" max="9483" width="10.42578125" style="23" customWidth="1"/>
    <col min="9484" max="9485" width="9.85546875" style="23" customWidth="1"/>
    <col min="9486" max="9486" width="9.7109375" style="23" customWidth="1"/>
    <col min="9487" max="9487" width="10.42578125" style="23" customWidth="1"/>
    <col min="9488" max="9489" width="9.85546875" style="23" customWidth="1"/>
    <col min="9490" max="9728" width="9.140625" style="23"/>
    <col min="9729" max="9729" width="0.28515625" style="23" customWidth="1"/>
    <col min="9730" max="9730" width="1.140625" style="23" customWidth="1"/>
    <col min="9731" max="9731" width="2.140625" style="23" customWidth="1"/>
    <col min="9732" max="9732" width="1.28515625" style="23" customWidth="1"/>
    <col min="9733" max="9733" width="26.42578125" style="23" customWidth="1"/>
    <col min="9734" max="9735" width="11" style="23" customWidth="1"/>
    <col min="9736" max="9736" width="10.42578125" style="23" customWidth="1"/>
    <col min="9737" max="9738" width="10.7109375" style="23" customWidth="1"/>
    <col min="9739" max="9739" width="10.42578125" style="23" customWidth="1"/>
    <col min="9740" max="9741" width="9.85546875" style="23" customWidth="1"/>
    <col min="9742" max="9742" width="9.7109375" style="23" customWidth="1"/>
    <col min="9743" max="9743" width="10.42578125" style="23" customWidth="1"/>
    <col min="9744" max="9745" width="9.85546875" style="23" customWidth="1"/>
    <col min="9746" max="9984" width="9.140625" style="23"/>
    <col min="9985" max="9985" width="0.28515625" style="23" customWidth="1"/>
    <col min="9986" max="9986" width="1.140625" style="23" customWidth="1"/>
    <col min="9987" max="9987" width="2.140625" style="23" customWidth="1"/>
    <col min="9988" max="9988" width="1.28515625" style="23" customWidth="1"/>
    <col min="9989" max="9989" width="26.42578125" style="23" customWidth="1"/>
    <col min="9990" max="9991" width="11" style="23" customWidth="1"/>
    <col min="9992" max="9992" width="10.42578125" style="23" customWidth="1"/>
    <col min="9993" max="9994" width="10.7109375" style="23" customWidth="1"/>
    <col min="9995" max="9995" width="10.42578125" style="23" customWidth="1"/>
    <col min="9996" max="9997" width="9.85546875" style="23" customWidth="1"/>
    <col min="9998" max="9998" width="9.7109375" style="23" customWidth="1"/>
    <col min="9999" max="9999" width="10.42578125" style="23" customWidth="1"/>
    <col min="10000" max="10001" width="9.85546875" style="23" customWidth="1"/>
    <col min="10002" max="10240" width="9.140625" style="23"/>
    <col min="10241" max="10241" width="0.28515625" style="23" customWidth="1"/>
    <col min="10242" max="10242" width="1.140625" style="23" customWidth="1"/>
    <col min="10243" max="10243" width="2.140625" style="23" customWidth="1"/>
    <col min="10244" max="10244" width="1.28515625" style="23" customWidth="1"/>
    <col min="10245" max="10245" width="26.42578125" style="23" customWidth="1"/>
    <col min="10246" max="10247" width="11" style="23" customWidth="1"/>
    <col min="10248" max="10248" width="10.42578125" style="23" customWidth="1"/>
    <col min="10249" max="10250" width="10.7109375" style="23" customWidth="1"/>
    <col min="10251" max="10251" width="10.42578125" style="23" customWidth="1"/>
    <col min="10252" max="10253" width="9.85546875" style="23" customWidth="1"/>
    <col min="10254" max="10254" width="9.7109375" style="23" customWidth="1"/>
    <col min="10255" max="10255" width="10.42578125" style="23" customWidth="1"/>
    <col min="10256" max="10257" width="9.85546875" style="23" customWidth="1"/>
    <col min="10258" max="10496" width="9.140625" style="23"/>
    <col min="10497" max="10497" width="0.28515625" style="23" customWidth="1"/>
    <col min="10498" max="10498" width="1.140625" style="23" customWidth="1"/>
    <col min="10499" max="10499" width="2.140625" style="23" customWidth="1"/>
    <col min="10500" max="10500" width="1.28515625" style="23" customWidth="1"/>
    <col min="10501" max="10501" width="26.42578125" style="23" customWidth="1"/>
    <col min="10502" max="10503" width="11" style="23" customWidth="1"/>
    <col min="10504" max="10504" width="10.42578125" style="23" customWidth="1"/>
    <col min="10505" max="10506" width="10.7109375" style="23" customWidth="1"/>
    <col min="10507" max="10507" width="10.42578125" style="23" customWidth="1"/>
    <col min="10508" max="10509" width="9.85546875" style="23" customWidth="1"/>
    <col min="10510" max="10510" width="9.7109375" style="23" customWidth="1"/>
    <col min="10511" max="10511" width="10.42578125" style="23" customWidth="1"/>
    <col min="10512" max="10513" width="9.85546875" style="23" customWidth="1"/>
    <col min="10514" max="10752" width="9.140625" style="23"/>
    <col min="10753" max="10753" width="0.28515625" style="23" customWidth="1"/>
    <col min="10754" max="10754" width="1.140625" style="23" customWidth="1"/>
    <col min="10755" max="10755" width="2.140625" style="23" customWidth="1"/>
    <col min="10756" max="10756" width="1.28515625" style="23" customWidth="1"/>
    <col min="10757" max="10757" width="26.42578125" style="23" customWidth="1"/>
    <col min="10758" max="10759" width="11" style="23" customWidth="1"/>
    <col min="10760" max="10760" width="10.42578125" style="23" customWidth="1"/>
    <col min="10761" max="10762" width="10.7109375" style="23" customWidth="1"/>
    <col min="10763" max="10763" width="10.42578125" style="23" customWidth="1"/>
    <col min="10764" max="10765" width="9.85546875" style="23" customWidth="1"/>
    <col min="10766" max="10766" width="9.7109375" style="23" customWidth="1"/>
    <col min="10767" max="10767" width="10.42578125" style="23" customWidth="1"/>
    <col min="10768" max="10769" width="9.85546875" style="23" customWidth="1"/>
    <col min="10770" max="11008" width="9.140625" style="23"/>
    <col min="11009" max="11009" width="0.28515625" style="23" customWidth="1"/>
    <col min="11010" max="11010" width="1.140625" style="23" customWidth="1"/>
    <col min="11011" max="11011" width="2.140625" style="23" customWidth="1"/>
    <col min="11012" max="11012" width="1.28515625" style="23" customWidth="1"/>
    <col min="11013" max="11013" width="26.42578125" style="23" customWidth="1"/>
    <col min="11014" max="11015" width="11" style="23" customWidth="1"/>
    <col min="11016" max="11016" width="10.42578125" style="23" customWidth="1"/>
    <col min="11017" max="11018" width="10.7109375" style="23" customWidth="1"/>
    <col min="11019" max="11019" width="10.42578125" style="23" customWidth="1"/>
    <col min="11020" max="11021" width="9.85546875" style="23" customWidth="1"/>
    <col min="11022" max="11022" width="9.7109375" style="23" customWidth="1"/>
    <col min="11023" max="11023" width="10.42578125" style="23" customWidth="1"/>
    <col min="11024" max="11025" width="9.85546875" style="23" customWidth="1"/>
    <col min="11026" max="11264" width="9.140625" style="23"/>
    <col min="11265" max="11265" width="0.28515625" style="23" customWidth="1"/>
    <col min="11266" max="11266" width="1.140625" style="23" customWidth="1"/>
    <col min="11267" max="11267" width="2.140625" style="23" customWidth="1"/>
    <col min="11268" max="11268" width="1.28515625" style="23" customWidth="1"/>
    <col min="11269" max="11269" width="26.42578125" style="23" customWidth="1"/>
    <col min="11270" max="11271" width="11" style="23" customWidth="1"/>
    <col min="11272" max="11272" width="10.42578125" style="23" customWidth="1"/>
    <col min="11273" max="11274" width="10.7109375" style="23" customWidth="1"/>
    <col min="11275" max="11275" width="10.42578125" style="23" customWidth="1"/>
    <col min="11276" max="11277" width="9.85546875" style="23" customWidth="1"/>
    <col min="11278" max="11278" width="9.7109375" style="23" customWidth="1"/>
    <col min="11279" max="11279" width="10.42578125" style="23" customWidth="1"/>
    <col min="11280" max="11281" width="9.85546875" style="23" customWidth="1"/>
    <col min="11282" max="11520" width="9.140625" style="23"/>
    <col min="11521" max="11521" width="0.28515625" style="23" customWidth="1"/>
    <col min="11522" max="11522" width="1.140625" style="23" customWidth="1"/>
    <col min="11523" max="11523" width="2.140625" style="23" customWidth="1"/>
    <col min="11524" max="11524" width="1.28515625" style="23" customWidth="1"/>
    <col min="11525" max="11525" width="26.42578125" style="23" customWidth="1"/>
    <col min="11526" max="11527" width="11" style="23" customWidth="1"/>
    <col min="11528" max="11528" width="10.42578125" style="23" customWidth="1"/>
    <col min="11529" max="11530" width="10.7109375" style="23" customWidth="1"/>
    <col min="11531" max="11531" width="10.42578125" style="23" customWidth="1"/>
    <col min="11532" max="11533" width="9.85546875" style="23" customWidth="1"/>
    <col min="11534" max="11534" width="9.7109375" style="23" customWidth="1"/>
    <col min="11535" max="11535" width="10.42578125" style="23" customWidth="1"/>
    <col min="11536" max="11537" width="9.85546875" style="23" customWidth="1"/>
    <col min="11538" max="11776" width="9.140625" style="23"/>
    <col min="11777" max="11777" width="0.28515625" style="23" customWidth="1"/>
    <col min="11778" max="11778" width="1.140625" style="23" customWidth="1"/>
    <col min="11779" max="11779" width="2.140625" style="23" customWidth="1"/>
    <col min="11780" max="11780" width="1.28515625" style="23" customWidth="1"/>
    <col min="11781" max="11781" width="26.42578125" style="23" customWidth="1"/>
    <col min="11782" max="11783" width="11" style="23" customWidth="1"/>
    <col min="11784" max="11784" width="10.42578125" style="23" customWidth="1"/>
    <col min="11785" max="11786" width="10.7109375" style="23" customWidth="1"/>
    <col min="11787" max="11787" width="10.42578125" style="23" customWidth="1"/>
    <col min="11788" max="11789" width="9.85546875" style="23" customWidth="1"/>
    <col min="11790" max="11790" width="9.7109375" style="23" customWidth="1"/>
    <col min="11791" max="11791" width="10.42578125" style="23" customWidth="1"/>
    <col min="11792" max="11793" width="9.85546875" style="23" customWidth="1"/>
    <col min="11794" max="12032" width="9.140625" style="23"/>
    <col min="12033" max="12033" width="0.28515625" style="23" customWidth="1"/>
    <col min="12034" max="12034" width="1.140625" style="23" customWidth="1"/>
    <col min="12035" max="12035" width="2.140625" style="23" customWidth="1"/>
    <col min="12036" max="12036" width="1.28515625" style="23" customWidth="1"/>
    <col min="12037" max="12037" width="26.42578125" style="23" customWidth="1"/>
    <col min="12038" max="12039" width="11" style="23" customWidth="1"/>
    <col min="12040" max="12040" width="10.42578125" style="23" customWidth="1"/>
    <col min="12041" max="12042" width="10.7109375" style="23" customWidth="1"/>
    <col min="12043" max="12043" width="10.42578125" style="23" customWidth="1"/>
    <col min="12044" max="12045" width="9.85546875" style="23" customWidth="1"/>
    <col min="12046" max="12046" width="9.7109375" style="23" customWidth="1"/>
    <col min="12047" max="12047" width="10.42578125" style="23" customWidth="1"/>
    <col min="12048" max="12049" width="9.85546875" style="23" customWidth="1"/>
    <col min="12050" max="12288" width="9.140625" style="23"/>
    <col min="12289" max="12289" width="0.28515625" style="23" customWidth="1"/>
    <col min="12290" max="12290" width="1.140625" style="23" customWidth="1"/>
    <col min="12291" max="12291" width="2.140625" style="23" customWidth="1"/>
    <col min="12292" max="12292" width="1.28515625" style="23" customWidth="1"/>
    <col min="12293" max="12293" width="26.42578125" style="23" customWidth="1"/>
    <col min="12294" max="12295" width="11" style="23" customWidth="1"/>
    <col min="12296" max="12296" width="10.42578125" style="23" customWidth="1"/>
    <col min="12297" max="12298" width="10.7109375" style="23" customWidth="1"/>
    <col min="12299" max="12299" width="10.42578125" style="23" customWidth="1"/>
    <col min="12300" max="12301" width="9.85546875" style="23" customWidth="1"/>
    <col min="12302" max="12302" width="9.7109375" style="23" customWidth="1"/>
    <col min="12303" max="12303" width="10.42578125" style="23" customWidth="1"/>
    <col min="12304" max="12305" width="9.85546875" style="23" customWidth="1"/>
    <col min="12306" max="12544" width="9.140625" style="23"/>
    <col min="12545" max="12545" width="0.28515625" style="23" customWidth="1"/>
    <col min="12546" max="12546" width="1.140625" style="23" customWidth="1"/>
    <col min="12547" max="12547" width="2.140625" style="23" customWidth="1"/>
    <col min="12548" max="12548" width="1.28515625" style="23" customWidth="1"/>
    <col min="12549" max="12549" width="26.42578125" style="23" customWidth="1"/>
    <col min="12550" max="12551" width="11" style="23" customWidth="1"/>
    <col min="12552" max="12552" width="10.42578125" style="23" customWidth="1"/>
    <col min="12553" max="12554" width="10.7109375" style="23" customWidth="1"/>
    <col min="12555" max="12555" width="10.42578125" style="23" customWidth="1"/>
    <col min="12556" max="12557" width="9.85546875" style="23" customWidth="1"/>
    <col min="12558" max="12558" width="9.7109375" style="23" customWidth="1"/>
    <col min="12559" max="12559" width="10.42578125" style="23" customWidth="1"/>
    <col min="12560" max="12561" width="9.85546875" style="23" customWidth="1"/>
    <col min="12562" max="12800" width="9.140625" style="23"/>
    <col min="12801" max="12801" width="0.28515625" style="23" customWidth="1"/>
    <col min="12802" max="12802" width="1.140625" style="23" customWidth="1"/>
    <col min="12803" max="12803" width="2.140625" style="23" customWidth="1"/>
    <col min="12804" max="12804" width="1.28515625" style="23" customWidth="1"/>
    <col min="12805" max="12805" width="26.42578125" style="23" customWidth="1"/>
    <col min="12806" max="12807" width="11" style="23" customWidth="1"/>
    <col min="12808" max="12808" width="10.42578125" style="23" customWidth="1"/>
    <col min="12809" max="12810" width="10.7109375" style="23" customWidth="1"/>
    <col min="12811" max="12811" width="10.42578125" style="23" customWidth="1"/>
    <col min="12812" max="12813" width="9.85546875" style="23" customWidth="1"/>
    <col min="12814" max="12814" width="9.7109375" style="23" customWidth="1"/>
    <col min="12815" max="12815" width="10.42578125" style="23" customWidth="1"/>
    <col min="12816" max="12817" width="9.85546875" style="23" customWidth="1"/>
    <col min="12818" max="13056" width="9.140625" style="23"/>
    <col min="13057" max="13057" width="0.28515625" style="23" customWidth="1"/>
    <col min="13058" max="13058" width="1.140625" style="23" customWidth="1"/>
    <col min="13059" max="13059" width="2.140625" style="23" customWidth="1"/>
    <col min="13060" max="13060" width="1.28515625" style="23" customWidth="1"/>
    <col min="13061" max="13061" width="26.42578125" style="23" customWidth="1"/>
    <col min="13062" max="13063" width="11" style="23" customWidth="1"/>
    <col min="13064" max="13064" width="10.42578125" style="23" customWidth="1"/>
    <col min="13065" max="13066" width="10.7109375" style="23" customWidth="1"/>
    <col min="13067" max="13067" width="10.42578125" style="23" customWidth="1"/>
    <col min="13068" max="13069" width="9.85546875" style="23" customWidth="1"/>
    <col min="13070" max="13070" width="9.7109375" style="23" customWidth="1"/>
    <col min="13071" max="13071" width="10.42578125" style="23" customWidth="1"/>
    <col min="13072" max="13073" width="9.85546875" style="23" customWidth="1"/>
    <col min="13074" max="13312" width="9.140625" style="23"/>
    <col min="13313" max="13313" width="0.28515625" style="23" customWidth="1"/>
    <col min="13314" max="13314" width="1.140625" style="23" customWidth="1"/>
    <col min="13315" max="13315" width="2.140625" style="23" customWidth="1"/>
    <col min="13316" max="13316" width="1.28515625" style="23" customWidth="1"/>
    <col min="13317" max="13317" width="26.42578125" style="23" customWidth="1"/>
    <col min="13318" max="13319" width="11" style="23" customWidth="1"/>
    <col min="13320" max="13320" width="10.42578125" style="23" customWidth="1"/>
    <col min="13321" max="13322" width="10.7109375" style="23" customWidth="1"/>
    <col min="13323" max="13323" width="10.42578125" style="23" customWidth="1"/>
    <col min="13324" max="13325" width="9.85546875" style="23" customWidth="1"/>
    <col min="13326" max="13326" width="9.7109375" style="23" customWidth="1"/>
    <col min="13327" max="13327" width="10.42578125" style="23" customWidth="1"/>
    <col min="13328" max="13329" width="9.85546875" style="23" customWidth="1"/>
    <col min="13330" max="13568" width="9.140625" style="23"/>
    <col min="13569" max="13569" width="0.28515625" style="23" customWidth="1"/>
    <col min="13570" max="13570" width="1.140625" style="23" customWidth="1"/>
    <col min="13571" max="13571" width="2.140625" style="23" customWidth="1"/>
    <col min="13572" max="13572" width="1.28515625" style="23" customWidth="1"/>
    <col min="13573" max="13573" width="26.42578125" style="23" customWidth="1"/>
    <col min="13574" max="13575" width="11" style="23" customWidth="1"/>
    <col min="13576" max="13576" width="10.42578125" style="23" customWidth="1"/>
    <col min="13577" max="13578" width="10.7109375" style="23" customWidth="1"/>
    <col min="13579" max="13579" width="10.42578125" style="23" customWidth="1"/>
    <col min="13580" max="13581" width="9.85546875" style="23" customWidth="1"/>
    <col min="13582" max="13582" width="9.7109375" style="23" customWidth="1"/>
    <col min="13583" max="13583" width="10.42578125" style="23" customWidth="1"/>
    <col min="13584" max="13585" width="9.85546875" style="23" customWidth="1"/>
    <col min="13586" max="13824" width="9.140625" style="23"/>
    <col min="13825" max="13825" width="0.28515625" style="23" customWidth="1"/>
    <col min="13826" max="13826" width="1.140625" style="23" customWidth="1"/>
    <col min="13827" max="13827" width="2.140625" style="23" customWidth="1"/>
    <col min="13828" max="13828" width="1.28515625" style="23" customWidth="1"/>
    <col min="13829" max="13829" width="26.42578125" style="23" customWidth="1"/>
    <col min="13830" max="13831" width="11" style="23" customWidth="1"/>
    <col min="13832" max="13832" width="10.42578125" style="23" customWidth="1"/>
    <col min="13833" max="13834" width="10.7109375" style="23" customWidth="1"/>
    <col min="13835" max="13835" width="10.42578125" style="23" customWidth="1"/>
    <col min="13836" max="13837" width="9.85546875" style="23" customWidth="1"/>
    <col min="13838" max="13838" width="9.7109375" style="23" customWidth="1"/>
    <col min="13839" max="13839" width="10.42578125" style="23" customWidth="1"/>
    <col min="13840" max="13841" width="9.85546875" style="23" customWidth="1"/>
    <col min="13842" max="14080" width="9.140625" style="23"/>
    <col min="14081" max="14081" width="0.28515625" style="23" customWidth="1"/>
    <col min="14082" max="14082" width="1.140625" style="23" customWidth="1"/>
    <col min="14083" max="14083" width="2.140625" style="23" customWidth="1"/>
    <col min="14084" max="14084" width="1.28515625" style="23" customWidth="1"/>
    <col min="14085" max="14085" width="26.42578125" style="23" customWidth="1"/>
    <col min="14086" max="14087" width="11" style="23" customWidth="1"/>
    <col min="14088" max="14088" width="10.42578125" style="23" customWidth="1"/>
    <col min="14089" max="14090" width="10.7109375" style="23" customWidth="1"/>
    <col min="14091" max="14091" width="10.42578125" style="23" customWidth="1"/>
    <col min="14092" max="14093" width="9.85546875" style="23" customWidth="1"/>
    <col min="14094" max="14094" width="9.7109375" style="23" customWidth="1"/>
    <col min="14095" max="14095" width="10.42578125" style="23" customWidth="1"/>
    <col min="14096" max="14097" width="9.85546875" style="23" customWidth="1"/>
    <col min="14098" max="14336" width="9.140625" style="23"/>
    <col min="14337" max="14337" width="0.28515625" style="23" customWidth="1"/>
    <col min="14338" max="14338" width="1.140625" style="23" customWidth="1"/>
    <col min="14339" max="14339" width="2.140625" style="23" customWidth="1"/>
    <col min="14340" max="14340" width="1.28515625" style="23" customWidth="1"/>
    <col min="14341" max="14341" width="26.42578125" style="23" customWidth="1"/>
    <col min="14342" max="14343" width="11" style="23" customWidth="1"/>
    <col min="14344" max="14344" width="10.42578125" style="23" customWidth="1"/>
    <col min="14345" max="14346" width="10.7109375" style="23" customWidth="1"/>
    <col min="14347" max="14347" width="10.42578125" style="23" customWidth="1"/>
    <col min="14348" max="14349" width="9.85546875" style="23" customWidth="1"/>
    <col min="14350" max="14350" width="9.7109375" style="23" customWidth="1"/>
    <col min="14351" max="14351" width="10.42578125" style="23" customWidth="1"/>
    <col min="14352" max="14353" width="9.85546875" style="23" customWidth="1"/>
    <col min="14354" max="14592" width="9.140625" style="23"/>
    <col min="14593" max="14593" width="0.28515625" style="23" customWidth="1"/>
    <col min="14594" max="14594" width="1.140625" style="23" customWidth="1"/>
    <col min="14595" max="14595" width="2.140625" style="23" customWidth="1"/>
    <col min="14596" max="14596" width="1.28515625" style="23" customWidth="1"/>
    <col min="14597" max="14597" width="26.42578125" style="23" customWidth="1"/>
    <col min="14598" max="14599" width="11" style="23" customWidth="1"/>
    <col min="14600" max="14600" width="10.42578125" style="23" customWidth="1"/>
    <col min="14601" max="14602" width="10.7109375" style="23" customWidth="1"/>
    <col min="14603" max="14603" width="10.42578125" style="23" customWidth="1"/>
    <col min="14604" max="14605" width="9.85546875" style="23" customWidth="1"/>
    <col min="14606" max="14606" width="9.7109375" style="23" customWidth="1"/>
    <col min="14607" max="14607" width="10.42578125" style="23" customWidth="1"/>
    <col min="14608" max="14609" width="9.85546875" style="23" customWidth="1"/>
    <col min="14610" max="14848" width="9.140625" style="23"/>
    <col min="14849" max="14849" width="0.28515625" style="23" customWidth="1"/>
    <col min="14850" max="14850" width="1.140625" style="23" customWidth="1"/>
    <col min="14851" max="14851" width="2.140625" style="23" customWidth="1"/>
    <col min="14852" max="14852" width="1.28515625" style="23" customWidth="1"/>
    <col min="14853" max="14853" width="26.42578125" style="23" customWidth="1"/>
    <col min="14854" max="14855" width="11" style="23" customWidth="1"/>
    <col min="14856" max="14856" width="10.42578125" style="23" customWidth="1"/>
    <col min="14857" max="14858" width="10.7109375" style="23" customWidth="1"/>
    <col min="14859" max="14859" width="10.42578125" style="23" customWidth="1"/>
    <col min="14860" max="14861" width="9.85546875" style="23" customWidth="1"/>
    <col min="14862" max="14862" width="9.7109375" style="23" customWidth="1"/>
    <col min="14863" max="14863" width="10.42578125" style="23" customWidth="1"/>
    <col min="14864" max="14865" width="9.85546875" style="23" customWidth="1"/>
    <col min="14866" max="15104" width="9.140625" style="23"/>
    <col min="15105" max="15105" width="0.28515625" style="23" customWidth="1"/>
    <col min="15106" max="15106" width="1.140625" style="23" customWidth="1"/>
    <col min="15107" max="15107" width="2.140625" style="23" customWidth="1"/>
    <col min="15108" max="15108" width="1.28515625" style="23" customWidth="1"/>
    <col min="15109" max="15109" width="26.42578125" style="23" customWidth="1"/>
    <col min="15110" max="15111" width="11" style="23" customWidth="1"/>
    <col min="15112" max="15112" width="10.42578125" style="23" customWidth="1"/>
    <col min="15113" max="15114" width="10.7109375" style="23" customWidth="1"/>
    <col min="15115" max="15115" width="10.42578125" style="23" customWidth="1"/>
    <col min="15116" max="15117" width="9.85546875" style="23" customWidth="1"/>
    <col min="15118" max="15118" width="9.7109375" style="23" customWidth="1"/>
    <col min="15119" max="15119" width="10.42578125" style="23" customWidth="1"/>
    <col min="15120" max="15121" width="9.85546875" style="23" customWidth="1"/>
    <col min="15122" max="15360" width="9.140625" style="23"/>
    <col min="15361" max="15361" width="0.28515625" style="23" customWidth="1"/>
    <col min="15362" max="15362" width="1.140625" style="23" customWidth="1"/>
    <col min="15363" max="15363" width="2.140625" style="23" customWidth="1"/>
    <col min="15364" max="15364" width="1.28515625" style="23" customWidth="1"/>
    <col min="15365" max="15365" width="26.42578125" style="23" customWidth="1"/>
    <col min="15366" max="15367" width="11" style="23" customWidth="1"/>
    <col min="15368" max="15368" width="10.42578125" style="23" customWidth="1"/>
    <col min="15369" max="15370" width="10.7109375" style="23" customWidth="1"/>
    <col min="15371" max="15371" width="10.42578125" style="23" customWidth="1"/>
    <col min="15372" max="15373" width="9.85546875" style="23" customWidth="1"/>
    <col min="15374" max="15374" width="9.7109375" style="23" customWidth="1"/>
    <col min="15375" max="15375" width="10.42578125" style="23" customWidth="1"/>
    <col min="15376" max="15377" width="9.85546875" style="23" customWidth="1"/>
    <col min="15378" max="15616" width="9.140625" style="23"/>
    <col min="15617" max="15617" width="0.28515625" style="23" customWidth="1"/>
    <col min="15618" max="15618" width="1.140625" style="23" customWidth="1"/>
    <col min="15619" max="15619" width="2.140625" style="23" customWidth="1"/>
    <col min="15620" max="15620" width="1.28515625" style="23" customWidth="1"/>
    <col min="15621" max="15621" width="26.42578125" style="23" customWidth="1"/>
    <col min="15622" max="15623" width="11" style="23" customWidth="1"/>
    <col min="15624" max="15624" width="10.42578125" style="23" customWidth="1"/>
    <col min="15625" max="15626" width="10.7109375" style="23" customWidth="1"/>
    <col min="15627" max="15627" width="10.42578125" style="23" customWidth="1"/>
    <col min="15628" max="15629" width="9.85546875" style="23" customWidth="1"/>
    <col min="15630" max="15630" width="9.7109375" style="23" customWidth="1"/>
    <col min="15631" max="15631" width="10.42578125" style="23" customWidth="1"/>
    <col min="15632" max="15633" width="9.85546875" style="23" customWidth="1"/>
    <col min="15634" max="15872" width="9.140625" style="23"/>
    <col min="15873" max="15873" width="0.28515625" style="23" customWidth="1"/>
    <col min="15874" max="15874" width="1.140625" style="23" customWidth="1"/>
    <col min="15875" max="15875" width="2.140625" style="23" customWidth="1"/>
    <col min="15876" max="15876" width="1.28515625" style="23" customWidth="1"/>
    <col min="15877" max="15877" width="26.42578125" style="23" customWidth="1"/>
    <col min="15878" max="15879" width="11" style="23" customWidth="1"/>
    <col min="15880" max="15880" width="10.42578125" style="23" customWidth="1"/>
    <col min="15881" max="15882" width="10.7109375" style="23" customWidth="1"/>
    <col min="15883" max="15883" width="10.42578125" style="23" customWidth="1"/>
    <col min="15884" max="15885" width="9.85546875" style="23" customWidth="1"/>
    <col min="15886" max="15886" width="9.7109375" style="23" customWidth="1"/>
    <col min="15887" max="15887" width="10.42578125" style="23" customWidth="1"/>
    <col min="15888" max="15889" width="9.85546875" style="23" customWidth="1"/>
    <col min="15890" max="16128" width="9.140625" style="23"/>
    <col min="16129" max="16129" width="0.28515625" style="23" customWidth="1"/>
    <col min="16130" max="16130" width="1.140625" style="23" customWidth="1"/>
    <col min="16131" max="16131" width="2.140625" style="23" customWidth="1"/>
    <col min="16132" max="16132" width="1.28515625" style="23" customWidth="1"/>
    <col min="16133" max="16133" width="26.42578125" style="23" customWidth="1"/>
    <col min="16134" max="16135" width="11" style="23" customWidth="1"/>
    <col min="16136" max="16136" width="10.42578125" style="23" customWidth="1"/>
    <col min="16137" max="16138" width="10.7109375" style="23" customWidth="1"/>
    <col min="16139" max="16139" width="10.42578125" style="23" customWidth="1"/>
    <col min="16140" max="16141" width="9.85546875" style="23" customWidth="1"/>
    <col min="16142" max="16142" width="9.7109375" style="23" customWidth="1"/>
    <col min="16143" max="16143" width="10.42578125" style="23" customWidth="1"/>
    <col min="16144" max="16145" width="9.85546875" style="23" customWidth="1"/>
    <col min="16146" max="16384" width="9.140625" style="23"/>
  </cols>
  <sheetData>
    <row r="1" spans="1:18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15" x14ac:dyDescent="0.25">
      <c r="A2" s="96" t="s">
        <v>214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8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8" ht="15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8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8" ht="15" x14ac:dyDescent="0.25">
      <c r="A7" s="27" t="s">
        <v>107</v>
      </c>
      <c r="B7" s="27"/>
      <c r="C7" s="27"/>
      <c r="D7" s="27"/>
      <c r="E7" s="27"/>
      <c r="F7" s="6">
        <f t="shared" ref="F7:Q7" si="0">+F9+F55</f>
        <v>1079263.6200000001</v>
      </c>
      <c r="G7" s="6">
        <f t="shared" si="0"/>
        <v>1110145.9670000002</v>
      </c>
      <c r="H7" s="6">
        <f t="shared" si="0"/>
        <v>1098483.8840000001</v>
      </c>
      <c r="I7" s="6">
        <f t="shared" si="0"/>
        <v>1095785.53</v>
      </c>
      <c r="J7" s="6">
        <f t="shared" si="0"/>
        <v>1124320.7849999999</v>
      </c>
      <c r="K7" s="6">
        <f t="shared" si="0"/>
        <v>1119629.835</v>
      </c>
      <c r="L7" s="6">
        <f t="shared" si="0"/>
        <v>1128440.328</v>
      </c>
      <c r="M7" s="6">
        <f t="shared" si="0"/>
        <v>1142953.209</v>
      </c>
      <c r="N7" s="6">
        <f t="shared" si="0"/>
        <v>1168137.638</v>
      </c>
      <c r="O7" s="6">
        <f t="shared" si="0"/>
        <v>1205029.051</v>
      </c>
      <c r="P7" s="6">
        <f t="shared" si="0"/>
        <v>1246613.8520000002</v>
      </c>
      <c r="Q7" s="6">
        <f t="shared" si="0"/>
        <v>1239473.7930000001</v>
      </c>
    </row>
    <row r="8" spans="1:18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8" ht="15" x14ac:dyDescent="0.25">
      <c r="B9" s="27" t="s">
        <v>108</v>
      </c>
      <c r="C9" s="27"/>
      <c r="D9" s="27"/>
      <c r="E9" s="27"/>
      <c r="F9" s="8">
        <f>F10+F26</f>
        <v>1068979.0530000001</v>
      </c>
      <c r="G9" s="8">
        <f t="shared" ref="G9:Q9" si="1">G10+G26</f>
        <v>1099911.1470000001</v>
      </c>
      <c r="H9" s="8">
        <f t="shared" si="1"/>
        <v>1088257.371</v>
      </c>
      <c r="I9" s="8">
        <f t="shared" si="1"/>
        <v>1085580.946</v>
      </c>
      <c r="J9" s="8">
        <f t="shared" si="1"/>
        <v>1114157.345</v>
      </c>
      <c r="K9" s="8">
        <f t="shared" si="1"/>
        <v>1109473.3489999999</v>
      </c>
      <c r="L9" s="8">
        <f t="shared" si="1"/>
        <v>1118289.003</v>
      </c>
      <c r="M9" s="8">
        <f t="shared" si="1"/>
        <v>1132826.8730000001</v>
      </c>
      <c r="N9" s="8">
        <f t="shared" si="1"/>
        <v>1155016.9610000001</v>
      </c>
      <c r="O9" s="8">
        <f t="shared" si="1"/>
        <v>1192000.4469999999</v>
      </c>
      <c r="P9" s="8">
        <f t="shared" si="1"/>
        <v>1222611.4950000001</v>
      </c>
      <c r="Q9" s="8">
        <f t="shared" si="1"/>
        <v>1218507.6310000001</v>
      </c>
      <c r="R9" s="8"/>
    </row>
    <row r="10" spans="1:18" ht="15" x14ac:dyDescent="0.25">
      <c r="B10" s="27"/>
      <c r="C10" s="27" t="s">
        <v>24</v>
      </c>
      <c r="D10" s="27"/>
      <c r="E10" s="27"/>
      <c r="F10" s="8">
        <f t="shared" ref="F10:Q10" si="2">+F11+F17</f>
        <v>937113.08100000001</v>
      </c>
      <c r="G10" s="8">
        <f t="shared" si="2"/>
        <v>967955.22500000009</v>
      </c>
      <c r="H10" s="8">
        <f t="shared" si="2"/>
        <v>956509.29300000006</v>
      </c>
      <c r="I10" s="8">
        <f t="shared" si="2"/>
        <v>954153.15300000005</v>
      </c>
      <c r="J10" s="8">
        <f t="shared" si="2"/>
        <v>967147.77099999995</v>
      </c>
      <c r="K10" s="8">
        <f t="shared" si="2"/>
        <v>962439.34100000001</v>
      </c>
      <c r="L10" s="8">
        <f t="shared" si="2"/>
        <v>971340.04100000008</v>
      </c>
      <c r="M10" s="8">
        <f t="shared" si="2"/>
        <v>974038.69900000002</v>
      </c>
      <c r="N10" s="8">
        <f t="shared" si="2"/>
        <v>989917.60600000003</v>
      </c>
      <c r="O10" s="8">
        <f t="shared" si="2"/>
        <v>991600.70599999989</v>
      </c>
      <c r="P10" s="8">
        <f t="shared" si="2"/>
        <v>992903.85600000003</v>
      </c>
      <c r="Q10" s="8">
        <f t="shared" si="2"/>
        <v>988910.50100000005</v>
      </c>
    </row>
    <row r="11" spans="1:18" ht="15" x14ac:dyDescent="0.25">
      <c r="B11" s="29"/>
      <c r="C11" s="29"/>
      <c r="D11" s="29" t="s">
        <v>109</v>
      </c>
      <c r="E11" s="29"/>
      <c r="F11" s="8">
        <f>SUM(F12:F15)</f>
        <v>475525.18800000002</v>
      </c>
      <c r="G11" s="8">
        <f t="shared" ref="G11:Q11" si="3">SUM(G12:G15)</f>
        <v>471607.93200000003</v>
      </c>
      <c r="H11" s="8">
        <f t="shared" si="3"/>
        <v>474587</v>
      </c>
      <c r="I11" s="8">
        <f t="shared" si="3"/>
        <v>479016.91000000003</v>
      </c>
      <c r="J11" s="8">
        <f t="shared" si="3"/>
        <v>475523.88</v>
      </c>
      <c r="K11" s="8">
        <f t="shared" si="3"/>
        <v>465485.51</v>
      </c>
      <c r="L11" s="8">
        <f t="shared" si="3"/>
        <v>465344.03500000003</v>
      </c>
      <c r="M11" s="8">
        <f t="shared" si="3"/>
        <v>459183.79300000006</v>
      </c>
      <c r="N11" s="8">
        <f t="shared" si="3"/>
        <v>466289.4</v>
      </c>
      <c r="O11" s="8">
        <f t="shared" si="3"/>
        <v>457963.19999999995</v>
      </c>
      <c r="P11" s="8">
        <f t="shared" si="3"/>
        <v>439910.15</v>
      </c>
      <c r="Q11" s="8">
        <f t="shared" si="3"/>
        <v>425413.59499999997</v>
      </c>
    </row>
    <row r="12" spans="1:18" x14ac:dyDescent="0.2">
      <c r="E12" s="23" t="s">
        <v>25</v>
      </c>
      <c r="F12" s="30">
        <v>3864.8519999999999</v>
      </c>
      <c r="G12" s="30">
        <v>1520.252</v>
      </c>
      <c r="H12" s="30">
        <v>355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</row>
    <row r="13" spans="1:18" x14ac:dyDescent="0.2">
      <c r="E13" s="23" t="s">
        <v>104</v>
      </c>
      <c r="F13" s="30">
        <v>106068.58</v>
      </c>
      <c r="G13" s="30">
        <v>99236.36</v>
      </c>
      <c r="H13" s="30">
        <v>98086</v>
      </c>
      <c r="I13" s="30">
        <f>34803.37+65000</f>
        <v>99803.37</v>
      </c>
      <c r="J13" s="30">
        <f>34371.62+65000</f>
        <v>99371.62</v>
      </c>
      <c r="K13" s="30">
        <f>31185.9+65000</f>
        <v>96185.9</v>
      </c>
      <c r="L13" s="30">
        <f>28834.4+65000</f>
        <v>93834.4</v>
      </c>
      <c r="M13" s="30">
        <f>26716.3+65000</f>
        <v>91716.3</v>
      </c>
      <c r="N13" s="30">
        <f>26290.5+65000</f>
        <v>91290.5</v>
      </c>
      <c r="O13" s="30">
        <f>22044.7+65000</f>
        <v>87044.7</v>
      </c>
      <c r="P13" s="30">
        <f>21793.9+65000</f>
        <v>86793.9</v>
      </c>
      <c r="Q13" s="30">
        <f>19485.845+65000.25</f>
        <v>84486.095000000001</v>
      </c>
    </row>
    <row r="14" spans="1:18" x14ac:dyDescent="0.2">
      <c r="E14" s="23" t="s">
        <v>105</v>
      </c>
      <c r="F14" s="30">
        <v>153012.62100000001</v>
      </c>
      <c r="G14" s="30">
        <v>154072.4</v>
      </c>
      <c r="H14" s="30">
        <v>155005</v>
      </c>
      <c r="I14" s="30">
        <f>98670.19+60000</f>
        <v>158670.19</v>
      </c>
      <c r="J14" s="30">
        <f>96033.59+60000</f>
        <v>156033.59</v>
      </c>
      <c r="K14" s="30">
        <f>69424.875+60000</f>
        <v>129424.875</v>
      </c>
      <c r="L14" s="30">
        <f>65857.375+60000</f>
        <v>125857.375</v>
      </c>
      <c r="M14" s="30">
        <f>62370.05+60000</f>
        <v>122370.05</v>
      </c>
      <c r="N14" s="30">
        <f>55692.3+60000</f>
        <v>115692.3</v>
      </c>
      <c r="O14" s="30">
        <f>52241.2+60000</f>
        <v>112241.2</v>
      </c>
      <c r="P14" s="30">
        <f>49338.6+60000</f>
        <v>109338.6</v>
      </c>
      <c r="Q14" s="30">
        <v>104177.25</v>
      </c>
    </row>
    <row r="15" spans="1:18" x14ac:dyDescent="0.2">
      <c r="E15" s="23" t="s">
        <v>106</v>
      </c>
      <c r="F15" s="30">
        <v>212579.13500000001</v>
      </c>
      <c r="G15" s="30">
        <v>216778.92</v>
      </c>
      <c r="H15" s="30">
        <v>221141</v>
      </c>
      <c r="I15" s="30">
        <f>170975.35+49568</f>
        <v>220543.35</v>
      </c>
      <c r="J15" s="30">
        <f>170550.67+49568</f>
        <v>220118.67</v>
      </c>
      <c r="K15" s="30">
        <f>190306.735+49568</f>
        <v>239874.73499999999</v>
      </c>
      <c r="L15" s="30">
        <f>196083.96+49568.3</f>
        <v>245652.26</v>
      </c>
      <c r="M15" s="30">
        <f>195529.143+49568.3</f>
        <v>245097.44300000003</v>
      </c>
      <c r="N15" s="30">
        <f>209738.6+49568</f>
        <v>259306.6</v>
      </c>
      <c r="O15" s="30">
        <f>209109.3+49568</f>
        <v>258677.3</v>
      </c>
      <c r="P15" s="30">
        <f>194209.65+49568</f>
        <v>243777.65</v>
      </c>
      <c r="Q15" s="30">
        <v>236750.25</v>
      </c>
    </row>
    <row r="16" spans="1:18" x14ac:dyDescent="0.2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2:17" ht="15" x14ac:dyDescent="0.25">
      <c r="B17" s="29"/>
      <c r="C17" s="29"/>
      <c r="D17" s="29" t="s">
        <v>110</v>
      </c>
      <c r="E17" s="29"/>
      <c r="F17" s="8">
        <f t="shared" ref="F17:Q17" si="4">SUM(F18:F24)</f>
        <v>461587.89300000004</v>
      </c>
      <c r="G17" s="8">
        <f t="shared" si="4"/>
        <v>496347.29300000001</v>
      </c>
      <c r="H17" s="8">
        <f t="shared" si="4"/>
        <v>481922.29300000006</v>
      </c>
      <c r="I17" s="8">
        <f t="shared" si="4"/>
        <v>475136.24300000002</v>
      </c>
      <c r="J17" s="8">
        <f t="shared" si="4"/>
        <v>491623.89099999995</v>
      </c>
      <c r="K17" s="8">
        <f t="shared" si="4"/>
        <v>496953.83100000001</v>
      </c>
      <c r="L17" s="8">
        <f t="shared" si="4"/>
        <v>505996.00600000005</v>
      </c>
      <c r="M17" s="8">
        <f t="shared" si="4"/>
        <v>514854.90599999996</v>
      </c>
      <c r="N17" s="8">
        <f t="shared" si="4"/>
        <v>523628.20600000001</v>
      </c>
      <c r="O17" s="8">
        <f t="shared" si="4"/>
        <v>533637.50599999994</v>
      </c>
      <c r="P17" s="8">
        <f t="shared" si="4"/>
        <v>552993.70600000001</v>
      </c>
      <c r="Q17" s="8">
        <f t="shared" si="4"/>
        <v>563496.90600000008</v>
      </c>
    </row>
    <row r="18" spans="2:17" x14ac:dyDescent="0.2">
      <c r="E18" s="23" t="s">
        <v>111</v>
      </c>
      <c r="F18" s="30">
        <v>118855.15</v>
      </c>
      <c r="G18" s="30">
        <v>140573.25</v>
      </c>
      <c r="H18" s="30">
        <v>134140.15</v>
      </c>
      <c r="I18" s="30">
        <v>130383.35</v>
      </c>
      <c r="J18" s="30">
        <v>143246.848</v>
      </c>
      <c r="K18" s="30">
        <v>146112.18799999999</v>
      </c>
      <c r="L18" s="30">
        <v>150689.788</v>
      </c>
      <c r="M18" s="30">
        <v>150726.68799999999</v>
      </c>
      <c r="N18" s="30">
        <v>151519.18799999999</v>
      </c>
      <c r="O18" s="30">
        <v>149682.38800000001</v>
      </c>
      <c r="P18" s="30">
        <v>156806.98800000001</v>
      </c>
      <c r="Q18" s="30">
        <v>159814.788</v>
      </c>
    </row>
    <row r="19" spans="2:17" x14ac:dyDescent="0.2">
      <c r="E19" s="23" t="s">
        <v>27</v>
      </c>
      <c r="F19" s="30">
        <v>122426.5</v>
      </c>
      <c r="G19" s="30">
        <v>128821</v>
      </c>
      <c r="H19" s="30">
        <v>117051.7</v>
      </c>
      <c r="I19" s="30">
        <f>113608.55+0.25</f>
        <v>113608.8</v>
      </c>
      <c r="J19" s="30">
        <v>116091.2</v>
      </c>
      <c r="K19" s="30">
        <v>114183.9</v>
      </c>
      <c r="L19" s="30">
        <v>117534.375</v>
      </c>
      <c r="M19" s="30">
        <v>124377.27499999999</v>
      </c>
      <c r="N19" s="30">
        <v>131430.47500000001</v>
      </c>
      <c r="O19" s="30">
        <v>137926.67499999999</v>
      </c>
      <c r="P19" s="30">
        <v>139673.97500000001</v>
      </c>
      <c r="Q19" s="30">
        <v>146131.67499999999</v>
      </c>
    </row>
    <row r="20" spans="2:17" x14ac:dyDescent="0.2">
      <c r="E20" s="23" t="s">
        <v>26</v>
      </c>
      <c r="F20" s="30">
        <v>102572.3</v>
      </c>
      <c r="G20" s="30">
        <v>109208.6</v>
      </c>
      <c r="H20" s="30">
        <v>112984.9</v>
      </c>
      <c r="I20" s="30">
        <v>113386.9</v>
      </c>
      <c r="J20" s="30">
        <v>113386.9</v>
      </c>
      <c r="K20" s="30">
        <v>117758.8</v>
      </c>
      <c r="L20" s="30">
        <v>118855.6</v>
      </c>
      <c r="M20" s="30">
        <v>120412</v>
      </c>
      <c r="N20" s="30">
        <v>121134.6</v>
      </c>
      <c r="O20" s="30">
        <v>121786.1</v>
      </c>
      <c r="P20" s="30">
        <v>131536.29999999999</v>
      </c>
      <c r="Q20" s="30">
        <v>132372.4</v>
      </c>
    </row>
    <row r="21" spans="2:17" x14ac:dyDescent="0.2">
      <c r="E21" s="23" t="s">
        <v>113</v>
      </c>
      <c r="F21" s="30">
        <v>101084.54700000001</v>
      </c>
      <c r="G21" s="30">
        <v>101084.54700000001</v>
      </c>
      <c r="H21" s="30">
        <v>101084.54700000001</v>
      </c>
      <c r="I21" s="30">
        <v>101089.247</v>
      </c>
      <c r="J21" s="30">
        <v>102229.247</v>
      </c>
      <c r="K21" s="30">
        <v>102229.247</v>
      </c>
      <c r="L21" s="30">
        <v>102230.34699999999</v>
      </c>
      <c r="M21" s="30">
        <v>102639.247</v>
      </c>
      <c r="N21" s="30">
        <v>102844.247</v>
      </c>
      <c r="O21" s="30">
        <v>106762.54700000001</v>
      </c>
      <c r="P21" s="30">
        <v>106832.947</v>
      </c>
      <c r="Q21" s="30">
        <v>107032.947</v>
      </c>
    </row>
    <row r="22" spans="2:17" x14ac:dyDescent="0.2">
      <c r="E22" s="23" t="s">
        <v>114</v>
      </c>
      <c r="F22" s="30">
        <v>9846.5959999999995</v>
      </c>
      <c r="G22" s="30">
        <v>9846.5959999999995</v>
      </c>
      <c r="H22" s="30">
        <v>9846.5959999999995</v>
      </c>
      <c r="I22" s="30">
        <v>9846.5959999999995</v>
      </c>
      <c r="J22" s="30">
        <v>9846.5959999999995</v>
      </c>
      <c r="K22" s="30">
        <v>9846.5959999999995</v>
      </c>
      <c r="L22" s="30">
        <v>9846.5959999999995</v>
      </c>
      <c r="M22" s="30">
        <v>9846.5959999999995</v>
      </c>
      <c r="N22" s="30">
        <v>9846.5959999999995</v>
      </c>
      <c r="O22" s="30">
        <v>9846.5959999999995</v>
      </c>
      <c r="P22" s="30">
        <v>9846.5959999999995</v>
      </c>
      <c r="Q22" s="30">
        <v>9846.5959999999995</v>
      </c>
    </row>
    <row r="23" spans="2:17" x14ac:dyDescent="0.2">
      <c r="E23" s="23" t="s">
        <v>115</v>
      </c>
      <c r="F23" s="30">
        <v>6705.8</v>
      </c>
      <c r="G23" s="30">
        <v>6716.3</v>
      </c>
      <c r="H23" s="30">
        <v>6717.4</v>
      </c>
      <c r="I23" s="30">
        <v>6724.3</v>
      </c>
      <c r="J23" s="30">
        <v>6726.1</v>
      </c>
      <c r="K23" s="30">
        <v>6726.1</v>
      </c>
      <c r="L23" s="30">
        <v>6742.3</v>
      </c>
      <c r="M23" s="30">
        <v>6756.1</v>
      </c>
      <c r="N23" s="30">
        <v>6756.1</v>
      </c>
      <c r="O23" s="30">
        <v>7536.2</v>
      </c>
      <c r="P23" s="30">
        <v>8199.9</v>
      </c>
      <c r="Q23" s="30">
        <v>8201.5</v>
      </c>
    </row>
    <row r="24" spans="2:17" x14ac:dyDescent="0.2">
      <c r="E24" s="23" t="s">
        <v>116</v>
      </c>
      <c r="F24" s="30">
        <v>97</v>
      </c>
      <c r="G24" s="30">
        <v>97</v>
      </c>
      <c r="H24" s="30">
        <v>97</v>
      </c>
      <c r="I24" s="30">
        <v>97.05</v>
      </c>
      <c r="J24" s="30">
        <v>97</v>
      </c>
      <c r="K24" s="30">
        <v>97</v>
      </c>
      <c r="L24" s="30">
        <v>97</v>
      </c>
      <c r="M24" s="30">
        <v>97</v>
      </c>
      <c r="N24" s="30">
        <v>97</v>
      </c>
      <c r="O24" s="30">
        <v>97</v>
      </c>
      <c r="P24" s="30">
        <v>97</v>
      </c>
      <c r="Q24" s="30">
        <v>97</v>
      </c>
    </row>
    <row r="25" spans="2:17" x14ac:dyDescent="0.2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2:17" ht="15" x14ac:dyDescent="0.25">
      <c r="B26" s="29"/>
      <c r="C26" s="29" t="s">
        <v>117</v>
      </c>
      <c r="D26" s="29"/>
      <c r="E26" s="29"/>
      <c r="F26" s="8">
        <f>F27+F30+F32+F34+F39+F41+F45+F47++F49+F51+F53</f>
        <v>131865.97200000001</v>
      </c>
      <c r="G26" s="8">
        <f t="shared" ref="G26:Q26" si="5">G27+G30+G32+G34+G39+G41+G45+G47++G49+G51+G53</f>
        <v>131955.92200000002</v>
      </c>
      <c r="H26" s="8">
        <f t="shared" si="5"/>
        <v>131748.07800000001</v>
      </c>
      <c r="I26" s="8">
        <f t="shared" si="5"/>
        <v>131427.79300000001</v>
      </c>
      <c r="J26" s="8">
        <f t="shared" si="5"/>
        <v>147009.57399999999</v>
      </c>
      <c r="K26" s="8">
        <f t="shared" si="5"/>
        <v>147034.00800000003</v>
      </c>
      <c r="L26" s="8">
        <f t="shared" si="5"/>
        <v>146948.962</v>
      </c>
      <c r="M26" s="8">
        <f t="shared" si="5"/>
        <v>158788.174</v>
      </c>
      <c r="N26" s="8">
        <f t="shared" si="5"/>
        <v>165099.35499999998</v>
      </c>
      <c r="O26" s="8">
        <f t="shared" si="5"/>
        <v>200399.74100000001</v>
      </c>
      <c r="P26" s="8">
        <f t="shared" si="5"/>
        <v>229707.639</v>
      </c>
      <c r="Q26" s="8">
        <f t="shared" si="5"/>
        <v>229597.13</v>
      </c>
    </row>
    <row r="27" spans="2:17" ht="15" x14ac:dyDescent="0.25">
      <c r="B27" s="29"/>
      <c r="C27" s="29"/>
      <c r="D27" s="29" t="s">
        <v>118</v>
      </c>
      <c r="E27" s="29"/>
      <c r="F27" s="8">
        <f>SUM(F28:F28)</f>
        <v>0</v>
      </c>
      <c r="G27" s="8">
        <f t="shared" ref="G27:Q27" si="6">SUM(G28:G28)</f>
        <v>0</v>
      </c>
      <c r="H27" s="8">
        <f t="shared" si="6"/>
        <v>0</v>
      </c>
      <c r="I27" s="8">
        <f t="shared" si="6"/>
        <v>0</v>
      </c>
      <c r="J27" s="8">
        <f t="shared" si="6"/>
        <v>15635.375</v>
      </c>
      <c r="K27" s="8">
        <f t="shared" si="6"/>
        <v>15635.375</v>
      </c>
      <c r="L27" s="8">
        <f t="shared" si="6"/>
        <v>15635.375</v>
      </c>
      <c r="M27" s="8">
        <f t="shared" si="6"/>
        <v>15635.375</v>
      </c>
      <c r="N27" s="8">
        <f t="shared" si="6"/>
        <v>15635.375</v>
      </c>
      <c r="O27" s="8">
        <f t="shared" si="6"/>
        <v>15635.375</v>
      </c>
      <c r="P27" s="8">
        <f t="shared" si="6"/>
        <v>37993.159</v>
      </c>
      <c r="Q27" s="8">
        <f t="shared" si="6"/>
        <v>37993.159</v>
      </c>
    </row>
    <row r="28" spans="2:17" x14ac:dyDescent="0.2">
      <c r="E28" s="23" t="s">
        <v>120</v>
      </c>
      <c r="F28" s="30">
        <v>0</v>
      </c>
      <c r="G28" s="30">
        <v>0</v>
      </c>
      <c r="H28" s="30">
        <v>0</v>
      </c>
      <c r="I28" s="30">
        <v>0</v>
      </c>
      <c r="J28" s="30">
        <v>15635.375</v>
      </c>
      <c r="K28" s="30">
        <v>15635.375</v>
      </c>
      <c r="L28" s="30">
        <v>15635.375</v>
      </c>
      <c r="M28" s="30">
        <v>15635.375</v>
      </c>
      <c r="N28" s="30">
        <v>15635.375</v>
      </c>
      <c r="O28" s="30">
        <v>15635.375</v>
      </c>
      <c r="P28" s="30">
        <v>37993.159</v>
      </c>
      <c r="Q28" s="30">
        <v>37993.159</v>
      </c>
    </row>
    <row r="29" spans="2:17" x14ac:dyDescent="0.2"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7" ht="15" x14ac:dyDescent="0.25">
      <c r="B30" s="29"/>
      <c r="C30" s="29"/>
      <c r="D30" s="29" t="s">
        <v>122</v>
      </c>
      <c r="E30" s="29"/>
      <c r="F30" s="28">
        <v>30260</v>
      </c>
      <c r="G30" s="28">
        <v>30260</v>
      </c>
      <c r="H30" s="28">
        <v>30260</v>
      </c>
      <c r="I30" s="28">
        <v>30260</v>
      </c>
      <c r="J30" s="28">
        <v>30260</v>
      </c>
      <c r="K30" s="28">
        <v>30260</v>
      </c>
      <c r="L30" s="28">
        <v>30260</v>
      </c>
      <c r="M30" s="28">
        <v>30260</v>
      </c>
      <c r="N30" s="28">
        <v>30260</v>
      </c>
      <c r="O30" s="28">
        <v>30260</v>
      </c>
      <c r="P30" s="28">
        <v>30260</v>
      </c>
      <c r="Q30" s="28">
        <v>30260.235000000001</v>
      </c>
    </row>
    <row r="31" spans="2:17" x14ac:dyDescent="0.2"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2:17" ht="15" x14ac:dyDescent="0.25">
      <c r="C32" s="29"/>
      <c r="D32" s="29" t="s">
        <v>123</v>
      </c>
      <c r="E32" s="29"/>
      <c r="F32" s="28">
        <v>8000</v>
      </c>
      <c r="G32" s="28">
        <v>8000</v>
      </c>
      <c r="H32" s="28">
        <v>8000</v>
      </c>
      <c r="I32" s="28">
        <v>8000</v>
      </c>
      <c r="J32" s="28">
        <v>8000</v>
      </c>
      <c r="K32" s="28">
        <v>8000</v>
      </c>
      <c r="L32" s="28">
        <v>8000</v>
      </c>
      <c r="M32" s="28">
        <v>8000</v>
      </c>
      <c r="N32" s="28">
        <v>8000</v>
      </c>
      <c r="O32" s="28">
        <v>8000</v>
      </c>
      <c r="P32" s="28">
        <v>8000</v>
      </c>
      <c r="Q32" s="28">
        <v>8000</v>
      </c>
    </row>
    <row r="33" spans="1:17" x14ac:dyDescent="0.2"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5" x14ac:dyDescent="0.25">
      <c r="B34" s="29"/>
      <c r="C34" s="29"/>
      <c r="D34" s="29" t="s">
        <v>152</v>
      </c>
      <c r="E34" s="29"/>
      <c r="F34" s="8">
        <f>SUM(F35:F37)</f>
        <v>0</v>
      </c>
      <c r="G34" s="8">
        <f t="shared" ref="G34:Q34" si="7">SUM(G35:G37)</f>
        <v>0</v>
      </c>
      <c r="H34" s="8">
        <f t="shared" si="7"/>
        <v>0</v>
      </c>
      <c r="I34" s="8">
        <f t="shared" si="7"/>
        <v>0</v>
      </c>
      <c r="J34" s="8">
        <f t="shared" si="7"/>
        <v>0</v>
      </c>
      <c r="K34" s="8">
        <f t="shared" si="7"/>
        <v>0</v>
      </c>
      <c r="L34" s="8">
        <f t="shared" si="7"/>
        <v>0</v>
      </c>
      <c r="M34" s="8">
        <f t="shared" si="7"/>
        <v>11810</v>
      </c>
      <c r="N34" s="8">
        <f t="shared" si="7"/>
        <v>11810</v>
      </c>
      <c r="O34" s="8">
        <f t="shared" si="7"/>
        <v>11810</v>
      </c>
      <c r="P34" s="8">
        <f t="shared" si="7"/>
        <v>11810</v>
      </c>
      <c r="Q34" s="8">
        <f t="shared" si="7"/>
        <v>11810</v>
      </c>
    </row>
    <row r="35" spans="1:17" x14ac:dyDescent="0.2">
      <c r="E35" s="23" t="s">
        <v>129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6330</v>
      </c>
    </row>
    <row r="36" spans="1:17" x14ac:dyDescent="0.2">
      <c r="E36" s="23" t="s">
        <v>119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6330</v>
      </c>
      <c r="N36" s="30">
        <v>6330</v>
      </c>
      <c r="O36" s="30">
        <v>6330</v>
      </c>
      <c r="P36" s="30">
        <v>6330</v>
      </c>
      <c r="Q36" s="30">
        <v>0</v>
      </c>
    </row>
    <row r="37" spans="1:17" x14ac:dyDescent="0.2">
      <c r="E37" s="23" t="s">
        <v>121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5480</v>
      </c>
      <c r="N37" s="30">
        <v>5480</v>
      </c>
      <c r="O37" s="30">
        <v>5480</v>
      </c>
      <c r="P37" s="30">
        <v>5480</v>
      </c>
      <c r="Q37" s="30">
        <v>5480</v>
      </c>
    </row>
    <row r="38" spans="1:17" x14ac:dyDescent="0.2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15" x14ac:dyDescent="0.25">
      <c r="B39" s="29"/>
      <c r="C39" s="29"/>
      <c r="D39" s="29" t="s">
        <v>153</v>
      </c>
      <c r="E39" s="29"/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6142.6149999999998</v>
      </c>
      <c r="O39" s="28">
        <v>6342.6149999999998</v>
      </c>
      <c r="P39" s="28">
        <v>6342.6149999999998</v>
      </c>
      <c r="Q39" s="28">
        <v>6342.6149999999998</v>
      </c>
    </row>
    <row r="40" spans="1:17" x14ac:dyDescent="0.2"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ht="15" x14ac:dyDescent="0.25">
      <c r="B41" s="29"/>
      <c r="C41" s="29"/>
      <c r="D41" s="29" t="s">
        <v>154</v>
      </c>
      <c r="E41" s="29"/>
      <c r="F41" s="8">
        <f t="shared" ref="F41:Q41" si="8">SUM(F42:F43)</f>
        <v>0</v>
      </c>
      <c r="G41" s="8">
        <f t="shared" si="8"/>
        <v>0</v>
      </c>
      <c r="H41" s="8">
        <f t="shared" si="8"/>
        <v>0</v>
      </c>
      <c r="I41" s="8">
        <f t="shared" si="8"/>
        <v>0</v>
      </c>
      <c r="J41" s="8">
        <f t="shared" si="8"/>
        <v>0</v>
      </c>
      <c r="K41" s="8">
        <f t="shared" si="8"/>
        <v>0</v>
      </c>
      <c r="L41" s="8">
        <f t="shared" si="8"/>
        <v>0</v>
      </c>
      <c r="M41" s="8">
        <f t="shared" si="8"/>
        <v>0</v>
      </c>
      <c r="N41" s="8">
        <f t="shared" si="8"/>
        <v>0</v>
      </c>
      <c r="O41" s="8">
        <f t="shared" si="8"/>
        <v>0</v>
      </c>
      <c r="P41" s="8">
        <f t="shared" si="8"/>
        <v>6981</v>
      </c>
      <c r="Q41" s="8">
        <f t="shared" si="8"/>
        <v>6930.2280000000001</v>
      </c>
    </row>
    <row r="42" spans="1:17" x14ac:dyDescent="0.2">
      <c r="E42" s="23" t="s">
        <v>129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3491.5</v>
      </c>
      <c r="Q42" s="30">
        <v>3467.279</v>
      </c>
    </row>
    <row r="43" spans="1:17" x14ac:dyDescent="0.2">
      <c r="E43" s="23" t="s">
        <v>119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3489.5</v>
      </c>
      <c r="Q43" s="30">
        <v>3462.9490000000001</v>
      </c>
    </row>
    <row r="44" spans="1:17" x14ac:dyDescent="0.2"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ht="15" x14ac:dyDescent="0.25">
      <c r="B45" s="29"/>
      <c r="C45" s="29"/>
      <c r="D45" s="29" t="s">
        <v>155</v>
      </c>
      <c r="E45" s="29"/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35000</v>
      </c>
      <c r="P45" s="28">
        <v>35000</v>
      </c>
      <c r="Q45" s="28">
        <v>35000</v>
      </c>
    </row>
    <row r="46" spans="1:17" x14ac:dyDescent="0.2"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ht="15" x14ac:dyDescent="0.25">
      <c r="A47" s="29"/>
      <c r="B47" s="29"/>
      <c r="C47" s="29"/>
      <c r="D47" s="29" t="s">
        <v>156</v>
      </c>
      <c r="E47" s="29"/>
      <c r="F47" s="28">
        <v>81480.922999999995</v>
      </c>
      <c r="G47" s="28">
        <v>81479.387000000002</v>
      </c>
      <c r="H47" s="28">
        <v>81479.06</v>
      </c>
      <c r="I47" s="28">
        <v>81329.06</v>
      </c>
      <c r="J47" s="28">
        <v>81328.981</v>
      </c>
      <c r="K47" s="28">
        <v>81291.77</v>
      </c>
      <c r="L47" s="28">
        <v>81198.350000000006</v>
      </c>
      <c r="M47" s="28">
        <f>81270.292-97.05</f>
        <v>81173.241999999998</v>
      </c>
      <c r="N47" s="28">
        <f>81199.718-97.05</f>
        <v>81102.667999999991</v>
      </c>
      <c r="O47" s="28">
        <f>81124.598-97.05</f>
        <v>81027.547999999995</v>
      </c>
      <c r="P47" s="28">
        <f>81124.598-97.05</f>
        <v>81027.547999999995</v>
      </c>
      <c r="Q47" s="28">
        <f>81123.975-97.05</f>
        <v>81026.925000000003</v>
      </c>
    </row>
    <row r="48" spans="1:17" ht="15" x14ac:dyDescent="0.25">
      <c r="A48" s="29"/>
      <c r="B48" s="29"/>
      <c r="C48" s="29"/>
      <c r="D48" s="29"/>
      <c r="E48" s="29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ht="15" x14ac:dyDescent="0.25">
      <c r="A49" s="29"/>
      <c r="B49" s="29"/>
      <c r="C49" s="29"/>
      <c r="D49" s="29" t="s">
        <v>157</v>
      </c>
      <c r="E49" s="29"/>
      <c r="F49" s="28">
        <v>2416</v>
      </c>
      <c r="G49" s="28">
        <v>2415.5509999999999</v>
      </c>
      <c r="H49" s="28">
        <v>2415.5509999999999</v>
      </c>
      <c r="I49" s="28">
        <v>2415.5509999999999</v>
      </c>
      <c r="J49" s="28">
        <v>2415.5509999999999</v>
      </c>
      <c r="K49" s="28">
        <v>2415.5509999999999</v>
      </c>
      <c r="L49" s="28">
        <v>2415.5509999999999</v>
      </c>
      <c r="M49" s="28">
        <v>2415.5509999999999</v>
      </c>
      <c r="N49" s="28">
        <v>2415.5509999999999</v>
      </c>
      <c r="O49" s="28">
        <v>2415.5509999999999</v>
      </c>
      <c r="P49" s="28">
        <v>2415.5509999999999</v>
      </c>
      <c r="Q49" s="28">
        <v>2415.5509999999999</v>
      </c>
    </row>
    <row r="50" spans="1:17" ht="15" x14ac:dyDescent="0.25">
      <c r="A50" s="29"/>
      <c r="B50" s="29"/>
      <c r="C50" s="29"/>
      <c r="D50" s="29"/>
      <c r="E50" s="29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ht="15" x14ac:dyDescent="0.25">
      <c r="A51" s="29"/>
      <c r="B51" s="29"/>
      <c r="C51" s="29"/>
      <c r="D51" s="29" t="s">
        <v>158</v>
      </c>
      <c r="E51" s="29"/>
      <c r="F51" s="28">
        <v>8946.2990000000009</v>
      </c>
      <c r="G51" s="28">
        <v>9049.884</v>
      </c>
      <c r="H51" s="28">
        <v>9070.7669999999998</v>
      </c>
      <c r="I51" s="28">
        <v>9095.7819999999992</v>
      </c>
      <c r="J51" s="28">
        <v>9127.2669999999998</v>
      </c>
      <c r="K51" s="28">
        <v>9156.4120000000003</v>
      </c>
      <c r="L51" s="28">
        <v>9155.8080000000009</v>
      </c>
      <c r="M51" s="28">
        <v>9169.4380000000001</v>
      </c>
      <c r="N51" s="28">
        <v>9282.5769999999993</v>
      </c>
      <c r="O51" s="28">
        <v>9256.4689999999991</v>
      </c>
      <c r="P51" s="28">
        <v>9243.0830000000005</v>
      </c>
      <c r="Q51" s="28">
        <v>9244.2340000000004</v>
      </c>
    </row>
    <row r="52" spans="1:17" ht="15" x14ac:dyDescent="0.25">
      <c r="A52" s="29"/>
      <c r="B52" s="29"/>
      <c r="C52" s="29"/>
      <c r="D52" s="29"/>
      <c r="E52" s="29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5" x14ac:dyDescent="0.25">
      <c r="A53" s="29"/>
      <c r="B53" s="29"/>
      <c r="C53" s="29"/>
      <c r="D53" s="29" t="s">
        <v>159</v>
      </c>
      <c r="E53" s="29"/>
      <c r="F53" s="28">
        <v>762.75</v>
      </c>
      <c r="G53" s="28">
        <v>751.1</v>
      </c>
      <c r="H53" s="28">
        <v>522.70000000000005</v>
      </c>
      <c r="I53" s="28">
        <v>327.39999999999998</v>
      </c>
      <c r="J53" s="28">
        <v>242.4</v>
      </c>
      <c r="K53" s="28">
        <v>274.89999999999998</v>
      </c>
      <c r="L53" s="28">
        <v>283.87799999999999</v>
      </c>
      <c r="M53" s="28">
        <v>324.56799999999998</v>
      </c>
      <c r="N53" s="28">
        <v>450.56900000000002</v>
      </c>
      <c r="O53" s="28">
        <v>652.18299999999999</v>
      </c>
      <c r="P53" s="28">
        <v>634.68299999999999</v>
      </c>
      <c r="Q53" s="28">
        <v>574.18299999999999</v>
      </c>
    </row>
    <row r="54" spans="1:17" ht="15" x14ac:dyDescent="0.25"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ht="15" x14ac:dyDescent="0.25">
      <c r="A55" s="29" t="s">
        <v>137</v>
      </c>
      <c r="B55" s="29"/>
      <c r="C55" s="29"/>
      <c r="D55" s="29"/>
      <c r="E55" s="29"/>
      <c r="F55" s="8">
        <v>10284.566999999999</v>
      </c>
      <c r="G55" s="8">
        <v>10234.82</v>
      </c>
      <c r="H55" s="8">
        <v>10226.513000000001</v>
      </c>
      <c r="I55" s="8">
        <v>10204.584000000001</v>
      </c>
      <c r="J55" s="8">
        <v>10163.44</v>
      </c>
      <c r="K55" s="8">
        <v>10156.486000000001</v>
      </c>
      <c r="L55" s="8">
        <v>10151.325000000001</v>
      </c>
      <c r="M55" s="8">
        <v>10126.335999999999</v>
      </c>
      <c r="N55" s="8">
        <v>13120.677</v>
      </c>
      <c r="O55" s="8">
        <v>13028.603999999999</v>
      </c>
      <c r="P55" s="8">
        <v>24002.357</v>
      </c>
      <c r="Q55" s="8">
        <v>20966.162</v>
      </c>
    </row>
    <row r="56" spans="1:17" x14ac:dyDescent="0.2">
      <c r="F56" s="32"/>
      <c r="G56" s="33"/>
      <c r="H56" s="32"/>
      <c r="I56" s="32"/>
      <c r="J56" s="32"/>
      <c r="K56" s="32"/>
      <c r="L56" s="32"/>
      <c r="M56" s="32"/>
      <c r="N56" s="32"/>
      <c r="O56" s="32"/>
      <c r="P56" s="32"/>
      <c r="Q56" s="32"/>
    </row>
    <row r="57" spans="1:17" x14ac:dyDescent="0.2">
      <c r="F57" s="35"/>
      <c r="G57" s="35"/>
    </row>
    <row r="58" spans="1:17" x14ac:dyDescent="0.2">
      <c r="F58" s="35"/>
      <c r="G58" s="35"/>
    </row>
    <row r="59" spans="1:17" x14ac:dyDescent="0.2">
      <c r="A59" s="34"/>
      <c r="B59" s="35" t="s">
        <v>21</v>
      </c>
      <c r="C59" s="35"/>
      <c r="D59" s="35"/>
      <c r="E59" s="35"/>
      <c r="F59" s="35"/>
      <c r="G59" s="37"/>
    </row>
    <row r="61" spans="1:17" x14ac:dyDescent="0.2">
      <c r="A61" s="35"/>
      <c r="B61" s="35"/>
      <c r="C61" s="35"/>
    </row>
    <row r="62" spans="1:17" x14ac:dyDescent="0.2">
      <c r="A62" s="36"/>
      <c r="B62" s="35"/>
      <c r="C62" s="35"/>
    </row>
  </sheetData>
  <mergeCells count="4">
    <mergeCell ref="A5:E5"/>
    <mergeCell ref="A1:Q1"/>
    <mergeCell ref="A2:Q2"/>
    <mergeCell ref="A3:Q3"/>
  </mergeCells>
  <printOptions horizontalCentered="1"/>
  <pageMargins left="0" right="0" top="0.45866141700000002" bottom="0.59055118110236204" header="0.511811023622047" footer="0.511811023622047"/>
  <pageSetup paperSize="9" scale="6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46"/>
  <sheetViews>
    <sheetView zoomScaleNormal="100" workbookViewId="0">
      <pane xSplit="5" ySplit="7" topLeftCell="F11" activePane="bottomRight" state="frozen"/>
      <selection activeCell="F20" sqref="F20"/>
      <selection pane="topRight" activeCell="F20" sqref="F20"/>
      <selection pane="bottomLeft" activeCell="F20" sqref="F20"/>
      <selection pane="bottomRight" activeCell="Q24" sqref="Q24"/>
    </sheetView>
  </sheetViews>
  <sheetFormatPr defaultColWidth="8.85546875" defaultRowHeight="14.25" x14ac:dyDescent="0.2"/>
  <cols>
    <col min="1" max="1" width="0.28515625" style="23" customWidth="1"/>
    <col min="2" max="2" width="1.140625" style="23" customWidth="1"/>
    <col min="3" max="3" width="2.140625" style="23" customWidth="1"/>
    <col min="4" max="4" width="1.28515625" style="23" customWidth="1"/>
    <col min="5" max="5" width="30.42578125" style="23" customWidth="1"/>
    <col min="6" max="7" width="10.28515625" style="23" customWidth="1"/>
    <col min="8" max="8" width="11.140625" style="23" customWidth="1"/>
    <col min="9" max="9" width="10.85546875" style="23" customWidth="1"/>
    <col min="10" max="10" width="10.28515625" style="23" customWidth="1"/>
    <col min="11" max="11" width="10.7109375" style="23" customWidth="1"/>
    <col min="12" max="12" width="10.85546875" style="23" customWidth="1"/>
    <col min="13" max="13" width="10.7109375" style="23" customWidth="1"/>
    <col min="14" max="14" width="11" style="23" customWidth="1"/>
    <col min="15" max="16" width="10.28515625" style="23" customWidth="1"/>
    <col min="17" max="17" width="10.42578125" style="23" customWidth="1"/>
    <col min="18" max="256" width="9.140625" style="23"/>
    <col min="257" max="257" width="0.28515625" style="23" customWidth="1"/>
    <col min="258" max="258" width="1.140625" style="23" customWidth="1"/>
    <col min="259" max="259" width="2.140625" style="23" customWidth="1"/>
    <col min="260" max="260" width="1.28515625" style="23" customWidth="1"/>
    <col min="261" max="261" width="27.28515625" style="23" customWidth="1"/>
    <col min="262" max="263" width="10.28515625" style="23" customWidth="1"/>
    <col min="264" max="264" width="11.140625" style="23" customWidth="1"/>
    <col min="265" max="265" width="10.85546875" style="23" customWidth="1"/>
    <col min="266" max="266" width="10.28515625" style="23" customWidth="1"/>
    <col min="267" max="267" width="10.7109375" style="23" customWidth="1"/>
    <col min="268" max="268" width="10.85546875" style="23" customWidth="1"/>
    <col min="269" max="269" width="10.7109375" style="23" customWidth="1"/>
    <col min="270" max="270" width="11" style="23" customWidth="1"/>
    <col min="271" max="272" width="10.28515625" style="23" customWidth="1"/>
    <col min="273" max="273" width="10.42578125" style="23" customWidth="1"/>
    <col min="274" max="512" width="9.140625" style="23"/>
    <col min="513" max="513" width="0.28515625" style="23" customWidth="1"/>
    <col min="514" max="514" width="1.140625" style="23" customWidth="1"/>
    <col min="515" max="515" width="2.140625" style="23" customWidth="1"/>
    <col min="516" max="516" width="1.28515625" style="23" customWidth="1"/>
    <col min="517" max="517" width="27.28515625" style="23" customWidth="1"/>
    <col min="518" max="519" width="10.28515625" style="23" customWidth="1"/>
    <col min="520" max="520" width="11.140625" style="23" customWidth="1"/>
    <col min="521" max="521" width="10.85546875" style="23" customWidth="1"/>
    <col min="522" max="522" width="10.28515625" style="23" customWidth="1"/>
    <col min="523" max="523" width="10.7109375" style="23" customWidth="1"/>
    <col min="524" max="524" width="10.85546875" style="23" customWidth="1"/>
    <col min="525" max="525" width="10.7109375" style="23" customWidth="1"/>
    <col min="526" max="526" width="11" style="23" customWidth="1"/>
    <col min="527" max="528" width="10.28515625" style="23" customWidth="1"/>
    <col min="529" max="529" width="10.42578125" style="23" customWidth="1"/>
    <col min="530" max="768" width="9.140625" style="23"/>
    <col min="769" max="769" width="0.28515625" style="23" customWidth="1"/>
    <col min="770" max="770" width="1.140625" style="23" customWidth="1"/>
    <col min="771" max="771" width="2.140625" style="23" customWidth="1"/>
    <col min="772" max="772" width="1.28515625" style="23" customWidth="1"/>
    <col min="773" max="773" width="27.28515625" style="23" customWidth="1"/>
    <col min="774" max="775" width="10.28515625" style="23" customWidth="1"/>
    <col min="776" max="776" width="11.140625" style="23" customWidth="1"/>
    <col min="777" max="777" width="10.85546875" style="23" customWidth="1"/>
    <col min="778" max="778" width="10.28515625" style="23" customWidth="1"/>
    <col min="779" max="779" width="10.7109375" style="23" customWidth="1"/>
    <col min="780" max="780" width="10.85546875" style="23" customWidth="1"/>
    <col min="781" max="781" width="10.7109375" style="23" customWidth="1"/>
    <col min="782" max="782" width="11" style="23" customWidth="1"/>
    <col min="783" max="784" width="10.28515625" style="23" customWidth="1"/>
    <col min="785" max="785" width="10.42578125" style="23" customWidth="1"/>
    <col min="786" max="1024" width="9.140625" style="23"/>
    <col min="1025" max="1025" width="0.28515625" style="23" customWidth="1"/>
    <col min="1026" max="1026" width="1.140625" style="23" customWidth="1"/>
    <col min="1027" max="1027" width="2.140625" style="23" customWidth="1"/>
    <col min="1028" max="1028" width="1.28515625" style="23" customWidth="1"/>
    <col min="1029" max="1029" width="27.28515625" style="23" customWidth="1"/>
    <col min="1030" max="1031" width="10.28515625" style="23" customWidth="1"/>
    <col min="1032" max="1032" width="11.140625" style="23" customWidth="1"/>
    <col min="1033" max="1033" width="10.85546875" style="23" customWidth="1"/>
    <col min="1034" max="1034" width="10.28515625" style="23" customWidth="1"/>
    <col min="1035" max="1035" width="10.7109375" style="23" customWidth="1"/>
    <col min="1036" max="1036" width="10.85546875" style="23" customWidth="1"/>
    <col min="1037" max="1037" width="10.7109375" style="23" customWidth="1"/>
    <col min="1038" max="1038" width="11" style="23" customWidth="1"/>
    <col min="1039" max="1040" width="10.28515625" style="23" customWidth="1"/>
    <col min="1041" max="1041" width="10.42578125" style="23" customWidth="1"/>
    <col min="1042" max="1280" width="9.140625" style="23"/>
    <col min="1281" max="1281" width="0.28515625" style="23" customWidth="1"/>
    <col min="1282" max="1282" width="1.140625" style="23" customWidth="1"/>
    <col min="1283" max="1283" width="2.140625" style="23" customWidth="1"/>
    <col min="1284" max="1284" width="1.28515625" style="23" customWidth="1"/>
    <col min="1285" max="1285" width="27.28515625" style="23" customWidth="1"/>
    <col min="1286" max="1287" width="10.28515625" style="23" customWidth="1"/>
    <col min="1288" max="1288" width="11.140625" style="23" customWidth="1"/>
    <col min="1289" max="1289" width="10.85546875" style="23" customWidth="1"/>
    <col min="1290" max="1290" width="10.28515625" style="23" customWidth="1"/>
    <col min="1291" max="1291" width="10.7109375" style="23" customWidth="1"/>
    <col min="1292" max="1292" width="10.85546875" style="23" customWidth="1"/>
    <col min="1293" max="1293" width="10.7109375" style="23" customWidth="1"/>
    <col min="1294" max="1294" width="11" style="23" customWidth="1"/>
    <col min="1295" max="1296" width="10.28515625" style="23" customWidth="1"/>
    <col min="1297" max="1297" width="10.42578125" style="23" customWidth="1"/>
    <col min="1298" max="1536" width="9.140625" style="23"/>
    <col min="1537" max="1537" width="0.28515625" style="23" customWidth="1"/>
    <col min="1538" max="1538" width="1.140625" style="23" customWidth="1"/>
    <col min="1539" max="1539" width="2.140625" style="23" customWidth="1"/>
    <col min="1540" max="1540" width="1.28515625" style="23" customWidth="1"/>
    <col min="1541" max="1541" width="27.28515625" style="23" customWidth="1"/>
    <col min="1542" max="1543" width="10.28515625" style="23" customWidth="1"/>
    <col min="1544" max="1544" width="11.140625" style="23" customWidth="1"/>
    <col min="1545" max="1545" width="10.85546875" style="23" customWidth="1"/>
    <col min="1546" max="1546" width="10.28515625" style="23" customWidth="1"/>
    <col min="1547" max="1547" width="10.7109375" style="23" customWidth="1"/>
    <col min="1548" max="1548" width="10.85546875" style="23" customWidth="1"/>
    <col min="1549" max="1549" width="10.7109375" style="23" customWidth="1"/>
    <col min="1550" max="1550" width="11" style="23" customWidth="1"/>
    <col min="1551" max="1552" width="10.28515625" style="23" customWidth="1"/>
    <col min="1553" max="1553" width="10.42578125" style="23" customWidth="1"/>
    <col min="1554" max="1792" width="9.140625" style="23"/>
    <col min="1793" max="1793" width="0.28515625" style="23" customWidth="1"/>
    <col min="1794" max="1794" width="1.140625" style="23" customWidth="1"/>
    <col min="1795" max="1795" width="2.140625" style="23" customWidth="1"/>
    <col min="1796" max="1796" width="1.28515625" style="23" customWidth="1"/>
    <col min="1797" max="1797" width="27.28515625" style="23" customWidth="1"/>
    <col min="1798" max="1799" width="10.28515625" style="23" customWidth="1"/>
    <col min="1800" max="1800" width="11.140625" style="23" customWidth="1"/>
    <col min="1801" max="1801" width="10.85546875" style="23" customWidth="1"/>
    <col min="1802" max="1802" width="10.28515625" style="23" customWidth="1"/>
    <col min="1803" max="1803" width="10.7109375" style="23" customWidth="1"/>
    <col min="1804" max="1804" width="10.85546875" style="23" customWidth="1"/>
    <col min="1805" max="1805" width="10.7109375" style="23" customWidth="1"/>
    <col min="1806" max="1806" width="11" style="23" customWidth="1"/>
    <col min="1807" max="1808" width="10.28515625" style="23" customWidth="1"/>
    <col min="1809" max="1809" width="10.42578125" style="23" customWidth="1"/>
    <col min="1810" max="2048" width="9.140625" style="23"/>
    <col min="2049" max="2049" width="0.28515625" style="23" customWidth="1"/>
    <col min="2050" max="2050" width="1.140625" style="23" customWidth="1"/>
    <col min="2051" max="2051" width="2.140625" style="23" customWidth="1"/>
    <col min="2052" max="2052" width="1.28515625" style="23" customWidth="1"/>
    <col min="2053" max="2053" width="27.28515625" style="23" customWidth="1"/>
    <col min="2054" max="2055" width="10.28515625" style="23" customWidth="1"/>
    <col min="2056" max="2056" width="11.140625" style="23" customWidth="1"/>
    <col min="2057" max="2057" width="10.85546875" style="23" customWidth="1"/>
    <col min="2058" max="2058" width="10.28515625" style="23" customWidth="1"/>
    <col min="2059" max="2059" width="10.7109375" style="23" customWidth="1"/>
    <col min="2060" max="2060" width="10.85546875" style="23" customWidth="1"/>
    <col min="2061" max="2061" width="10.7109375" style="23" customWidth="1"/>
    <col min="2062" max="2062" width="11" style="23" customWidth="1"/>
    <col min="2063" max="2064" width="10.28515625" style="23" customWidth="1"/>
    <col min="2065" max="2065" width="10.42578125" style="23" customWidth="1"/>
    <col min="2066" max="2304" width="9.140625" style="23"/>
    <col min="2305" max="2305" width="0.28515625" style="23" customWidth="1"/>
    <col min="2306" max="2306" width="1.140625" style="23" customWidth="1"/>
    <col min="2307" max="2307" width="2.140625" style="23" customWidth="1"/>
    <col min="2308" max="2308" width="1.28515625" style="23" customWidth="1"/>
    <col min="2309" max="2309" width="27.28515625" style="23" customWidth="1"/>
    <col min="2310" max="2311" width="10.28515625" style="23" customWidth="1"/>
    <col min="2312" max="2312" width="11.140625" style="23" customWidth="1"/>
    <col min="2313" max="2313" width="10.85546875" style="23" customWidth="1"/>
    <col min="2314" max="2314" width="10.28515625" style="23" customWidth="1"/>
    <col min="2315" max="2315" width="10.7109375" style="23" customWidth="1"/>
    <col min="2316" max="2316" width="10.85546875" style="23" customWidth="1"/>
    <col min="2317" max="2317" width="10.7109375" style="23" customWidth="1"/>
    <col min="2318" max="2318" width="11" style="23" customWidth="1"/>
    <col min="2319" max="2320" width="10.28515625" style="23" customWidth="1"/>
    <col min="2321" max="2321" width="10.42578125" style="23" customWidth="1"/>
    <col min="2322" max="2560" width="9.140625" style="23"/>
    <col min="2561" max="2561" width="0.28515625" style="23" customWidth="1"/>
    <col min="2562" max="2562" width="1.140625" style="23" customWidth="1"/>
    <col min="2563" max="2563" width="2.140625" style="23" customWidth="1"/>
    <col min="2564" max="2564" width="1.28515625" style="23" customWidth="1"/>
    <col min="2565" max="2565" width="27.28515625" style="23" customWidth="1"/>
    <col min="2566" max="2567" width="10.28515625" style="23" customWidth="1"/>
    <col min="2568" max="2568" width="11.140625" style="23" customWidth="1"/>
    <col min="2569" max="2569" width="10.85546875" style="23" customWidth="1"/>
    <col min="2570" max="2570" width="10.28515625" style="23" customWidth="1"/>
    <col min="2571" max="2571" width="10.7109375" style="23" customWidth="1"/>
    <col min="2572" max="2572" width="10.85546875" style="23" customWidth="1"/>
    <col min="2573" max="2573" width="10.7109375" style="23" customWidth="1"/>
    <col min="2574" max="2574" width="11" style="23" customWidth="1"/>
    <col min="2575" max="2576" width="10.28515625" style="23" customWidth="1"/>
    <col min="2577" max="2577" width="10.42578125" style="23" customWidth="1"/>
    <col min="2578" max="2816" width="9.140625" style="23"/>
    <col min="2817" max="2817" width="0.28515625" style="23" customWidth="1"/>
    <col min="2818" max="2818" width="1.140625" style="23" customWidth="1"/>
    <col min="2819" max="2819" width="2.140625" style="23" customWidth="1"/>
    <col min="2820" max="2820" width="1.28515625" style="23" customWidth="1"/>
    <col min="2821" max="2821" width="27.28515625" style="23" customWidth="1"/>
    <col min="2822" max="2823" width="10.28515625" style="23" customWidth="1"/>
    <col min="2824" max="2824" width="11.140625" style="23" customWidth="1"/>
    <col min="2825" max="2825" width="10.85546875" style="23" customWidth="1"/>
    <col min="2826" max="2826" width="10.28515625" style="23" customWidth="1"/>
    <col min="2827" max="2827" width="10.7109375" style="23" customWidth="1"/>
    <col min="2828" max="2828" width="10.85546875" style="23" customWidth="1"/>
    <col min="2829" max="2829" width="10.7109375" style="23" customWidth="1"/>
    <col min="2830" max="2830" width="11" style="23" customWidth="1"/>
    <col min="2831" max="2832" width="10.28515625" style="23" customWidth="1"/>
    <col min="2833" max="2833" width="10.42578125" style="23" customWidth="1"/>
    <col min="2834" max="3072" width="9.140625" style="23"/>
    <col min="3073" max="3073" width="0.28515625" style="23" customWidth="1"/>
    <col min="3074" max="3074" width="1.140625" style="23" customWidth="1"/>
    <col min="3075" max="3075" width="2.140625" style="23" customWidth="1"/>
    <col min="3076" max="3076" width="1.28515625" style="23" customWidth="1"/>
    <col min="3077" max="3077" width="27.28515625" style="23" customWidth="1"/>
    <col min="3078" max="3079" width="10.28515625" style="23" customWidth="1"/>
    <col min="3080" max="3080" width="11.140625" style="23" customWidth="1"/>
    <col min="3081" max="3081" width="10.85546875" style="23" customWidth="1"/>
    <col min="3082" max="3082" width="10.28515625" style="23" customWidth="1"/>
    <col min="3083" max="3083" width="10.7109375" style="23" customWidth="1"/>
    <col min="3084" max="3084" width="10.85546875" style="23" customWidth="1"/>
    <col min="3085" max="3085" width="10.7109375" style="23" customWidth="1"/>
    <col min="3086" max="3086" width="11" style="23" customWidth="1"/>
    <col min="3087" max="3088" width="10.28515625" style="23" customWidth="1"/>
    <col min="3089" max="3089" width="10.42578125" style="23" customWidth="1"/>
    <col min="3090" max="3328" width="9.140625" style="23"/>
    <col min="3329" max="3329" width="0.28515625" style="23" customWidth="1"/>
    <col min="3330" max="3330" width="1.140625" style="23" customWidth="1"/>
    <col min="3331" max="3331" width="2.140625" style="23" customWidth="1"/>
    <col min="3332" max="3332" width="1.28515625" style="23" customWidth="1"/>
    <col min="3333" max="3333" width="27.28515625" style="23" customWidth="1"/>
    <col min="3334" max="3335" width="10.28515625" style="23" customWidth="1"/>
    <col min="3336" max="3336" width="11.140625" style="23" customWidth="1"/>
    <col min="3337" max="3337" width="10.85546875" style="23" customWidth="1"/>
    <col min="3338" max="3338" width="10.28515625" style="23" customWidth="1"/>
    <col min="3339" max="3339" width="10.7109375" style="23" customWidth="1"/>
    <col min="3340" max="3340" width="10.85546875" style="23" customWidth="1"/>
    <col min="3341" max="3341" width="10.7109375" style="23" customWidth="1"/>
    <col min="3342" max="3342" width="11" style="23" customWidth="1"/>
    <col min="3343" max="3344" width="10.28515625" style="23" customWidth="1"/>
    <col min="3345" max="3345" width="10.42578125" style="23" customWidth="1"/>
    <col min="3346" max="3584" width="9.140625" style="23"/>
    <col min="3585" max="3585" width="0.28515625" style="23" customWidth="1"/>
    <col min="3586" max="3586" width="1.140625" style="23" customWidth="1"/>
    <col min="3587" max="3587" width="2.140625" style="23" customWidth="1"/>
    <col min="3588" max="3588" width="1.28515625" style="23" customWidth="1"/>
    <col min="3589" max="3589" width="27.28515625" style="23" customWidth="1"/>
    <col min="3590" max="3591" width="10.28515625" style="23" customWidth="1"/>
    <col min="3592" max="3592" width="11.140625" style="23" customWidth="1"/>
    <col min="3593" max="3593" width="10.85546875" style="23" customWidth="1"/>
    <col min="3594" max="3594" width="10.28515625" style="23" customWidth="1"/>
    <col min="3595" max="3595" width="10.7109375" style="23" customWidth="1"/>
    <col min="3596" max="3596" width="10.85546875" style="23" customWidth="1"/>
    <col min="3597" max="3597" width="10.7109375" style="23" customWidth="1"/>
    <col min="3598" max="3598" width="11" style="23" customWidth="1"/>
    <col min="3599" max="3600" width="10.28515625" style="23" customWidth="1"/>
    <col min="3601" max="3601" width="10.42578125" style="23" customWidth="1"/>
    <col min="3602" max="3840" width="9.140625" style="23"/>
    <col min="3841" max="3841" width="0.28515625" style="23" customWidth="1"/>
    <col min="3842" max="3842" width="1.140625" style="23" customWidth="1"/>
    <col min="3843" max="3843" width="2.140625" style="23" customWidth="1"/>
    <col min="3844" max="3844" width="1.28515625" style="23" customWidth="1"/>
    <col min="3845" max="3845" width="27.28515625" style="23" customWidth="1"/>
    <col min="3846" max="3847" width="10.28515625" style="23" customWidth="1"/>
    <col min="3848" max="3848" width="11.140625" style="23" customWidth="1"/>
    <col min="3849" max="3849" width="10.85546875" style="23" customWidth="1"/>
    <col min="3850" max="3850" width="10.28515625" style="23" customWidth="1"/>
    <col min="3851" max="3851" width="10.7109375" style="23" customWidth="1"/>
    <col min="3852" max="3852" width="10.85546875" style="23" customWidth="1"/>
    <col min="3853" max="3853" width="10.7109375" style="23" customWidth="1"/>
    <col min="3854" max="3854" width="11" style="23" customWidth="1"/>
    <col min="3855" max="3856" width="10.28515625" style="23" customWidth="1"/>
    <col min="3857" max="3857" width="10.42578125" style="23" customWidth="1"/>
    <col min="3858" max="4096" width="9.140625" style="23"/>
    <col min="4097" max="4097" width="0.28515625" style="23" customWidth="1"/>
    <col min="4098" max="4098" width="1.140625" style="23" customWidth="1"/>
    <col min="4099" max="4099" width="2.140625" style="23" customWidth="1"/>
    <col min="4100" max="4100" width="1.28515625" style="23" customWidth="1"/>
    <col min="4101" max="4101" width="27.28515625" style="23" customWidth="1"/>
    <col min="4102" max="4103" width="10.28515625" style="23" customWidth="1"/>
    <col min="4104" max="4104" width="11.140625" style="23" customWidth="1"/>
    <col min="4105" max="4105" width="10.85546875" style="23" customWidth="1"/>
    <col min="4106" max="4106" width="10.28515625" style="23" customWidth="1"/>
    <col min="4107" max="4107" width="10.7109375" style="23" customWidth="1"/>
    <col min="4108" max="4108" width="10.85546875" style="23" customWidth="1"/>
    <col min="4109" max="4109" width="10.7109375" style="23" customWidth="1"/>
    <col min="4110" max="4110" width="11" style="23" customWidth="1"/>
    <col min="4111" max="4112" width="10.28515625" style="23" customWidth="1"/>
    <col min="4113" max="4113" width="10.42578125" style="23" customWidth="1"/>
    <col min="4114" max="4352" width="9.140625" style="23"/>
    <col min="4353" max="4353" width="0.28515625" style="23" customWidth="1"/>
    <col min="4354" max="4354" width="1.140625" style="23" customWidth="1"/>
    <col min="4355" max="4355" width="2.140625" style="23" customWidth="1"/>
    <col min="4356" max="4356" width="1.28515625" style="23" customWidth="1"/>
    <col min="4357" max="4357" width="27.28515625" style="23" customWidth="1"/>
    <col min="4358" max="4359" width="10.28515625" style="23" customWidth="1"/>
    <col min="4360" max="4360" width="11.140625" style="23" customWidth="1"/>
    <col min="4361" max="4361" width="10.85546875" style="23" customWidth="1"/>
    <col min="4362" max="4362" width="10.28515625" style="23" customWidth="1"/>
    <col min="4363" max="4363" width="10.7109375" style="23" customWidth="1"/>
    <col min="4364" max="4364" width="10.85546875" style="23" customWidth="1"/>
    <col min="4365" max="4365" width="10.7109375" style="23" customWidth="1"/>
    <col min="4366" max="4366" width="11" style="23" customWidth="1"/>
    <col min="4367" max="4368" width="10.28515625" style="23" customWidth="1"/>
    <col min="4369" max="4369" width="10.42578125" style="23" customWidth="1"/>
    <col min="4370" max="4608" width="9.140625" style="23"/>
    <col min="4609" max="4609" width="0.28515625" style="23" customWidth="1"/>
    <col min="4610" max="4610" width="1.140625" style="23" customWidth="1"/>
    <col min="4611" max="4611" width="2.140625" style="23" customWidth="1"/>
    <col min="4612" max="4612" width="1.28515625" style="23" customWidth="1"/>
    <col min="4613" max="4613" width="27.28515625" style="23" customWidth="1"/>
    <col min="4614" max="4615" width="10.28515625" style="23" customWidth="1"/>
    <col min="4616" max="4616" width="11.140625" style="23" customWidth="1"/>
    <col min="4617" max="4617" width="10.85546875" style="23" customWidth="1"/>
    <col min="4618" max="4618" width="10.28515625" style="23" customWidth="1"/>
    <col min="4619" max="4619" width="10.7109375" style="23" customWidth="1"/>
    <col min="4620" max="4620" width="10.85546875" style="23" customWidth="1"/>
    <col min="4621" max="4621" width="10.7109375" style="23" customWidth="1"/>
    <col min="4622" max="4622" width="11" style="23" customWidth="1"/>
    <col min="4623" max="4624" width="10.28515625" style="23" customWidth="1"/>
    <col min="4625" max="4625" width="10.42578125" style="23" customWidth="1"/>
    <col min="4626" max="4864" width="9.140625" style="23"/>
    <col min="4865" max="4865" width="0.28515625" style="23" customWidth="1"/>
    <col min="4866" max="4866" width="1.140625" style="23" customWidth="1"/>
    <col min="4867" max="4867" width="2.140625" style="23" customWidth="1"/>
    <col min="4868" max="4868" width="1.28515625" style="23" customWidth="1"/>
    <col min="4869" max="4869" width="27.28515625" style="23" customWidth="1"/>
    <col min="4870" max="4871" width="10.28515625" style="23" customWidth="1"/>
    <col min="4872" max="4872" width="11.140625" style="23" customWidth="1"/>
    <col min="4873" max="4873" width="10.85546875" style="23" customWidth="1"/>
    <col min="4874" max="4874" width="10.28515625" style="23" customWidth="1"/>
    <col min="4875" max="4875" width="10.7109375" style="23" customWidth="1"/>
    <col min="4876" max="4876" width="10.85546875" style="23" customWidth="1"/>
    <col min="4877" max="4877" width="10.7109375" style="23" customWidth="1"/>
    <col min="4878" max="4878" width="11" style="23" customWidth="1"/>
    <col min="4879" max="4880" width="10.28515625" style="23" customWidth="1"/>
    <col min="4881" max="4881" width="10.42578125" style="23" customWidth="1"/>
    <col min="4882" max="5120" width="9.140625" style="23"/>
    <col min="5121" max="5121" width="0.28515625" style="23" customWidth="1"/>
    <col min="5122" max="5122" width="1.140625" style="23" customWidth="1"/>
    <col min="5123" max="5123" width="2.140625" style="23" customWidth="1"/>
    <col min="5124" max="5124" width="1.28515625" style="23" customWidth="1"/>
    <col min="5125" max="5125" width="27.28515625" style="23" customWidth="1"/>
    <col min="5126" max="5127" width="10.28515625" style="23" customWidth="1"/>
    <col min="5128" max="5128" width="11.140625" style="23" customWidth="1"/>
    <col min="5129" max="5129" width="10.85546875" style="23" customWidth="1"/>
    <col min="5130" max="5130" width="10.28515625" style="23" customWidth="1"/>
    <col min="5131" max="5131" width="10.7109375" style="23" customWidth="1"/>
    <col min="5132" max="5132" width="10.85546875" style="23" customWidth="1"/>
    <col min="5133" max="5133" width="10.7109375" style="23" customWidth="1"/>
    <col min="5134" max="5134" width="11" style="23" customWidth="1"/>
    <col min="5135" max="5136" width="10.28515625" style="23" customWidth="1"/>
    <col min="5137" max="5137" width="10.42578125" style="23" customWidth="1"/>
    <col min="5138" max="5376" width="9.140625" style="23"/>
    <col min="5377" max="5377" width="0.28515625" style="23" customWidth="1"/>
    <col min="5378" max="5378" width="1.140625" style="23" customWidth="1"/>
    <col min="5379" max="5379" width="2.140625" style="23" customWidth="1"/>
    <col min="5380" max="5380" width="1.28515625" style="23" customWidth="1"/>
    <col min="5381" max="5381" width="27.28515625" style="23" customWidth="1"/>
    <col min="5382" max="5383" width="10.28515625" style="23" customWidth="1"/>
    <col min="5384" max="5384" width="11.140625" style="23" customWidth="1"/>
    <col min="5385" max="5385" width="10.85546875" style="23" customWidth="1"/>
    <col min="5386" max="5386" width="10.28515625" style="23" customWidth="1"/>
    <col min="5387" max="5387" width="10.7109375" style="23" customWidth="1"/>
    <col min="5388" max="5388" width="10.85546875" style="23" customWidth="1"/>
    <col min="5389" max="5389" width="10.7109375" style="23" customWidth="1"/>
    <col min="5390" max="5390" width="11" style="23" customWidth="1"/>
    <col min="5391" max="5392" width="10.28515625" style="23" customWidth="1"/>
    <col min="5393" max="5393" width="10.42578125" style="23" customWidth="1"/>
    <col min="5394" max="5632" width="9.140625" style="23"/>
    <col min="5633" max="5633" width="0.28515625" style="23" customWidth="1"/>
    <col min="5634" max="5634" width="1.140625" style="23" customWidth="1"/>
    <col min="5635" max="5635" width="2.140625" style="23" customWidth="1"/>
    <col min="5636" max="5636" width="1.28515625" style="23" customWidth="1"/>
    <col min="5637" max="5637" width="27.28515625" style="23" customWidth="1"/>
    <col min="5638" max="5639" width="10.28515625" style="23" customWidth="1"/>
    <col min="5640" max="5640" width="11.140625" style="23" customWidth="1"/>
    <col min="5641" max="5641" width="10.85546875" style="23" customWidth="1"/>
    <col min="5642" max="5642" width="10.28515625" style="23" customWidth="1"/>
    <col min="5643" max="5643" width="10.7109375" style="23" customWidth="1"/>
    <col min="5644" max="5644" width="10.85546875" style="23" customWidth="1"/>
    <col min="5645" max="5645" width="10.7109375" style="23" customWidth="1"/>
    <col min="5646" max="5646" width="11" style="23" customWidth="1"/>
    <col min="5647" max="5648" width="10.28515625" style="23" customWidth="1"/>
    <col min="5649" max="5649" width="10.42578125" style="23" customWidth="1"/>
    <col min="5650" max="5888" width="9.140625" style="23"/>
    <col min="5889" max="5889" width="0.28515625" style="23" customWidth="1"/>
    <col min="5890" max="5890" width="1.140625" style="23" customWidth="1"/>
    <col min="5891" max="5891" width="2.140625" style="23" customWidth="1"/>
    <col min="5892" max="5892" width="1.28515625" style="23" customWidth="1"/>
    <col min="5893" max="5893" width="27.28515625" style="23" customWidth="1"/>
    <col min="5894" max="5895" width="10.28515625" style="23" customWidth="1"/>
    <col min="5896" max="5896" width="11.140625" style="23" customWidth="1"/>
    <col min="5897" max="5897" width="10.85546875" style="23" customWidth="1"/>
    <col min="5898" max="5898" width="10.28515625" style="23" customWidth="1"/>
    <col min="5899" max="5899" width="10.7109375" style="23" customWidth="1"/>
    <col min="5900" max="5900" width="10.85546875" style="23" customWidth="1"/>
    <col min="5901" max="5901" width="10.7109375" style="23" customWidth="1"/>
    <col min="5902" max="5902" width="11" style="23" customWidth="1"/>
    <col min="5903" max="5904" width="10.28515625" style="23" customWidth="1"/>
    <col min="5905" max="5905" width="10.42578125" style="23" customWidth="1"/>
    <col min="5906" max="6144" width="9.140625" style="23"/>
    <col min="6145" max="6145" width="0.28515625" style="23" customWidth="1"/>
    <col min="6146" max="6146" width="1.140625" style="23" customWidth="1"/>
    <col min="6147" max="6147" width="2.140625" style="23" customWidth="1"/>
    <col min="6148" max="6148" width="1.28515625" style="23" customWidth="1"/>
    <col min="6149" max="6149" width="27.28515625" style="23" customWidth="1"/>
    <col min="6150" max="6151" width="10.28515625" style="23" customWidth="1"/>
    <col min="6152" max="6152" width="11.140625" style="23" customWidth="1"/>
    <col min="6153" max="6153" width="10.85546875" style="23" customWidth="1"/>
    <col min="6154" max="6154" width="10.28515625" style="23" customWidth="1"/>
    <col min="6155" max="6155" width="10.7109375" style="23" customWidth="1"/>
    <col min="6156" max="6156" width="10.85546875" style="23" customWidth="1"/>
    <col min="6157" max="6157" width="10.7109375" style="23" customWidth="1"/>
    <col min="6158" max="6158" width="11" style="23" customWidth="1"/>
    <col min="6159" max="6160" width="10.28515625" style="23" customWidth="1"/>
    <col min="6161" max="6161" width="10.42578125" style="23" customWidth="1"/>
    <col min="6162" max="6400" width="9.140625" style="23"/>
    <col min="6401" max="6401" width="0.28515625" style="23" customWidth="1"/>
    <col min="6402" max="6402" width="1.140625" style="23" customWidth="1"/>
    <col min="6403" max="6403" width="2.140625" style="23" customWidth="1"/>
    <col min="6404" max="6404" width="1.28515625" style="23" customWidth="1"/>
    <col min="6405" max="6405" width="27.28515625" style="23" customWidth="1"/>
    <col min="6406" max="6407" width="10.28515625" style="23" customWidth="1"/>
    <col min="6408" max="6408" width="11.140625" style="23" customWidth="1"/>
    <col min="6409" max="6409" width="10.85546875" style="23" customWidth="1"/>
    <col min="6410" max="6410" width="10.28515625" style="23" customWidth="1"/>
    <col min="6411" max="6411" width="10.7109375" style="23" customWidth="1"/>
    <col min="6412" max="6412" width="10.85546875" style="23" customWidth="1"/>
    <col min="6413" max="6413" width="10.7109375" style="23" customWidth="1"/>
    <col min="6414" max="6414" width="11" style="23" customWidth="1"/>
    <col min="6415" max="6416" width="10.28515625" style="23" customWidth="1"/>
    <col min="6417" max="6417" width="10.42578125" style="23" customWidth="1"/>
    <col min="6418" max="6656" width="9.140625" style="23"/>
    <col min="6657" max="6657" width="0.28515625" style="23" customWidth="1"/>
    <col min="6658" max="6658" width="1.140625" style="23" customWidth="1"/>
    <col min="6659" max="6659" width="2.140625" style="23" customWidth="1"/>
    <col min="6660" max="6660" width="1.28515625" style="23" customWidth="1"/>
    <col min="6661" max="6661" width="27.28515625" style="23" customWidth="1"/>
    <col min="6662" max="6663" width="10.28515625" style="23" customWidth="1"/>
    <col min="6664" max="6664" width="11.140625" style="23" customWidth="1"/>
    <col min="6665" max="6665" width="10.85546875" style="23" customWidth="1"/>
    <col min="6666" max="6666" width="10.28515625" style="23" customWidth="1"/>
    <col min="6667" max="6667" width="10.7109375" style="23" customWidth="1"/>
    <col min="6668" max="6668" width="10.85546875" style="23" customWidth="1"/>
    <col min="6669" max="6669" width="10.7109375" style="23" customWidth="1"/>
    <col min="6670" max="6670" width="11" style="23" customWidth="1"/>
    <col min="6671" max="6672" width="10.28515625" style="23" customWidth="1"/>
    <col min="6673" max="6673" width="10.42578125" style="23" customWidth="1"/>
    <col min="6674" max="6912" width="9.140625" style="23"/>
    <col min="6913" max="6913" width="0.28515625" style="23" customWidth="1"/>
    <col min="6914" max="6914" width="1.140625" style="23" customWidth="1"/>
    <col min="6915" max="6915" width="2.140625" style="23" customWidth="1"/>
    <col min="6916" max="6916" width="1.28515625" style="23" customWidth="1"/>
    <col min="6917" max="6917" width="27.28515625" style="23" customWidth="1"/>
    <col min="6918" max="6919" width="10.28515625" style="23" customWidth="1"/>
    <col min="6920" max="6920" width="11.140625" style="23" customWidth="1"/>
    <col min="6921" max="6921" width="10.85546875" style="23" customWidth="1"/>
    <col min="6922" max="6922" width="10.28515625" style="23" customWidth="1"/>
    <col min="6923" max="6923" width="10.7109375" style="23" customWidth="1"/>
    <col min="6924" max="6924" width="10.85546875" style="23" customWidth="1"/>
    <col min="6925" max="6925" width="10.7109375" style="23" customWidth="1"/>
    <col min="6926" max="6926" width="11" style="23" customWidth="1"/>
    <col min="6927" max="6928" width="10.28515625" style="23" customWidth="1"/>
    <col min="6929" max="6929" width="10.42578125" style="23" customWidth="1"/>
    <col min="6930" max="7168" width="9.140625" style="23"/>
    <col min="7169" max="7169" width="0.28515625" style="23" customWidth="1"/>
    <col min="7170" max="7170" width="1.140625" style="23" customWidth="1"/>
    <col min="7171" max="7171" width="2.140625" style="23" customWidth="1"/>
    <col min="7172" max="7172" width="1.28515625" style="23" customWidth="1"/>
    <col min="7173" max="7173" width="27.28515625" style="23" customWidth="1"/>
    <col min="7174" max="7175" width="10.28515625" style="23" customWidth="1"/>
    <col min="7176" max="7176" width="11.140625" style="23" customWidth="1"/>
    <col min="7177" max="7177" width="10.85546875" style="23" customWidth="1"/>
    <col min="7178" max="7178" width="10.28515625" style="23" customWidth="1"/>
    <col min="7179" max="7179" width="10.7109375" style="23" customWidth="1"/>
    <col min="7180" max="7180" width="10.85546875" style="23" customWidth="1"/>
    <col min="7181" max="7181" width="10.7109375" style="23" customWidth="1"/>
    <col min="7182" max="7182" width="11" style="23" customWidth="1"/>
    <col min="7183" max="7184" width="10.28515625" style="23" customWidth="1"/>
    <col min="7185" max="7185" width="10.42578125" style="23" customWidth="1"/>
    <col min="7186" max="7424" width="9.140625" style="23"/>
    <col min="7425" max="7425" width="0.28515625" style="23" customWidth="1"/>
    <col min="7426" max="7426" width="1.140625" style="23" customWidth="1"/>
    <col min="7427" max="7427" width="2.140625" style="23" customWidth="1"/>
    <col min="7428" max="7428" width="1.28515625" style="23" customWidth="1"/>
    <col min="7429" max="7429" width="27.28515625" style="23" customWidth="1"/>
    <col min="7430" max="7431" width="10.28515625" style="23" customWidth="1"/>
    <col min="7432" max="7432" width="11.140625" style="23" customWidth="1"/>
    <col min="7433" max="7433" width="10.85546875" style="23" customWidth="1"/>
    <col min="7434" max="7434" width="10.28515625" style="23" customWidth="1"/>
    <col min="7435" max="7435" width="10.7109375" style="23" customWidth="1"/>
    <col min="7436" max="7436" width="10.85546875" style="23" customWidth="1"/>
    <col min="7437" max="7437" width="10.7109375" style="23" customWidth="1"/>
    <col min="7438" max="7438" width="11" style="23" customWidth="1"/>
    <col min="7439" max="7440" width="10.28515625" style="23" customWidth="1"/>
    <col min="7441" max="7441" width="10.42578125" style="23" customWidth="1"/>
    <col min="7442" max="7680" width="9.140625" style="23"/>
    <col min="7681" max="7681" width="0.28515625" style="23" customWidth="1"/>
    <col min="7682" max="7682" width="1.140625" style="23" customWidth="1"/>
    <col min="7683" max="7683" width="2.140625" style="23" customWidth="1"/>
    <col min="7684" max="7684" width="1.28515625" style="23" customWidth="1"/>
    <col min="7685" max="7685" width="27.28515625" style="23" customWidth="1"/>
    <col min="7686" max="7687" width="10.28515625" style="23" customWidth="1"/>
    <col min="7688" max="7688" width="11.140625" style="23" customWidth="1"/>
    <col min="7689" max="7689" width="10.85546875" style="23" customWidth="1"/>
    <col min="7690" max="7690" width="10.28515625" style="23" customWidth="1"/>
    <col min="7691" max="7691" width="10.7109375" style="23" customWidth="1"/>
    <col min="7692" max="7692" width="10.85546875" style="23" customWidth="1"/>
    <col min="7693" max="7693" width="10.7109375" style="23" customWidth="1"/>
    <col min="7694" max="7694" width="11" style="23" customWidth="1"/>
    <col min="7695" max="7696" width="10.28515625" style="23" customWidth="1"/>
    <col min="7697" max="7697" width="10.42578125" style="23" customWidth="1"/>
    <col min="7698" max="7936" width="9.140625" style="23"/>
    <col min="7937" max="7937" width="0.28515625" style="23" customWidth="1"/>
    <col min="7938" max="7938" width="1.140625" style="23" customWidth="1"/>
    <col min="7939" max="7939" width="2.140625" style="23" customWidth="1"/>
    <col min="7940" max="7940" width="1.28515625" style="23" customWidth="1"/>
    <col min="7941" max="7941" width="27.28515625" style="23" customWidth="1"/>
    <col min="7942" max="7943" width="10.28515625" style="23" customWidth="1"/>
    <col min="7944" max="7944" width="11.140625" style="23" customWidth="1"/>
    <col min="7945" max="7945" width="10.85546875" style="23" customWidth="1"/>
    <col min="7946" max="7946" width="10.28515625" style="23" customWidth="1"/>
    <col min="7947" max="7947" width="10.7109375" style="23" customWidth="1"/>
    <col min="7948" max="7948" width="10.85546875" style="23" customWidth="1"/>
    <col min="7949" max="7949" width="10.7109375" style="23" customWidth="1"/>
    <col min="7950" max="7950" width="11" style="23" customWidth="1"/>
    <col min="7951" max="7952" width="10.28515625" style="23" customWidth="1"/>
    <col min="7953" max="7953" width="10.42578125" style="23" customWidth="1"/>
    <col min="7954" max="8192" width="9.140625" style="23"/>
    <col min="8193" max="8193" width="0.28515625" style="23" customWidth="1"/>
    <col min="8194" max="8194" width="1.140625" style="23" customWidth="1"/>
    <col min="8195" max="8195" width="2.140625" style="23" customWidth="1"/>
    <col min="8196" max="8196" width="1.28515625" style="23" customWidth="1"/>
    <col min="8197" max="8197" width="27.28515625" style="23" customWidth="1"/>
    <col min="8198" max="8199" width="10.28515625" style="23" customWidth="1"/>
    <col min="8200" max="8200" width="11.140625" style="23" customWidth="1"/>
    <col min="8201" max="8201" width="10.85546875" style="23" customWidth="1"/>
    <col min="8202" max="8202" width="10.28515625" style="23" customWidth="1"/>
    <col min="8203" max="8203" width="10.7109375" style="23" customWidth="1"/>
    <col min="8204" max="8204" width="10.85546875" style="23" customWidth="1"/>
    <col min="8205" max="8205" width="10.7109375" style="23" customWidth="1"/>
    <col min="8206" max="8206" width="11" style="23" customWidth="1"/>
    <col min="8207" max="8208" width="10.28515625" style="23" customWidth="1"/>
    <col min="8209" max="8209" width="10.42578125" style="23" customWidth="1"/>
    <col min="8210" max="8448" width="9.140625" style="23"/>
    <col min="8449" max="8449" width="0.28515625" style="23" customWidth="1"/>
    <col min="8450" max="8450" width="1.140625" style="23" customWidth="1"/>
    <col min="8451" max="8451" width="2.140625" style="23" customWidth="1"/>
    <col min="8452" max="8452" width="1.28515625" style="23" customWidth="1"/>
    <col min="8453" max="8453" width="27.28515625" style="23" customWidth="1"/>
    <col min="8454" max="8455" width="10.28515625" style="23" customWidth="1"/>
    <col min="8456" max="8456" width="11.140625" style="23" customWidth="1"/>
    <col min="8457" max="8457" width="10.85546875" style="23" customWidth="1"/>
    <col min="8458" max="8458" width="10.28515625" style="23" customWidth="1"/>
    <col min="8459" max="8459" width="10.7109375" style="23" customWidth="1"/>
    <col min="8460" max="8460" width="10.85546875" style="23" customWidth="1"/>
    <col min="8461" max="8461" width="10.7109375" style="23" customWidth="1"/>
    <col min="8462" max="8462" width="11" style="23" customWidth="1"/>
    <col min="8463" max="8464" width="10.28515625" style="23" customWidth="1"/>
    <col min="8465" max="8465" width="10.42578125" style="23" customWidth="1"/>
    <col min="8466" max="8704" width="9.140625" style="23"/>
    <col min="8705" max="8705" width="0.28515625" style="23" customWidth="1"/>
    <col min="8706" max="8706" width="1.140625" style="23" customWidth="1"/>
    <col min="8707" max="8707" width="2.140625" style="23" customWidth="1"/>
    <col min="8708" max="8708" width="1.28515625" style="23" customWidth="1"/>
    <col min="8709" max="8709" width="27.28515625" style="23" customWidth="1"/>
    <col min="8710" max="8711" width="10.28515625" style="23" customWidth="1"/>
    <col min="8712" max="8712" width="11.140625" style="23" customWidth="1"/>
    <col min="8713" max="8713" width="10.85546875" style="23" customWidth="1"/>
    <col min="8714" max="8714" width="10.28515625" style="23" customWidth="1"/>
    <col min="8715" max="8715" width="10.7109375" style="23" customWidth="1"/>
    <col min="8716" max="8716" width="10.85546875" style="23" customWidth="1"/>
    <col min="8717" max="8717" width="10.7109375" style="23" customWidth="1"/>
    <col min="8718" max="8718" width="11" style="23" customWidth="1"/>
    <col min="8719" max="8720" width="10.28515625" style="23" customWidth="1"/>
    <col min="8721" max="8721" width="10.42578125" style="23" customWidth="1"/>
    <col min="8722" max="8960" width="9.140625" style="23"/>
    <col min="8961" max="8961" width="0.28515625" style="23" customWidth="1"/>
    <col min="8962" max="8962" width="1.140625" style="23" customWidth="1"/>
    <col min="8963" max="8963" width="2.140625" style="23" customWidth="1"/>
    <col min="8964" max="8964" width="1.28515625" style="23" customWidth="1"/>
    <col min="8965" max="8965" width="27.28515625" style="23" customWidth="1"/>
    <col min="8966" max="8967" width="10.28515625" style="23" customWidth="1"/>
    <col min="8968" max="8968" width="11.140625" style="23" customWidth="1"/>
    <col min="8969" max="8969" width="10.85546875" style="23" customWidth="1"/>
    <col min="8970" max="8970" width="10.28515625" style="23" customWidth="1"/>
    <col min="8971" max="8971" width="10.7109375" style="23" customWidth="1"/>
    <col min="8972" max="8972" width="10.85546875" style="23" customWidth="1"/>
    <col min="8973" max="8973" width="10.7109375" style="23" customWidth="1"/>
    <col min="8974" max="8974" width="11" style="23" customWidth="1"/>
    <col min="8975" max="8976" width="10.28515625" style="23" customWidth="1"/>
    <col min="8977" max="8977" width="10.42578125" style="23" customWidth="1"/>
    <col min="8978" max="9216" width="9.140625" style="23"/>
    <col min="9217" max="9217" width="0.28515625" style="23" customWidth="1"/>
    <col min="9218" max="9218" width="1.140625" style="23" customWidth="1"/>
    <col min="9219" max="9219" width="2.140625" style="23" customWidth="1"/>
    <col min="9220" max="9220" width="1.28515625" style="23" customWidth="1"/>
    <col min="9221" max="9221" width="27.28515625" style="23" customWidth="1"/>
    <col min="9222" max="9223" width="10.28515625" style="23" customWidth="1"/>
    <col min="9224" max="9224" width="11.140625" style="23" customWidth="1"/>
    <col min="9225" max="9225" width="10.85546875" style="23" customWidth="1"/>
    <col min="9226" max="9226" width="10.28515625" style="23" customWidth="1"/>
    <col min="9227" max="9227" width="10.7109375" style="23" customWidth="1"/>
    <col min="9228" max="9228" width="10.85546875" style="23" customWidth="1"/>
    <col min="9229" max="9229" width="10.7109375" style="23" customWidth="1"/>
    <col min="9230" max="9230" width="11" style="23" customWidth="1"/>
    <col min="9231" max="9232" width="10.28515625" style="23" customWidth="1"/>
    <col min="9233" max="9233" width="10.42578125" style="23" customWidth="1"/>
    <col min="9234" max="9472" width="9.140625" style="23"/>
    <col min="9473" max="9473" width="0.28515625" style="23" customWidth="1"/>
    <col min="9474" max="9474" width="1.140625" style="23" customWidth="1"/>
    <col min="9475" max="9475" width="2.140625" style="23" customWidth="1"/>
    <col min="9476" max="9476" width="1.28515625" style="23" customWidth="1"/>
    <col min="9477" max="9477" width="27.28515625" style="23" customWidth="1"/>
    <col min="9478" max="9479" width="10.28515625" style="23" customWidth="1"/>
    <col min="9480" max="9480" width="11.140625" style="23" customWidth="1"/>
    <col min="9481" max="9481" width="10.85546875" style="23" customWidth="1"/>
    <col min="9482" max="9482" width="10.28515625" style="23" customWidth="1"/>
    <col min="9483" max="9483" width="10.7109375" style="23" customWidth="1"/>
    <col min="9484" max="9484" width="10.85546875" style="23" customWidth="1"/>
    <col min="9485" max="9485" width="10.7109375" style="23" customWidth="1"/>
    <col min="9486" max="9486" width="11" style="23" customWidth="1"/>
    <col min="9487" max="9488" width="10.28515625" style="23" customWidth="1"/>
    <col min="9489" max="9489" width="10.42578125" style="23" customWidth="1"/>
    <col min="9490" max="9728" width="9.140625" style="23"/>
    <col min="9729" max="9729" width="0.28515625" style="23" customWidth="1"/>
    <col min="9730" max="9730" width="1.140625" style="23" customWidth="1"/>
    <col min="9731" max="9731" width="2.140625" style="23" customWidth="1"/>
    <col min="9732" max="9732" width="1.28515625" style="23" customWidth="1"/>
    <col min="9733" max="9733" width="27.28515625" style="23" customWidth="1"/>
    <col min="9734" max="9735" width="10.28515625" style="23" customWidth="1"/>
    <col min="9736" max="9736" width="11.140625" style="23" customWidth="1"/>
    <col min="9737" max="9737" width="10.85546875" style="23" customWidth="1"/>
    <col min="9738" max="9738" width="10.28515625" style="23" customWidth="1"/>
    <col min="9739" max="9739" width="10.7109375" style="23" customWidth="1"/>
    <col min="9740" max="9740" width="10.85546875" style="23" customWidth="1"/>
    <col min="9741" max="9741" width="10.7109375" style="23" customWidth="1"/>
    <col min="9742" max="9742" width="11" style="23" customWidth="1"/>
    <col min="9743" max="9744" width="10.28515625" style="23" customWidth="1"/>
    <col min="9745" max="9745" width="10.42578125" style="23" customWidth="1"/>
    <col min="9746" max="9984" width="9.140625" style="23"/>
    <col min="9985" max="9985" width="0.28515625" style="23" customWidth="1"/>
    <col min="9986" max="9986" width="1.140625" style="23" customWidth="1"/>
    <col min="9987" max="9987" width="2.140625" style="23" customWidth="1"/>
    <col min="9988" max="9988" width="1.28515625" style="23" customWidth="1"/>
    <col min="9989" max="9989" width="27.28515625" style="23" customWidth="1"/>
    <col min="9990" max="9991" width="10.28515625" style="23" customWidth="1"/>
    <col min="9992" max="9992" width="11.140625" style="23" customWidth="1"/>
    <col min="9993" max="9993" width="10.85546875" style="23" customWidth="1"/>
    <col min="9994" max="9994" width="10.28515625" style="23" customWidth="1"/>
    <col min="9995" max="9995" width="10.7109375" style="23" customWidth="1"/>
    <col min="9996" max="9996" width="10.85546875" style="23" customWidth="1"/>
    <col min="9997" max="9997" width="10.7109375" style="23" customWidth="1"/>
    <col min="9998" max="9998" width="11" style="23" customWidth="1"/>
    <col min="9999" max="10000" width="10.28515625" style="23" customWidth="1"/>
    <col min="10001" max="10001" width="10.42578125" style="23" customWidth="1"/>
    <col min="10002" max="10240" width="9.140625" style="23"/>
    <col min="10241" max="10241" width="0.28515625" style="23" customWidth="1"/>
    <col min="10242" max="10242" width="1.140625" style="23" customWidth="1"/>
    <col min="10243" max="10243" width="2.140625" style="23" customWidth="1"/>
    <col min="10244" max="10244" width="1.28515625" style="23" customWidth="1"/>
    <col min="10245" max="10245" width="27.28515625" style="23" customWidth="1"/>
    <col min="10246" max="10247" width="10.28515625" style="23" customWidth="1"/>
    <col min="10248" max="10248" width="11.140625" style="23" customWidth="1"/>
    <col min="10249" max="10249" width="10.85546875" style="23" customWidth="1"/>
    <col min="10250" max="10250" width="10.28515625" style="23" customWidth="1"/>
    <col min="10251" max="10251" width="10.7109375" style="23" customWidth="1"/>
    <col min="10252" max="10252" width="10.85546875" style="23" customWidth="1"/>
    <col min="10253" max="10253" width="10.7109375" style="23" customWidth="1"/>
    <col min="10254" max="10254" width="11" style="23" customWidth="1"/>
    <col min="10255" max="10256" width="10.28515625" style="23" customWidth="1"/>
    <col min="10257" max="10257" width="10.42578125" style="23" customWidth="1"/>
    <col min="10258" max="10496" width="9.140625" style="23"/>
    <col min="10497" max="10497" width="0.28515625" style="23" customWidth="1"/>
    <col min="10498" max="10498" width="1.140625" style="23" customWidth="1"/>
    <col min="10499" max="10499" width="2.140625" style="23" customWidth="1"/>
    <col min="10500" max="10500" width="1.28515625" style="23" customWidth="1"/>
    <col min="10501" max="10501" width="27.28515625" style="23" customWidth="1"/>
    <col min="10502" max="10503" width="10.28515625" style="23" customWidth="1"/>
    <col min="10504" max="10504" width="11.140625" style="23" customWidth="1"/>
    <col min="10505" max="10505" width="10.85546875" style="23" customWidth="1"/>
    <col min="10506" max="10506" width="10.28515625" style="23" customWidth="1"/>
    <col min="10507" max="10507" width="10.7109375" style="23" customWidth="1"/>
    <col min="10508" max="10508" width="10.85546875" style="23" customWidth="1"/>
    <col min="10509" max="10509" width="10.7109375" style="23" customWidth="1"/>
    <col min="10510" max="10510" width="11" style="23" customWidth="1"/>
    <col min="10511" max="10512" width="10.28515625" style="23" customWidth="1"/>
    <col min="10513" max="10513" width="10.42578125" style="23" customWidth="1"/>
    <col min="10514" max="10752" width="9.140625" style="23"/>
    <col min="10753" max="10753" width="0.28515625" style="23" customWidth="1"/>
    <col min="10754" max="10754" width="1.140625" style="23" customWidth="1"/>
    <col min="10755" max="10755" width="2.140625" style="23" customWidth="1"/>
    <col min="10756" max="10756" width="1.28515625" style="23" customWidth="1"/>
    <col min="10757" max="10757" width="27.28515625" style="23" customWidth="1"/>
    <col min="10758" max="10759" width="10.28515625" style="23" customWidth="1"/>
    <col min="10760" max="10760" width="11.140625" style="23" customWidth="1"/>
    <col min="10761" max="10761" width="10.85546875" style="23" customWidth="1"/>
    <col min="10762" max="10762" width="10.28515625" style="23" customWidth="1"/>
    <col min="10763" max="10763" width="10.7109375" style="23" customWidth="1"/>
    <col min="10764" max="10764" width="10.85546875" style="23" customWidth="1"/>
    <col min="10765" max="10765" width="10.7109375" style="23" customWidth="1"/>
    <col min="10766" max="10766" width="11" style="23" customWidth="1"/>
    <col min="10767" max="10768" width="10.28515625" style="23" customWidth="1"/>
    <col min="10769" max="10769" width="10.42578125" style="23" customWidth="1"/>
    <col min="10770" max="11008" width="9.140625" style="23"/>
    <col min="11009" max="11009" width="0.28515625" style="23" customWidth="1"/>
    <col min="11010" max="11010" width="1.140625" style="23" customWidth="1"/>
    <col min="11011" max="11011" width="2.140625" style="23" customWidth="1"/>
    <col min="11012" max="11012" width="1.28515625" style="23" customWidth="1"/>
    <col min="11013" max="11013" width="27.28515625" style="23" customWidth="1"/>
    <col min="11014" max="11015" width="10.28515625" style="23" customWidth="1"/>
    <col min="11016" max="11016" width="11.140625" style="23" customWidth="1"/>
    <col min="11017" max="11017" width="10.85546875" style="23" customWidth="1"/>
    <col min="11018" max="11018" width="10.28515625" style="23" customWidth="1"/>
    <col min="11019" max="11019" width="10.7109375" style="23" customWidth="1"/>
    <col min="11020" max="11020" width="10.85546875" style="23" customWidth="1"/>
    <col min="11021" max="11021" width="10.7109375" style="23" customWidth="1"/>
    <col min="11022" max="11022" width="11" style="23" customWidth="1"/>
    <col min="11023" max="11024" width="10.28515625" style="23" customWidth="1"/>
    <col min="11025" max="11025" width="10.42578125" style="23" customWidth="1"/>
    <col min="11026" max="11264" width="9.140625" style="23"/>
    <col min="11265" max="11265" width="0.28515625" style="23" customWidth="1"/>
    <col min="11266" max="11266" width="1.140625" style="23" customWidth="1"/>
    <col min="11267" max="11267" width="2.140625" style="23" customWidth="1"/>
    <col min="11268" max="11268" width="1.28515625" style="23" customWidth="1"/>
    <col min="11269" max="11269" width="27.28515625" style="23" customWidth="1"/>
    <col min="11270" max="11271" width="10.28515625" style="23" customWidth="1"/>
    <col min="11272" max="11272" width="11.140625" style="23" customWidth="1"/>
    <col min="11273" max="11273" width="10.85546875" style="23" customWidth="1"/>
    <col min="11274" max="11274" width="10.28515625" style="23" customWidth="1"/>
    <col min="11275" max="11275" width="10.7109375" style="23" customWidth="1"/>
    <col min="11276" max="11276" width="10.85546875" style="23" customWidth="1"/>
    <col min="11277" max="11277" width="10.7109375" style="23" customWidth="1"/>
    <col min="11278" max="11278" width="11" style="23" customWidth="1"/>
    <col min="11279" max="11280" width="10.28515625" style="23" customWidth="1"/>
    <col min="11281" max="11281" width="10.42578125" style="23" customWidth="1"/>
    <col min="11282" max="11520" width="9.140625" style="23"/>
    <col min="11521" max="11521" width="0.28515625" style="23" customWidth="1"/>
    <col min="11522" max="11522" width="1.140625" style="23" customWidth="1"/>
    <col min="11523" max="11523" width="2.140625" style="23" customWidth="1"/>
    <col min="11524" max="11524" width="1.28515625" style="23" customWidth="1"/>
    <col min="11525" max="11525" width="27.28515625" style="23" customWidth="1"/>
    <col min="11526" max="11527" width="10.28515625" style="23" customWidth="1"/>
    <col min="11528" max="11528" width="11.140625" style="23" customWidth="1"/>
    <col min="11529" max="11529" width="10.85546875" style="23" customWidth="1"/>
    <col min="11530" max="11530" width="10.28515625" style="23" customWidth="1"/>
    <col min="11531" max="11531" width="10.7109375" style="23" customWidth="1"/>
    <col min="11532" max="11532" width="10.85546875" style="23" customWidth="1"/>
    <col min="11533" max="11533" width="10.7109375" style="23" customWidth="1"/>
    <col min="11534" max="11534" width="11" style="23" customWidth="1"/>
    <col min="11535" max="11536" width="10.28515625" style="23" customWidth="1"/>
    <col min="11537" max="11537" width="10.42578125" style="23" customWidth="1"/>
    <col min="11538" max="11776" width="9.140625" style="23"/>
    <col min="11777" max="11777" width="0.28515625" style="23" customWidth="1"/>
    <col min="11778" max="11778" width="1.140625" style="23" customWidth="1"/>
    <col min="11779" max="11779" width="2.140625" style="23" customWidth="1"/>
    <col min="11780" max="11780" width="1.28515625" style="23" customWidth="1"/>
    <col min="11781" max="11781" width="27.28515625" style="23" customWidth="1"/>
    <col min="11782" max="11783" width="10.28515625" style="23" customWidth="1"/>
    <col min="11784" max="11784" width="11.140625" style="23" customWidth="1"/>
    <col min="11785" max="11785" width="10.85546875" style="23" customWidth="1"/>
    <col min="11786" max="11786" width="10.28515625" style="23" customWidth="1"/>
    <col min="11787" max="11787" width="10.7109375" style="23" customWidth="1"/>
    <col min="11788" max="11788" width="10.85546875" style="23" customWidth="1"/>
    <col min="11789" max="11789" width="10.7109375" style="23" customWidth="1"/>
    <col min="11790" max="11790" width="11" style="23" customWidth="1"/>
    <col min="11791" max="11792" width="10.28515625" style="23" customWidth="1"/>
    <col min="11793" max="11793" width="10.42578125" style="23" customWidth="1"/>
    <col min="11794" max="12032" width="9.140625" style="23"/>
    <col min="12033" max="12033" width="0.28515625" style="23" customWidth="1"/>
    <col min="12034" max="12034" width="1.140625" style="23" customWidth="1"/>
    <col min="12035" max="12035" width="2.140625" style="23" customWidth="1"/>
    <col min="12036" max="12036" width="1.28515625" style="23" customWidth="1"/>
    <col min="12037" max="12037" width="27.28515625" style="23" customWidth="1"/>
    <col min="12038" max="12039" width="10.28515625" style="23" customWidth="1"/>
    <col min="12040" max="12040" width="11.140625" style="23" customWidth="1"/>
    <col min="12041" max="12041" width="10.85546875" style="23" customWidth="1"/>
    <col min="12042" max="12042" width="10.28515625" style="23" customWidth="1"/>
    <col min="12043" max="12043" width="10.7109375" style="23" customWidth="1"/>
    <col min="12044" max="12044" width="10.85546875" style="23" customWidth="1"/>
    <col min="12045" max="12045" width="10.7109375" style="23" customWidth="1"/>
    <col min="12046" max="12046" width="11" style="23" customWidth="1"/>
    <col min="12047" max="12048" width="10.28515625" style="23" customWidth="1"/>
    <col min="12049" max="12049" width="10.42578125" style="23" customWidth="1"/>
    <col min="12050" max="12288" width="9.140625" style="23"/>
    <col min="12289" max="12289" width="0.28515625" style="23" customWidth="1"/>
    <col min="12290" max="12290" width="1.140625" style="23" customWidth="1"/>
    <col min="12291" max="12291" width="2.140625" style="23" customWidth="1"/>
    <col min="12292" max="12292" width="1.28515625" style="23" customWidth="1"/>
    <col min="12293" max="12293" width="27.28515625" style="23" customWidth="1"/>
    <col min="12294" max="12295" width="10.28515625" style="23" customWidth="1"/>
    <col min="12296" max="12296" width="11.140625" style="23" customWidth="1"/>
    <col min="12297" max="12297" width="10.85546875" style="23" customWidth="1"/>
    <col min="12298" max="12298" width="10.28515625" style="23" customWidth="1"/>
    <col min="12299" max="12299" width="10.7109375" style="23" customWidth="1"/>
    <col min="12300" max="12300" width="10.85546875" style="23" customWidth="1"/>
    <col min="12301" max="12301" width="10.7109375" style="23" customWidth="1"/>
    <col min="12302" max="12302" width="11" style="23" customWidth="1"/>
    <col min="12303" max="12304" width="10.28515625" style="23" customWidth="1"/>
    <col min="12305" max="12305" width="10.42578125" style="23" customWidth="1"/>
    <col min="12306" max="12544" width="9.140625" style="23"/>
    <col min="12545" max="12545" width="0.28515625" style="23" customWidth="1"/>
    <col min="12546" max="12546" width="1.140625" style="23" customWidth="1"/>
    <col min="12547" max="12547" width="2.140625" style="23" customWidth="1"/>
    <col min="12548" max="12548" width="1.28515625" style="23" customWidth="1"/>
    <col min="12549" max="12549" width="27.28515625" style="23" customWidth="1"/>
    <col min="12550" max="12551" width="10.28515625" style="23" customWidth="1"/>
    <col min="12552" max="12552" width="11.140625" style="23" customWidth="1"/>
    <col min="12553" max="12553" width="10.85546875" style="23" customWidth="1"/>
    <col min="12554" max="12554" width="10.28515625" style="23" customWidth="1"/>
    <col min="12555" max="12555" width="10.7109375" style="23" customWidth="1"/>
    <col min="12556" max="12556" width="10.85546875" style="23" customWidth="1"/>
    <col min="12557" max="12557" width="10.7109375" style="23" customWidth="1"/>
    <col min="12558" max="12558" width="11" style="23" customWidth="1"/>
    <col min="12559" max="12560" width="10.28515625" style="23" customWidth="1"/>
    <col min="12561" max="12561" width="10.42578125" style="23" customWidth="1"/>
    <col min="12562" max="12800" width="9.140625" style="23"/>
    <col min="12801" max="12801" width="0.28515625" style="23" customWidth="1"/>
    <col min="12802" max="12802" width="1.140625" style="23" customWidth="1"/>
    <col min="12803" max="12803" width="2.140625" style="23" customWidth="1"/>
    <col min="12804" max="12804" width="1.28515625" style="23" customWidth="1"/>
    <col min="12805" max="12805" width="27.28515625" style="23" customWidth="1"/>
    <col min="12806" max="12807" width="10.28515625" style="23" customWidth="1"/>
    <col min="12808" max="12808" width="11.140625" style="23" customWidth="1"/>
    <col min="12809" max="12809" width="10.85546875" style="23" customWidth="1"/>
    <col min="12810" max="12810" width="10.28515625" style="23" customWidth="1"/>
    <col min="12811" max="12811" width="10.7109375" style="23" customWidth="1"/>
    <col min="12812" max="12812" width="10.85546875" style="23" customWidth="1"/>
    <col min="12813" max="12813" width="10.7109375" style="23" customWidth="1"/>
    <col min="12814" max="12814" width="11" style="23" customWidth="1"/>
    <col min="12815" max="12816" width="10.28515625" style="23" customWidth="1"/>
    <col min="12817" max="12817" width="10.42578125" style="23" customWidth="1"/>
    <col min="12818" max="13056" width="9.140625" style="23"/>
    <col min="13057" max="13057" width="0.28515625" style="23" customWidth="1"/>
    <col min="13058" max="13058" width="1.140625" style="23" customWidth="1"/>
    <col min="13059" max="13059" width="2.140625" style="23" customWidth="1"/>
    <col min="13060" max="13060" width="1.28515625" style="23" customWidth="1"/>
    <col min="13061" max="13061" width="27.28515625" style="23" customWidth="1"/>
    <col min="13062" max="13063" width="10.28515625" style="23" customWidth="1"/>
    <col min="13064" max="13064" width="11.140625" style="23" customWidth="1"/>
    <col min="13065" max="13065" width="10.85546875" style="23" customWidth="1"/>
    <col min="13066" max="13066" width="10.28515625" style="23" customWidth="1"/>
    <col min="13067" max="13067" width="10.7109375" style="23" customWidth="1"/>
    <col min="13068" max="13068" width="10.85546875" style="23" customWidth="1"/>
    <col min="13069" max="13069" width="10.7109375" style="23" customWidth="1"/>
    <col min="13070" max="13070" width="11" style="23" customWidth="1"/>
    <col min="13071" max="13072" width="10.28515625" style="23" customWidth="1"/>
    <col min="13073" max="13073" width="10.42578125" style="23" customWidth="1"/>
    <col min="13074" max="13312" width="9.140625" style="23"/>
    <col min="13313" max="13313" width="0.28515625" style="23" customWidth="1"/>
    <col min="13314" max="13314" width="1.140625" style="23" customWidth="1"/>
    <col min="13315" max="13315" width="2.140625" style="23" customWidth="1"/>
    <col min="13316" max="13316" width="1.28515625" style="23" customWidth="1"/>
    <col min="13317" max="13317" width="27.28515625" style="23" customWidth="1"/>
    <col min="13318" max="13319" width="10.28515625" style="23" customWidth="1"/>
    <col min="13320" max="13320" width="11.140625" style="23" customWidth="1"/>
    <col min="13321" max="13321" width="10.85546875" style="23" customWidth="1"/>
    <col min="13322" max="13322" width="10.28515625" style="23" customWidth="1"/>
    <col min="13323" max="13323" width="10.7109375" style="23" customWidth="1"/>
    <col min="13324" max="13324" width="10.85546875" style="23" customWidth="1"/>
    <col min="13325" max="13325" width="10.7109375" style="23" customWidth="1"/>
    <col min="13326" max="13326" width="11" style="23" customWidth="1"/>
    <col min="13327" max="13328" width="10.28515625" style="23" customWidth="1"/>
    <col min="13329" max="13329" width="10.42578125" style="23" customWidth="1"/>
    <col min="13330" max="13568" width="9.140625" style="23"/>
    <col min="13569" max="13569" width="0.28515625" style="23" customWidth="1"/>
    <col min="13570" max="13570" width="1.140625" style="23" customWidth="1"/>
    <col min="13571" max="13571" width="2.140625" style="23" customWidth="1"/>
    <col min="13572" max="13572" width="1.28515625" style="23" customWidth="1"/>
    <col min="13573" max="13573" width="27.28515625" style="23" customWidth="1"/>
    <col min="13574" max="13575" width="10.28515625" style="23" customWidth="1"/>
    <col min="13576" max="13576" width="11.140625" style="23" customWidth="1"/>
    <col min="13577" max="13577" width="10.85546875" style="23" customWidth="1"/>
    <col min="13578" max="13578" width="10.28515625" style="23" customWidth="1"/>
    <col min="13579" max="13579" width="10.7109375" style="23" customWidth="1"/>
    <col min="13580" max="13580" width="10.85546875" style="23" customWidth="1"/>
    <col min="13581" max="13581" width="10.7109375" style="23" customWidth="1"/>
    <col min="13582" max="13582" width="11" style="23" customWidth="1"/>
    <col min="13583" max="13584" width="10.28515625" style="23" customWidth="1"/>
    <col min="13585" max="13585" width="10.42578125" style="23" customWidth="1"/>
    <col min="13586" max="13824" width="9.140625" style="23"/>
    <col min="13825" max="13825" width="0.28515625" style="23" customWidth="1"/>
    <col min="13826" max="13826" width="1.140625" style="23" customWidth="1"/>
    <col min="13827" max="13827" width="2.140625" style="23" customWidth="1"/>
    <col min="13828" max="13828" width="1.28515625" style="23" customWidth="1"/>
    <col min="13829" max="13829" width="27.28515625" style="23" customWidth="1"/>
    <col min="13830" max="13831" width="10.28515625" style="23" customWidth="1"/>
    <col min="13832" max="13832" width="11.140625" style="23" customWidth="1"/>
    <col min="13833" max="13833" width="10.85546875" style="23" customWidth="1"/>
    <col min="13834" max="13834" width="10.28515625" style="23" customWidth="1"/>
    <col min="13835" max="13835" width="10.7109375" style="23" customWidth="1"/>
    <col min="13836" max="13836" width="10.85546875" style="23" customWidth="1"/>
    <col min="13837" max="13837" width="10.7109375" style="23" customWidth="1"/>
    <col min="13838" max="13838" width="11" style="23" customWidth="1"/>
    <col min="13839" max="13840" width="10.28515625" style="23" customWidth="1"/>
    <col min="13841" max="13841" width="10.42578125" style="23" customWidth="1"/>
    <col min="13842" max="14080" width="9.140625" style="23"/>
    <col min="14081" max="14081" width="0.28515625" style="23" customWidth="1"/>
    <col min="14082" max="14082" width="1.140625" style="23" customWidth="1"/>
    <col min="14083" max="14083" width="2.140625" style="23" customWidth="1"/>
    <col min="14084" max="14084" width="1.28515625" style="23" customWidth="1"/>
    <col min="14085" max="14085" width="27.28515625" style="23" customWidth="1"/>
    <col min="14086" max="14087" width="10.28515625" style="23" customWidth="1"/>
    <col min="14088" max="14088" width="11.140625" style="23" customWidth="1"/>
    <col min="14089" max="14089" width="10.85546875" style="23" customWidth="1"/>
    <col min="14090" max="14090" width="10.28515625" style="23" customWidth="1"/>
    <col min="14091" max="14091" width="10.7109375" style="23" customWidth="1"/>
    <col min="14092" max="14092" width="10.85546875" style="23" customWidth="1"/>
    <col min="14093" max="14093" width="10.7109375" style="23" customWidth="1"/>
    <col min="14094" max="14094" width="11" style="23" customWidth="1"/>
    <col min="14095" max="14096" width="10.28515625" style="23" customWidth="1"/>
    <col min="14097" max="14097" width="10.42578125" style="23" customWidth="1"/>
    <col min="14098" max="14336" width="9.140625" style="23"/>
    <col min="14337" max="14337" width="0.28515625" style="23" customWidth="1"/>
    <col min="14338" max="14338" width="1.140625" style="23" customWidth="1"/>
    <col min="14339" max="14339" width="2.140625" style="23" customWidth="1"/>
    <col min="14340" max="14340" width="1.28515625" style="23" customWidth="1"/>
    <col min="14341" max="14341" width="27.28515625" style="23" customWidth="1"/>
    <col min="14342" max="14343" width="10.28515625" style="23" customWidth="1"/>
    <col min="14344" max="14344" width="11.140625" style="23" customWidth="1"/>
    <col min="14345" max="14345" width="10.85546875" style="23" customWidth="1"/>
    <col min="14346" max="14346" width="10.28515625" style="23" customWidth="1"/>
    <col min="14347" max="14347" width="10.7109375" style="23" customWidth="1"/>
    <col min="14348" max="14348" width="10.85546875" style="23" customWidth="1"/>
    <col min="14349" max="14349" width="10.7109375" style="23" customWidth="1"/>
    <col min="14350" max="14350" width="11" style="23" customWidth="1"/>
    <col min="14351" max="14352" width="10.28515625" style="23" customWidth="1"/>
    <col min="14353" max="14353" width="10.42578125" style="23" customWidth="1"/>
    <col min="14354" max="14592" width="9.140625" style="23"/>
    <col min="14593" max="14593" width="0.28515625" style="23" customWidth="1"/>
    <col min="14594" max="14594" width="1.140625" style="23" customWidth="1"/>
    <col min="14595" max="14595" width="2.140625" style="23" customWidth="1"/>
    <col min="14596" max="14596" width="1.28515625" style="23" customWidth="1"/>
    <col min="14597" max="14597" width="27.28515625" style="23" customWidth="1"/>
    <col min="14598" max="14599" width="10.28515625" style="23" customWidth="1"/>
    <col min="14600" max="14600" width="11.140625" style="23" customWidth="1"/>
    <col min="14601" max="14601" width="10.85546875" style="23" customWidth="1"/>
    <col min="14602" max="14602" width="10.28515625" style="23" customWidth="1"/>
    <col min="14603" max="14603" width="10.7109375" style="23" customWidth="1"/>
    <col min="14604" max="14604" width="10.85546875" style="23" customWidth="1"/>
    <col min="14605" max="14605" width="10.7109375" style="23" customWidth="1"/>
    <col min="14606" max="14606" width="11" style="23" customWidth="1"/>
    <col min="14607" max="14608" width="10.28515625" style="23" customWidth="1"/>
    <col min="14609" max="14609" width="10.42578125" style="23" customWidth="1"/>
    <col min="14610" max="14848" width="9.140625" style="23"/>
    <col min="14849" max="14849" width="0.28515625" style="23" customWidth="1"/>
    <col min="14850" max="14850" width="1.140625" style="23" customWidth="1"/>
    <col min="14851" max="14851" width="2.140625" style="23" customWidth="1"/>
    <col min="14852" max="14852" width="1.28515625" style="23" customWidth="1"/>
    <col min="14853" max="14853" width="27.28515625" style="23" customWidth="1"/>
    <col min="14854" max="14855" width="10.28515625" style="23" customWidth="1"/>
    <col min="14856" max="14856" width="11.140625" style="23" customWidth="1"/>
    <col min="14857" max="14857" width="10.85546875" style="23" customWidth="1"/>
    <col min="14858" max="14858" width="10.28515625" style="23" customWidth="1"/>
    <col min="14859" max="14859" width="10.7109375" style="23" customWidth="1"/>
    <col min="14860" max="14860" width="10.85546875" style="23" customWidth="1"/>
    <col min="14861" max="14861" width="10.7109375" style="23" customWidth="1"/>
    <col min="14862" max="14862" width="11" style="23" customWidth="1"/>
    <col min="14863" max="14864" width="10.28515625" style="23" customWidth="1"/>
    <col min="14865" max="14865" width="10.42578125" style="23" customWidth="1"/>
    <col min="14866" max="15104" width="9.140625" style="23"/>
    <col min="15105" max="15105" width="0.28515625" style="23" customWidth="1"/>
    <col min="15106" max="15106" width="1.140625" style="23" customWidth="1"/>
    <col min="15107" max="15107" width="2.140625" style="23" customWidth="1"/>
    <col min="15108" max="15108" width="1.28515625" style="23" customWidth="1"/>
    <col min="15109" max="15109" width="27.28515625" style="23" customWidth="1"/>
    <col min="15110" max="15111" width="10.28515625" style="23" customWidth="1"/>
    <col min="15112" max="15112" width="11.140625" style="23" customWidth="1"/>
    <col min="15113" max="15113" width="10.85546875" style="23" customWidth="1"/>
    <col min="15114" max="15114" width="10.28515625" style="23" customWidth="1"/>
    <col min="15115" max="15115" width="10.7109375" style="23" customWidth="1"/>
    <col min="15116" max="15116" width="10.85546875" style="23" customWidth="1"/>
    <col min="15117" max="15117" width="10.7109375" style="23" customWidth="1"/>
    <col min="15118" max="15118" width="11" style="23" customWidth="1"/>
    <col min="15119" max="15120" width="10.28515625" style="23" customWidth="1"/>
    <col min="15121" max="15121" width="10.42578125" style="23" customWidth="1"/>
    <col min="15122" max="15360" width="9.140625" style="23"/>
    <col min="15361" max="15361" width="0.28515625" style="23" customWidth="1"/>
    <col min="15362" max="15362" width="1.140625" style="23" customWidth="1"/>
    <col min="15363" max="15363" width="2.140625" style="23" customWidth="1"/>
    <col min="15364" max="15364" width="1.28515625" style="23" customWidth="1"/>
    <col min="15365" max="15365" width="27.28515625" style="23" customWidth="1"/>
    <col min="15366" max="15367" width="10.28515625" style="23" customWidth="1"/>
    <col min="15368" max="15368" width="11.140625" style="23" customWidth="1"/>
    <col min="15369" max="15369" width="10.85546875" style="23" customWidth="1"/>
    <col min="15370" max="15370" width="10.28515625" style="23" customWidth="1"/>
    <col min="15371" max="15371" width="10.7109375" style="23" customWidth="1"/>
    <col min="15372" max="15372" width="10.85546875" style="23" customWidth="1"/>
    <col min="15373" max="15373" width="10.7109375" style="23" customWidth="1"/>
    <col min="15374" max="15374" width="11" style="23" customWidth="1"/>
    <col min="15375" max="15376" width="10.28515625" style="23" customWidth="1"/>
    <col min="15377" max="15377" width="10.42578125" style="23" customWidth="1"/>
    <col min="15378" max="15616" width="9.140625" style="23"/>
    <col min="15617" max="15617" width="0.28515625" style="23" customWidth="1"/>
    <col min="15618" max="15618" width="1.140625" style="23" customWidth="1"/>
    <col min="15619" max="15619" width="2.140625" style="23" customWidth="1"/>
    <col min="15620" max="15620" width="1.28515625" style="23" customWidth="1"/>
    <col min="15621" max="15621" width="27.28515625" style="23" customWidth="1"/>
    <col min="15622" max="15623" width="10.28515625" style="23" customWidth="1"/>
    <col min="15624" max="15624" width="11.140625" style="23" customWidth="1"/>
    <col min="15625" max="15625" width="10.85546875" style="23" customWidth="1"/>
    <col min="15626" max="15626" width="10.28515625" style="23" customWidth="1"/>
    <col min="15627" max="15627" width="10.7109375" style="23" customWidth="1"/>
    <col min="15628" max="15628" width="10.85546875" style="23" customWidth="1"/>
    <col min="15629" max="15629" width="10.7109375" style="23" customWidth="1"/>
    <col min="15630" max="15630" width="11" style="23" customWidth="1"/>
    <col min="15631" max="15632" width="10.28515625" style="23" customWidth="1"/>
    <col min="15633" max="15633" width="10.42578125" style="23" customWidth="1"/>
    <col min="15634" max="15872" width="9.140625" style="23"/>
    <col min="15873" max="15873" width="0.28515625" style="23" customWidth="1"/>
    <col min="15874" max="15874" width="1.140625" style="23" customWidth="1"/>
    <col min="15875" max="15875" width="2.140625" style="23" customWidth="1"/>
    <col min="15876" max="15876" width="1.28515625" style="23" customWidth="1"/>
    <col min="15877" max="15877" width="27.28515625" style="23" customWidth="1"/>
    <col min="15878" max="15879" width="10.28515625" style="23" customWidth="1"/>
    <col min="15880" max="15880" width="11.140625" style="23" customWidth="1"/>
    <col min="15881" max="15881" width="10.85546875" style="23" customWidth="1"/>
    <col min="15882" max="15882" width="10.28515625" style="23" customWidth="1"/>
    <col min="15883" max="15883" width="10.7109375" style="23" customWidth="1"/>
    <col min="15884" max="15884" width="10.85546875" style="23" customWidth="1"/>
    <col min="15885" max="15885" width="10.7109375" style="23" customWidth="1"/>
    <col min="15886" max="15886" width="11" style="23" customWidth="1"/>
    <col min="15887" max="15888" width="10.28515625" style="23" customWidth="1"/>
    <col min="15889" max="15889" width="10.42578125" style="23" customWidth="1"/>
    <col min="15890" max="16128" width="9.140625" style="23"/>
    <col min="16129" max="16129" width="0.28515625" style="23" customWidth="1"/>
    <col min="16130" max="16130" width="1.140625" style="23" customWidth="1"/>
    <col min="16131" max="16131" width="2.140625" style="23" customWidth="1"/>
    <col min="16132" max="16132" width="1.28515625" style="23" customWidth="1"/>
    <col min="16133" max="16133" width="27.28515625" style="23" customWidth="1"/>
    <col min="16134" max="16135" width="10.28515625" style="23" customWidth="1"/>
    <col min="16136" max="16136" width="11.140625" style="23" customWidth="1"/>
    <col min="16137" max="16137" width="10.85546875" style="23" customWidth="1"/>
    <col min="16138" max="16138" width="10.28515625" style="23" customWidth="1"/>
    <col min="16139" max="16139" width="10.7109375" style="23" customWidth="1"/>
    <col min="16140" max="16140" width="10.85546875" style="23" customWidth="1"/>
    <col min="16141" max="16141" width="10.7109375" style="23" customWidth="1"/>
    <col min="16142" max="16142" width="11" style="23" customWidth="1"/>
    <col min="16143" max="16144" width="10.28515625" style="23" customWidth="1"/>
    <col min="16145" max="16145" width="10.42578125" style="23" customWidth="1"/>
    <col min="16146" max="16384" width="9.140625" style="23"/>
  </cols>
  <sheetData>
    <row r="1" spans="1:17" ht="15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x14ac:dyDescent="0.25">
      <c r="A2" s="96" t="s">
        <v>213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x14ac:dyDescent="0.2">
      <c r="A3" s="97" t="s">
        <v>11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15" thickBot="1" x14ac:dyDescent="0.25">
      <c r="A5" s="105" t="s">
        <v>17</v>
      </c>
      <c r="B5" s="106"/>
      <c r="C5" s="106"/>
      <c r="D5" s="106"/>
      <c r="E5" s="106"/>
      <c r="F5" s="24" t="s">
        <v>0</v>
      </c>
      <c r="G5" s="24" t="s">
        <v>1</v>
      </c>
      <c r="H5" s="24" t="s">
        <v>2</v>
      </c>
      <c r="I5" s="24" t="s">
        <v>3</v>
      </c>
      <c r="J5" s="24" t="s">
        <v>4</v>
      </c>
      <c r="K5" s="24" t="s">
        <v>18</v>
      </c>
      <c r="L5" s="24" t="s">
        <v>5</v>
      </c>
      <c r="M5" s="24" t="s">
        <v>6</v>
      </c>
      <c r="N5" s="24" t="s">
        <v>10</v>
      </c>
      <c r="O5" s="24" t="s">
        <v>7</v>
      </c>
      <c r="P5" s="24" t="s">
        <v>8</v>
      </c>
      <c r="Q5" s="25" t="s">
        <v>9</v>
      </c>
    </row>
    <row r="6" spans="1:17" ht="15" thickTop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7" ht="15" x14ac:dyDescent="0.25">
      <c r="A7" s="27" t="s">
        <v>107</v>
      </c>
      <c r="B7" s="27"/>
      <c r="C7" s="27"/>
      <c r="D7" s="27"/>
      <c r="E7" s="27"/>
      <c r="F7" s="6">
        <f t="shared" ref="F7:Q7" si="0">+F9+F39</f>
        <v>935158.12600000005</v>
      </c>
      <c r="G7" s="6">
        <f t="shared" si="0"/>
        <v>949152.38499999989</v>
      </c>
      <c r="H7" s="6">
        <f t="shared" si="0"/>
        <v>964925.05100000009</v>
      </c>
      <c r="I7" s="6">
        <f t="shared" si="0"/>
        <v>978466.30200000003</v>
      </c>
      <c r="J7" s="6">
        <f t="shared" si="0"/>
        <v>990930.57</v>
      </c>
      <c r="K7" s="6">
        <f t="shared" si="0"/>
        <v>996001.24100000004</v>
      </c>
      <c r="L7" s="6">
        <f t="shared" si="0"/>
        <v>989913.54200000002</v>
      </c>
      <c r="M7" s="6">
        <f t="shared" si="0"/>
        <v>1000847.4449999999</v>
      </c>
      <c r="N7" s="6">
        <f t="shared" si="0"/>
        <v>1005101.996</v>
      </c>
      <c r="O7" s="6">
        <f t="shared" si="0"/>
        <v>1002377.8870000001</v>
      </c>
      <c r="P7" s="6">
        <f t="shared" si="0"/>
        <v>1052303.757</v>
      </c>
      <c r="Q7" s="6">
        <f t="shared" si="0"/>
        <v>1043853.28</v>
      </c>
    </row>
    <row r="8" spans="1:17" ht="15" x14ac:dyDescent="0.25">
      <c r="A8" s="22"/>
      <c r="B8" s="22"/>
      <c r="C8" s="22"/>
      <c r="D8" s="22"/>
      <c r="E8" s="2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x14ac:dyDescent="0.25">
      <c r="B9" s="27" t="s">
        <v>108</v>
      </c>
      <c r="C9" s="27"/>
      <c r="D9" s="27"/>
      <c r="E9" s="27"/>
      <c r="F9" s="8">
        <f t="shared" ref="F9:Q9" si="1">F10+F26</f>
        <v>928653.13</v>
      </c>
      <c r="G9" s="8">
        <f t="shared" si="1"/>
        <v>942636.98899999994</v>
      </c>
      <c r="H9" s="8">
        <f t="shared" si="1"/>
        <v>958432.10400000005</v>
      </c>
      <c r="I9" s="8">
        <f t="shared" si="1"/>
        <v>968014.152</v>
      </c>
      <c r="J9" s="8">
        <f t="shared" si="1"/>
        <v>980509.53799999994</v>
      </c>
      <c r="K9" s="8">
        <f t="shared" si="1"/>
        <v>985591.37</v>
      </c>
      <c r="L9" s="8">
        <f t="shared" si="1"/>
        <v>979510.34900000005</v>
      </c>
      <c r="M9" s="8">
        <f t="shared" si="1"/>
        <v>990465.13599999994</v>
      </c>
      <c r="N9" s="8">
        <f t="shared" si="1"/>
        <v>994733.89199999999</v>
      </c>
      <c r="O9" s="8">
        <f t="shared" si="1"/>
        <v>992038.0120000001</v>
      </c>
      <c r="P9" s="8">
        <f t="shared" si="1"/>
        <v>1041985.7050000001</v>
      </c>
      <c r="Q9" s="8">
        <f t="shared" si="1"/>
        <v>1033542.28</v>
      </c>
    </row>
    <row r="10" spans="1:17" ht="15" x14ac:dyDescent="0.25">
      <c r="B10" s="27"/>
      <c r="C10" s="27" t="s">
        <v>24</v>
      </c>
      <c r="D10" s="27"/>
      <c r="E10" s="27"/>
      <c r="F10" s="8">
        <f t="shared" ref="F10:Q10" si="2">+F11+F17</f>
        <v>805663.72100000002</v>
      </c>
      <c r="G10" s="8">
        <f t="shared" si="2"/>
        <v>819524.43599999999</v>
      </c>
      <c r="H10" s="8">
        <f t="shared" si="2"/>
        <v>834253.62100000004</v>
      </c>
      <c r="I10" s="8">
        <f t="shared" si="2"/>
        <v>843998.56599999999</v>
      </c>
      <c r="J10" s="8">
        <f t="shared" si="2"/>
        <v>856401.20099999988</v>
      </c>
      <c r="K10" s="8">
        <f t="shared" si="2"/>
        <v>861496.10100000002</v>
      </c>
      <c r="L10" s="8">
        <f t="shared" si="2"/>
        <v>855310.21100000001</v>
      </c>
      <c r="M10" s="8">
        <f t="shared" si="2"/>
        <v>858222.152</v>
      </c>
      <c r="N10" s="8">
        <f t="shared" si="2"/>
        <v>862446.87199999997</v>
      </c>
      <c r="O10" s="8">
        <f t="shared" si="2"/>
        <v>859958.81200000003</v>
      </c>
      <c r="P10" s="8">
        <f t="shared" si="2"/>
        <v>909462.527</v>
      </c>
      <c r="Q10" s="8">
        <f t="shared" si="2"/>
        <v>901741</v>
      </c>
    </row>
    <row r="11" spans="1:17" ht="15" x14ac:dyDescent="0.25">
      <c r="B11" s="29"/>
      <c r="C11" s="29"/>
      <c r="D11" s="29" t="s">
        <v>109</v>
      </c>
      <c r="E11" s="29"/>
      <c r="F11" s="8">
        <f>SUM(F12:F16)</f>
        <v>459756</v>
      </c>
      <c r="G11" s="8">
        <f t="shared" ref="G11:Q11" si="3">SUM(G12:G16)</f>
        <v>461100.11499999999</v>
      </c>
      <c r="H11" s="8">
        <f t="shared" si="3"/>
        <v>456595.54</v>
      </c>
      <c r="I11" s="8">
        <f t="shared" si="3"/>
        <v>455688.48499999999</v>
      </c>
      <c r="J11" s="8">
        <f t="shared" si="3"/>
        <v>461977.31999999995</v>
      </c>
      <c r="K11" s="8">
        <f t="shared" si="3"/>
        <v>452888.02</v>
      </c>
      <c r="L11" s="8">
        <f t="shared" si="3"/>
        <v>445691.80000000005</v>
      </c>
      <c r="M11" s="8">
        <f t="shared" si="3"/>
        <v>447373.73100000003</v>
      </c>
      <c r="N11" s="8">
        <f t="shared" si="3"/>
        <v>436959.00099999999</v>
      </c>
      <c r="O11" s="8">
        <f t="shared" si="3"/>
        <v>435003.34100000001</v>
      </c>
      <c r="P11" s="8">
        <f t="shared" si="3"/>
        <v>477903.25599999999</v>
      </c>
      <c r="Q11" s="8">
        <f t="shared" si="3"/>
        <v>467275</v>
      </c>
    </row>
    <row r="12" spans="1:17" x14ac:dyDescent="0.2">
      <c r="E12" s="23" t="s">
        <v>25</v>
      </c>
      <c r="F12" s="30">
        <v>3821</v>
      </c>
      <c r="G12" s="30">
        <v>4055.9</v>
      </c>
      <c r="H12" s="30">
        <v>4230.3999999999996</v>
      </c>
      <c r="I12" s="30">
        <v>5387.2</v>
      </c>
      <c r="J12" s="30">
        <v>9849.1</v>
      </c>
      <c r="K12" s="30">
        <v>7297.3</v>
      </c>
      <c r="L12" s="30">
        <v>8105.3</v>
      </c>
      <c r="M12" s="30">
        <v>9840.2000000000007</v>
      </c>
      <c r="N12" s="30">
        <v>13907.4</v>
      </c>
      <c r="O12" s="30">
        <v>33367.050000000003</v>
      </c>
      <c r="P12" s="30">
        <v>47374.75</v>
      </c>
      <c r="Q12" s="30">
        <v>17250</v>
      </c>
    </row>
    <row r="13" spans="1:17" x14ac:dyDescent="0.2">
      <c r="E13" s="23" t="s">
        <v>104</v>
      </c>
      <c r="F13" s="30">
        <v>81647</v>
      </c>
      <c r="G13" s="30">
        <v>82036.214999999997</v>
      </c>
      <c r="H13" s="30">
        <v>82417.69</v>
      </c>
      <c r="I13" s="30">
        <v>85539.39</v>
      </c>
      <c r="J13" s="30">
        <v>86560.414999999994</v>
      </c>
      <c r="K13" s="30">
        <v>90490.264999999999</v>
      </c>
      <c r="L13" s="30">
        <v>89296.425000000003</v>
      </c>
      <c r="M13" s="30">
        <v>91580.66</v>
      </c>
      <c r="N13" s="30">
        <v>90428.97</v>
      </c>
      <c r="O13" s="30">
        <v>87142.54</v>
      </c>
      <c r="P13" s="30">
        <v>96455.9</v>
      </c>
      <c r="Q13" s="30">
        <v>100707</v>
      </c>
    </row>
    <row r="14" spans="1:17" x14ac:dyDescent="0.2">
      <c r="E14" s="23" t="s">
        <v>105</v>
      </c>
      <c r="F14" s="30">
        <v>114377</v>
      </c>
      <c r="G14" s="30">
        <v>121578</v>
      </c>
      <c r="H14" s="30">
        <v>117640.995</v>
      </c>
      <c r="I14" s="30">
        <v>131285.15</v>
      </c>
      <c r="J14" s="30">
        <v>131870.785</v>
      </c>
      <c r="K14" s="30">
        <v>133138.22500000001</v>
      </c>
      <c r="L14" s="30">
        <v>131985.26500000001</v>
      </c>
      <c r="M14" s="30">
        <v>129223.166</v>
      </c>
      <c r="N14" s="30">
        <v>135061.476</v>
      </c>
      <c r="O14" s="30">
        <v>116177.91099999999</v>
      </c>
      <c r="P14" s="30">
        <v>122671.361</v>
      </c>
      <c r="Q14" s="30">
        <v>143041</v>
      </c>
    </row>
    <row r="15" spans="1:17" x14ac:dyDescent="0.2">
      <c r="E15" s="23" t="s">
        <v>106</v>
      </c>
      <c r="F15" s="30">
        <v>259911</v>
      </c>
      <c r="G15" s="30">
        <v>253430</v>
      </c>
      <c r="H15" s="30">
        <v>252306.45499999999</v>
      </c>
      <c r="I15" s="30">
        <v>233476.745</v>
      </c>
      <c r="J15" s="30">
        <v>233697.02</v>
      </c>
      <c r="K15" s="30">
        <v>221962.23</v>
      </c>
      <c r="L15" s="30">
        <v>216304.81</v>
      </c>
      <c r="M15" s="30">
        <v>216729.70499999999</v>
      </c>
      <c r="N15" s="30">
        <v>197561.155</v>
      </c>
      <c r="O15" s="30">
        <v>198315.84</v>
      </c>
      <c r="P15" s="30">
        <v>211401.245</v>
      </c>
      <c r="Q15" s="30">
        <v>206277</v>
      </c>
    </row>
    <row r="16" spans="1:17" x14ac:dyDescent="0.2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x14ac:dyDescent="0.25">
      <c r="B17" s="29"/>
      <c r="C17" s="29"/>
      <c r="D17" s="29" t="s">
        <v>110</v>
      </c>
      <c r="E17" s="29"/>
      <c r="F17" s="8">
        <f t="shared" ref="F17:Q17" si="4">SUM(F18:F24)</f>
        <v>345907.72100000002</v>
      </c>
      <c r="G17" s="8">
        <f t="shared" si="4"/>
        <v>358424.321</v>
      </c>
      <c r="H17" s="8">
        <f t="shared" si="4"/>
        <v>377658.08100000001</v>
      </c>
      <c r="I17" s="8">
        <f t="shared" si="4"/>
        <v>388310.08100000001</v>
      </c>
      <c r="J17" s="8">
        <f t="shared" si="4"/>
        <v>394423.88099999999</v>
      </c>
      <c r="K17" s="8">
        <f t="shared" si="4"/>
        <v>408608.08100000001</v>
      </c>
      <c r="L17" s="8">
        <f t="shared" si="4"/>
        <v>409618.41099999996</v>
      </c>
      <c r="M17" s="8">
        <f t="shared" si="4"/>
        <v>410848.42099999997</v>
      </c>
      <c r="N17" s="8">
        <f t="shared" si="4"/>
        <v>425487.87099999998</v>
      </c>
      <c r="O17" s="8">
        <f t="shared" si="4"/>
        <v>424955.47100000002</v>
      </c>
      <c r="P17" s="8">
        <f t="shared" si="4"/>
        <v>431559.27100000001</v>
      </c>
      <c r="Q17" s="8">
        <f t="shared" si="4"/>
        <v>434466</v>
      </c>
    </row>
    <row r="18" spans="1:17" x14ac:dyDescent="0.2">
      <c r="E18" s="23" t="s">
        <v>111</v>
      </c>
      <c r="F18" s="30">
        <v>88263</v>
      </c>
      <c r="G18" s="30">
        <v>89717.7</v>
      </c>
      <c r="H18" s="30">
        <v>91992.76</v>
      </c>
      <c r="I18" s="30">
        <v>93370.66</v>
      </c>
      <c r="J18" s="30">
        <v>93618.66</v>
      </c>
      <c r="K18" s="30">
        <v>103845.16</v>
      </c>
      <c r="L18" s="30">
        <v>105227.16</v>
      </c>
      <c r="M18" s="30">
        <v>102419.35</v>
      </c>
      <c r="N18" s="30">
        <v>109506.85</v>
      </c>
      <c r="O18" s="30">
        <v>106533.15</v>
      </c>
      <c r="P18" s="30">
        <v>104116.15</v>
      </c>
      <c r="Q18" s="30">
        <v>104077</v>
      </c>
    </row>
    <row r="19" spans="1:17" x14ac:dyDescent="0.2">
      <c r="E19" s="23" t="s">
        <v>27</v>
      </c>
      <c r="F19" s="30">
        <v>115524.3</v>
      </c>
      <c r="G19" s="30">
        <v>118735.7</v>
      </c>
      <c r="H19" s="30">
        <v>123528.8</v>
      </c>
      <c r="I19" s="30">
        <v>126581.8</v>
      </c>
      <c r="J19" s="30">
        <v>128310.2</v>
      </c>
      <c r="K19" s="30">
        <v>125702.7</v>
      </c>
      <c r="L19" s="30">
        <v>121159.43</v>
      </c>
      <c r="M19" s="30">
        <v>118360.35</v>
      </c>
      <c r="N19" s="30">
        <v>119621.7</v>
      </c>
      <c r="O19" s="30">
        <v>116873</v>
      </c>
      <c r="P19" s="30">
        <v>117797.5</v>
      </c>
      <c r="Q19" s="30">
        <v>116567</v>
      </c>
    </row>
    <row r="20" spans="1:17" x14ac:dyDescent="0.2">
      <c r="E20" s="23" t="s">
        <v>26</v>
      </c>
      <c r="F20" s="30">
        <v>74997.600000000006</v>
      </c>
      <c r="G20" s="30">
        <v>78592</v>
      </c>
      <c r="H20" s="30">
        <v>82344.7</v>
      </c>
      <c r="I20" s="30">
        <v>85344.7</v>
      </c>
      <c r="J20" s="30">
        <v>87842.3</v>
      </c>
      <c r="K20" s="30">
        <v>90852.9</v>
      </c>
      <c r="L20" s="30">
        <v>92054.9</v>
      </c>
      <c r="M20" s="30">
        <v>95921.3</v>
      </c>
      <c r="N20" s="30">
        <v>97714.5</v>
      </c>
      <c r="O20" s="30">
        <v>97714.5</v>
      </c>
      <c r="P20" s="30">
        <v>98214.5</v>
      </c>
      <c r="Q20" s="30">
        <v>99641</v>
      </c>
    </row>
    <row r="21" spans="1:17" x14ac:dyDescent="0.2">
      <c r="E21" s="23" t="s">
        <v>113</v>
      </c>
      <c r="F21" s="30">
        <v>61943.046999999999</v>
      </c>
      <c r="G21" s="30">
        <v>66199.146999999997</v>
      </c>
      <c r="H21" s="30">
        <v>72812.047000000006</v>
      </c>
      <c r="I21" s="30">
        <v>75469.247000000003</v>
      </c>
      <c r="J21" s="30">
        <v>77104.146999999997</v>
      </c>
      <c r="K21" s="30">
        <v>80659.646999999997</v>
      </c>
      <c r="L21" s="30">
        <v>83625.747000000003</v>
      </c>
      <c r="M21" s="30">
        <v>85656.247000000003</v>
      </c>
      <c r="N21" s="30">
        <v>90153.646999999997</v>
      </c>
      <c r="O21" s="30">
        <v>92953.646999999997</v>
      </c>
      <c r="P21" s="30">
        <v>95703.646999999997</v>
      </c>
      <c r="Q21" s="30">
        <v>98454</v>
      </c>
    </row>
    <row r="22" spans="1:17" x14ac:dyDescent="0.2">
      <c r="E22" s="23" t="s">
        <v>114</v>
      </c>
      <c r="F22" s="30">
        <v>5082.7740000000003</v>
      </c>
      <c r="G22" s="30">
        <v>5082.7740000000003</v>
      </c>
      <c r="H22" s="30">
        <v>6882.7740000000003</v>
      </c>
      <c r="I22" s="30">
        <v>7446.674</v>
      </c>
      <c r="J22" s="30">
        <v>7451.5739999999996</v>
      </c>
      <c r="K22" s="30">
        <v>7450.674</v>
      </c>
      <c r="L22" s="30">
        <v>7454.174</v>
      </c>
      <c r="M22" s="30">
        <v>8394.1740000000009</v>
      </c>
      <c r="N22" s="30">
        <v>8394.1740000000009</v>
      </c>
      <c r="O22" s="30">
        <v>10784.174000000001</v>
      </c>
      <c r="P22" s="30">
        <v>9844.1740000000009</v>
      </c>
      <c r="Q22" s="30">
        <v>9844</v>
      </c>
    </row>
    <row r="23" spans="1:17" x14ac:dyDescent="0.2">
      <c r="E23" s="23" t="s">
        <v>115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5786.3</v>
      </c>
      <c r="Q23" s="30">
        <v>5786</v>
      </c>
    </row>
    <row r="24" spans="1:17" x14ac:dyDescent="0.2">
      <c r="E24" s="23" t="s">
        <v>116</v>
      </c>
      <c r="F24" s="30">
        <v>97</v>
      </c>
      <c r="G24" s="30">
        <v>97</v>
      </c>
      <c r="H24" s="30">
        <v>97</v>
      </c>
      <c r="I24" s="30">
        <v>97</v>
      </c>
      <c r="J24" s="30">
        <v>97</v>
      </c>
      <c r="K24" s="30">
        <v>97</v>
      </c>
      <c r="L24" s="30">
        <v>97</v>
      </c>
      <c r="M24" s="30">
        <v>97</v>
      </c>
      <c r="N24" s="30">
        <v>97</v>
      </c>
      <c r="O24" s="30">
        <v>97</v>
      </c>
      <c r="P24" s="30">
        <v>97</v>
      </c>
      <c r="Q24" s="30">
        <v>97</v>
      </c>
    </row>
    <row r="25" spans="1:17" x14ac:dyDescent="0.2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ht="15" x14ac:dyDescent="0.25">
      <c r="B26" s="29"/>
      <c r="C26" s="29" t="s">
        <v>117</v>
      </c>
      <c r="D26" s="29"/>
      <c r="E26" s="29"/>
      <c r="F26" s="8">
        <f>+F27+F29+F31+F33+F35+F37</f>
        <v>122989.40900000001</v>
      </c>
      <c r="G26" s="8">
        <f t="shared" ref="G26:Q26" si="5">+G27+G29+G31+G33+G35+G37</f>
        <v>123112.553</v>
      </c>
      <c r="H26" s="8">
        <f t="shared" si="5"/>
        <v>124178.48300000001</v>
      </c>
      <c r="I26" s="8">
        <f t="shared" si="5"/>
        <v>124015.586</v>
      </c>
      <c r="J26" s="8">
        <f t="shared" si="5"/>
        <v>124108.337</v>
      </c>
      <c r="K26" s="8">
        <f t="shared" si="5"/>
        <v>124095.26900000001</v>
      </c>
      <c r="L26" s="8">
        <f t="shared" si="5"/>
        <v>124200.13800000001</v>
      </c>
      <c r="M26" s="8">
        <f t="shared" si="5"/>
        <v>132242.984</v>
      </c>
      <c r="N26" s="8">
        <f t="shared" si="5"/>
        <v>132287.02000000002</v>
      </c>
      <c r="O26" s="8">
        <f t="shared" si="5"/>
        <v>132079.20000000001</v>
      </c>
      <c r="P26" s="8">
        <f t="shared" si="5"/>
        <v>132523.17800000001</v>
      </c>
      <c r="Q26" s="8">
        <f t="shared" si="5"/>
        <v>131801.28</v>
      </c>
    </row>
    <row r="27" spans="1:17" ht="15" x14ac:dyDescent="0.25">
      <c r="B27" s="29"/>
      <c r="C27" s="29"/>
      <c r="D27" s="29" t="s">
        <v>169</v>
      </c>
      <c r="E27" s="29"/>
      <c r="F27" s="28">
        <v>30250.235000000001</v>
      </c>
      <c r="G27" s="28">
        <v>30250.235000000001</v>
      </c>
      <c r="H27" s="28">
        <v>30250</v>
      </c>
      <c r="I27" s="28">
        <v>30250</v>
      </c>
      <c r="J27" s="28">
        <v>30250</v>
      </c>
      <c r="K27" s="28">
        <v>30250</v>
      </c>
      <c r="L27" s="28">
        <v>30250.235000000001</v>
      </c>
      <c r="M27" s="28">
        <v>30250</v>
      </c>
      <c r="N27" s="28">
        <v>30250</v>
      </c>
      <c r="O27" s="28">
        <v>30250</v>
      </c>
      <c r="P27" s="28">
        <v>30250.235000000001</v>
      </c>
      <c r="Q27" s="28">
        <v>30250</v>
      </c>
    </row>
    <row r="28" spans="1:17" x14ac:dyDescent="0.2"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15" x14ac:dyDescent="0.25">
      <c r="C29" s="29"/>
      <c r="D29" s="29" t="s">
        <v>170</v>
      </c>
      <c r="E29" s="29"/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8000</v>
      </c>
      <c r="N29" s="28">
        <v>8000</v>
      </c>
      <c r="O29" s="28">
        <v>8000</v>
      </c>
      <c r="P29" s="28">
        <v>8000</v>
      </c>
      <c r="Q29" s="28">
        <v>8000</v>
      </c>
    </row>
    <row r="30" spans="1:17" ht="15" x14ac:dyDescent="0.25">
      <c r="C30" s="31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15" x14ac:dyDescent="0.25">
      <c r="A31" s="29"/>
      <c r="B31" s="29"/>
      <c r="C31" s="29"/>
      <c r="D31" s="29" t="s">
        <v>171</v>
      </c>
      <c r="E31" s="29"/>
      <c r="F31" s="28">
        <v>82218</v>
      </c>
      <c r="G31" s="28">
        <v>82203.251999999993</v>
      </c>
      <c r="H31" s="28">
        <v>82203.262000000002</v>
      </c>
      <c r="I31" s="28">
        <v>82002.673999999999</v>
      </c>
      <c r="J31" s="28">
        <v>81994.986999999994</v>
      </c>
      <c r="K31" s="28">
        <v>81989.982000000004</v>
      </c>
      <c r="L31" s="28">
        <v>81986</v>
      </c>
      <c r="M31" s="28">
        <v>81986.452999999994</v>
      </c>
      <c r="N31" s="28">
        <v>81953.793000000005</v>
      </c>
      <c r="O31" s="28">
        <v>81780.692999999999</v>
      </c>
      <c r="P31" s="28">
        <v>81607.442999999999</v>
      </c>
      <c r="Q31" s="28">
        <v>81481</v>
      </c>
    </row>
    <row r="32" spans="1:17" ht="15" x14ac:dyDescent="0.25">
      <c r="A32" s="29"/>
      <c r="B32" s="29"/>
      <c r="C32" s="29"/>
      <c r="D32" s="29"/>
      <c r="E32" s="29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ht="15" x14ac:dyDescent="0.25">
      <c r="A33" s="29"/>
      <c r="B33" s="29"/>
      <c r="C33" s="29"/>
      <c r="D33" s="29" t="s">
        <v>172</v>
      </c>
      <c r="E33" s="29"/>
      <c r="F33" s="28">
        <v>2415.5509999999999</v>
      </c>
      <c r="G33" s="28">
        <v>2415.5509999999999</v>
      </c>
      <c r="H33" s="28">
        <v>2415.5509999999999</v>
      </c>
      <c r="I33" s="28">
        <v>2415.5509999999999</v>
      </c>
      <c r="J33" s="28">
        <v>2415.5509999999999</v>
      </c>
      <c r="K33" s="28">
        <v>2415.5509999999999</v>
      </c>
      <c r="L33" s="28">
        <v>2415.5509999999999</v>
      </c>
      <c r="M33" s="28">
        <v>2415.5509999999999</v>
      </c>
      <c r="N33" s="28">
        <v>2415.5509999999999</v>
      </c>
      <c r="O33" s="28">
        <v>2415.5509999999999</v>
      </c>
      <c r="P33" s="28">
        <v>2415.5509999999999</v>
      </c>
      <c r="Q33" s="28">
        <v>2415.5509999999999</v>
      </c>
    </row>
    <row r="34" spans="1:17" ht="15" x14ac:dyDescent="0.25">
      <c r="A34" s="29"/>
      <c r="B34" s="29"/>
      <c r="C34" s="29"/>
      <c r="D34" s="29"/>
      <c r="E34" s="29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5" x14ac:dyDescent="0.25">
      <c r="A35" s="29"/>
      <c r="B35" s="29"/>
      <c r="C35" s="29"/>
      <c r="D35" s="29" t="s">
        <v>173</v>
      </c>
      <c r="E35" s="29"/>
      <c r="F35" s="28">
        <v>8105.6229999999996</v>
      </c>
      <c r="G35" s="28">
        <v>8243.5149999999994</v>
      </c>
      <c r="H35" s="28">
        <v>8316.7270000000008</v>
      </c>
      <c r="I35" s="28">
        <v>8391.7180000000008</v>
      </c>
      <c r="J35" s="28">
        <v>8455.6560000000009</v>
      </c>
      <c r="K35" s="28">
        <v>8435.0930000000008</v>
      </c>
      <c r="L35" s="28">
        <v>8577.8089999999993</v>
      </c>
      <c r="M35" s="28">
        <v>8618.4369999999999</v>
      </c>
      <c r="N35" s="28">
        <v>8675.6419999999998</v>
      </c>
      <c r="O35" s="28">
        <v>8884.2559999999994</v>
      </c>
      <c r="P35" s="28">
        <v>8944.8490000000002</v>
      </c>
      <c r="Q35" s="28">
        <v>8909.7289999999994</v>
      </c>
    </row>
    <row r="36" spans="1:17" ht="15" x14ac:dyDescent="0.25">
      <c r="A36" s="29"/>
      <c r="B36" s="29"/>
      <c r="C36" s="29"/>
      <c r="D36" s="29"/>
      <c r="E36" s="2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15" x14ac:dyDescent="0.25">
      <c r="A37" s="29"/>
      <c r="B37" s="29"/>
      <c r="C37" s="29"/>
      <c r="D37" s="29" t="s">
        <v>174</v>
      </c>
      <c r="E37" s="29"/>
      <c r="F37" s="28">
        <v>0</v>
      </c>
      <c r="G37" s="28">
        <v>0</v>
      </c>
      <c r="H37" s="28">
        <v>992.94299999999998</v>
      </c>
      <c r="I37" s="28">
        <v>955.64300000000003</v>
      </c>
      <c r="J37" s="28">
        <v>992.14300000000003</v>
      </c>
      <c r="K37" s="28">
        <v>1004.643</v>
      </c>
      <c r="L37" s="28">
        <v>970.54300000000001</v>
      </c>
      <c r="M37" s="28">
        <v>972.54300000000001</v>
      </c>
      <c r="N37" s="28">
        <v>992.03399999999999</v>
      </c>
      <c r="O37" s="28">
        <v>748.7</v>
      </c>
      <c r="P37" s="28">
        <v>1305.0999999999999</v>
      </c>
      <c r="Q37" s="28">
        <v>745</v>
      </c>
    </row>
    <row r="38" spans="1:17" ht="15" x14ac:dyDescent="0.25"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ht="15" x14ac:dyDescent="0.25">
      <c r="A39" s="29" t="s">
        <v>137</v>
      </c>
      <c r="B39" s="29"/>
      <c r="C39" s="29"/>
      <c r="D39" s="29"/>
      <c r="E39" s="29"/>
      <c r="F39" s="8">
        <v>6504.9960000000001</v>
      </c>
      <c r="G39" s="8">
        <v>6515.3959999999997</v>
      </c>
      <c r="H39" s="8">
        <v>6492.9470000000001</v>
      </c>
      <c r="I39" s="8">
        <v>10452.15</v>
      </c>
      <c r="J39" s="8">
        <v>10421.031999999999</v>
      </c>
      <c r="K39" s="8">
        <v>10409.870999999999</v>
      </c>
      <c r="L39" s="8">
        <v>10403.192999999999</v>
      </c>
      <c r="M39" s="8">
        <v>10382.308999999999</v>
      </c>
      <c r="N39" s="8">
        <v>10368.103999999999</v>
      </c>
      <c r="O39" s="8">
        <v>10339.875</v>
      </c>
      <c r="P39" s="8">
        <v>10318.052</v>
      </c>
      <c r="Q39" s="8">
        <v>10311</v>
      </c>
    </row>
    <row r="40" spans="1:17" x14ac:dyDescent="0.2">
      <c r="F40" s="32"/>
      <c r="G40" s="33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1:17" x14ac:dyDescent="0.2">
      <c r="A41" s="34"/>
      <c r="B41" s="35"/>
      <c r="C41" s="35"/>
    </row>
    <row r="42" spans="1:17" x14ac:dyDescent="0.2">
      <c r="A42" s="34"/>
      <c r="B42" s="35"/>
      <c r="C42" s="35"/>
    </row>
    <row r="43" spans="1:17" x14ac:dyDescent="0.2">
      <c r="A43" s="34"/>
      <c r="B43" s="35" t="s">
        <v>21</v>
      </c>
      <c r="C43" s="35"/>
      <c r="D43" s="35"/>
      <c r="E43" s="35"/>
      <c r="F43" s="35"/>
    </row>
    <row r="45" spans="1:17" x14ac:dyDescent="0.2">
      <c r="A45" s="35"/>
      <c r="B45" s="35"/>
      <c r="C45" s="35"/>
    </row>
    <row r="46" spans="1:17" x14ac:dyDescent="0.2">
      <c r="A46" s="36"/>
      <c r="B46" s="35"/>
      <c r="C46" s="35"/>
    </row>
  </sheetData>
  <mergeCells count="4">
    <mergeCell ref="A5:E5"/>
    <mergeCell ref="A1:Q1"/>
    <mergeCell ref="A2:Q2"/>
    <mergeCell ref="A3:Q3"/>
  </mergeCells>
  <printOptions horizontalCentered="1"/>
  <pageMargins left="0" right="0" top="0.45866141700000002" bottom="0.59055118110236204" header="0.261811024" footer="0.511811023622047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1EED-C570-4C8A-96D4-D3BCD97513D0}">
  <sheetPr>
    <pageSetUpPr fitToPage="1"/>
  </sheetPr>
  <dimension ref="A1:R74"/>
  <sheetViews>
    <sheetView zoomScaleNormal="100" zoomScaleSheetLayoutView="100" workbookViewId="0">
      <pane xSplit="6" ySplit="7" topLeftCell="G8" activePane="bottomRight" state="frozen"/>
      <selection activeCell="B1" sqref="B1"/>
      <selection pane="topRight" activeCell="F1" sqref="F1"/>
      <selection pane="bottomLeft" activeCell="B8" sqref="B8"/>
      <selection pane="bottomRight" activeCell="F32" sqref="F32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7.7109375" style="2" customWidth="1"/>
    <col min="7" max="7" width="12.28515625" style="2" customWidth="1"/>
    <col min="8" max="9" width="13" style="2" customWidth="1"/>
    <col min="10" max="14" width="12.42578125" style="2" customWidth="1"/>
    <col min="15" max="16" width="11.42578125" style="2" customWidth="1"/>
    <col min="17" max="18" width="11.28515625" style="2" bestFit="1" customWidth="1"/>
    <col min="19" max="16384" width="9.140625" style="2"/>
  </cols>
  <sheetData>
    <row r="1" spans="1:18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5" x14ac:dyDescent="0.2">
      <c r="A2" s="83" t="s">
        <v>228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x14ac:dyDescent="0.2">
      <c r="A3" s="2" t="s">
        <v>86</v>
      </c>
    </row>
    <row r="4" spans="1:18" ht="6" customHeight="1" x14ac:dyDescent="0.2"/>
    <row r="5" spans="1:18" ht="6" customHeight="1" x14ac:dyDescent="0.2"/>
    <row r="6" spans="1:18" s="3" customFormat="1" x14ac:dyDescent="0.2">
      <c r="A6" s="80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18</v>
      </c>
      <c r="M6" s="80" t="s">
        <v>83</v>
      </c>
      <c r="N6" s="80" t="s">
        <v>6</v>
      </c>
      <c r="O6" s="80" t="s">
        <v>81</v>
      </c>
      <c r="P6" s="80" t="s">
        <v>7</v>
      </c>
      <c r="Q6" s="80" t="s">
        <v>8</v>
      </c>
      <c r="R6" s="80" t="s">
        <v>9</v>
      </c>
    </row>
    <row r="7" spans="1:18" ht="10.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 ht="7.5" customHeight="1" thickTop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8" ht="15" x14ac:dyDescent="0.25">
      <c r="A9" s="5" t="s">
        <v>97</v>
      </c>
      <c r="B9" s="5"/>
      <c r="C9" s="5"/>
      <c r="D9" s="5"/>
      <c r="E9" s="5"/>
      <c r="F9" s="5"/>
      <c r="G9" s="8">
        <f t="shared" ref="G9:H9" si="0">G11+G64</f>
        <v>9384784.5860000011</v>
      </c>
      <c r="H9" s="8">
        <f t="shared" si="0"/>
        <v>9443006</v>
      </c>
      <c r="I9" s="8">
        <f t="shared" ref="I9:J9" si="1">I11+I64</f>
        <v>9513004</v>
      </c>
      <c r="J9" s="8">
        <f t="shared" si="1"/>
        <v>9457684.2659999989</v>
      </c>
      <c r="K9" s="8">
        <f t="shared" ref="K9:L9" si="2">K11+K64</f>
        <v>9588357.7559999991</v>
      </c>
      <c r="L9" s="8">
        <f t="shared" si="2"/>
        <v>9702672.7039999999</v>
      </c>
      <c r="M9" s="8">
        <f t="shared" ref="M9:R9" si="3">M11+M64</f>
        <v>9812210.6260000002</v>
      </c>
      <c r="N9" s="8">
        <f t="shared" si="3"/>
        <v>9790969.6500000022</v>
      </c>
      <c r="O9" s="8">
        <f t="shared" si="3"/>
        <v>9734199.0540000014</v>
      </c>
      <c r="P9" s="8">
        <f t="shared" si="3"/>
        <v>9902180.5250000022</v>
      </c>
      <c r="Q9" s="8">
        <f t="shared" si="3"/>
        <v>10024252.506999999</v>
      </c>
      <c r="R9" s="8">
        <f t="shared" si="3"/>
        <v>10017774</v>
      </c>
    </row>
    <row r="10" spans="1:18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15"/>
      <c r="R10" s="15"/>
    </row>
    <row r="11" spans="1:18" ht="15" x14ac:dyDescent="0.25">
      <c r="B11" s="5" t="s">
        <v>89</v>
      </c>
      <c r="C11" s="5"/>
      <c r="D11" s="5"/>
      <c r="E11" s="5"/>
      <c r="F11" s="5"/>
      <c r="G11" s="8">
        <f>G13+G21</f>
        <v>9384784.5860000011</v>
      </c>
      <c r="H11" s="8">
        <f t="shared" ref="H11" si="4">H13+H21</f>
        <v>9443006</v>
      </c>
      <c r="I11" s="8">
        <f t="shared" ref="I11:J11" si="5">I13+I21</f>
        <v>9513004</v>
      </c>
      <c r="J11" s="8">
        <f t="shared" si="5"/>
        <v>9457684.2659999989</v>
      </c>
      <c r="K11" s="8">
        <f t="shared" ref="K11:L11" si="6">K13+K21</f>
        <v>9588357.7559999991</v>
      </c>
      <c r="L11" s="8">
        <f t="shared" si="6"/>
        <v>9702672.7039999999</v>
      </c>
      <c r="M11" s="8">
        <f t="shared" ref="M11:R11" si="7">M13+M21</f>
        <v>9812210.6260000002</v>
      </c>
      <c r="N11" s="8">
        <f t="shared" si="7"/>
        <v>9790969.6500000022</v>
      </c>
      <c r="O11" s="8">
        <f t="shared" si="7"/>
        <v>9734199.0540000014</v>
      </c>
      <c r="P11" s="8">
        <f t="shared" si="7"/>
        <v>9902180.5250000022</v>
      </c>
      <c r="Q11" s="8">
        <f t="shared" si="7"/>
        <v>10024252.506999999</v>
      </c>
      <c r="R11" s="8">
        <f t="shared" si="7"/>
        <v>10017774</v>
      </c>
    </row>
    <row r="12" spans="1:18" ht="15" x14ac:dyDescent="0.25">
      <c r="B12" s="5"/>
      <c r="C12" s="5"/>
      <c r="D12" s="5"/>
      <c r="E12" s="5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" x14ac:dyDescent="0.25">
      <c r="B13" s="9"/>
      <c r="C13" s="9" t="s">
        <v>90</v>
      </c>
      <c r="F13" s="9"/>
      <c r="G13" s="8">
        <f t="shared" ref="G13:L13" si="8">SUM(G14:G19)</f>
        <v>427986.3</v>
      </c>
      <c r="H13" s="8">
        <f t="shared" si="8"/>
        <v>433536</v>
      </c>
      <c r="I13" s="8">
        <f t="shared" si="8"/>
        <v>444581</v>
      </c>
      <c r="J13" s="8">
        <f t="shared" si="8"/>
        <v>446233</v>
      </c>
      <c r="K13" s="8">
        <f t="shared" si="8"/>
        <v>478025</v>
      </c>
      <c r="L13" s="8">
        <f t="shared" si="8"/>
        <v>496945</v>
      </c>
      <c r="M13" s="8">
        <f t="shared" ref="M13:R13" si="9">SUM(M14:M19)</f>
        <v>499064</v>
      </c>
      <c r="N13" s="8">
        <f t="shared" si="9"/>
        <v>506203</v>
      </c>
      <c r="O13" s="8">
        <f t="shared" si="9"/>
        <v>537206</v>
      </c>
      <c r="P13" s="8">
        <f t="shared" si="9"/>
        <v>545058.30000000005</v>
      </c>
      <c r="Q13" s="8">
        <f t="shared" si="9"/>
        <v>556078</v>
      </c>
      <c r="R13" s="8">
        <f t="shared" si="9"/>
        <v>529892</v>
      </c>
    </row>
    <row r="14" spans="1:18" x14ac:dyDescent="0.2">
      <c r="F14" s="2" t="s">
        <v>76</v>
      </c>
      <c r="G14" s="10">
        <v>174568.3</v>
      </c>
      <c r="H14" s="10">
        <v>174568</v>
      </c>
      <c r="I14" s="10">
        <v>174568</v>
      </c>
      <c r="J14" s="10">
        <v>174568</v>
      </c>
      <c r="K14" s="10">
        <v>174568</v>
      </c>
      <c r="L14" s="10">
        <v>174568</v>
      </c>
      <c r="M14" s="10">
        <v>174568</v>
      </c>
      <c r="N14" s="10">
        <v>174568</v>
      </c>
      <c r="O14" s="10">
        <v>174568</v>
      </c>
      <c r="P14" s="10">
        <v>169568.3</v>
      </c>
      <c r="Q14" s="16">
        <v>174568</v>
      </c>
      <c r="R14" s="16">
        <v>174568</v>
      </c>
    </row>
    <row r="15" spans="1:18" x14ac:dyDescent="0.2">
      <c r="F15" s="11" t="s">
        <v>104</v>
      </c>
      <c r="G15" s="10">
        <v>42100</v>
      </c>
      <c r="H15" s="10">
        <v>48550</v>
      </c>
      <c r="I15" s="10">
        <v>48745</v>
      </c>
      <c r="J15" s="10">
        <v>42452</v>
      </c>
      <c r="K15" s="10">
        <v>43877</v>
      </c>
      <c r="L15" s="10">
        <v>50548</v>
      </c>
      <c r="M15" s="10">
        <v>54795</v>
      </c>
      <c r="N15" s="10">
        <v>58420</v>
      </c>
      <c r="O15" s="10">
        <v>61554</v>
      </c>
      <c r="P15" s="10">
        <v>57025</v>
      </c>
      <c r="Q15" s="16">
        <v>56425</v>
      </c>
      <c r="R15" s="16">
        <v>40625</v>
      </c>
    </row>
    <row r="16" spans="1:18" x14ac:dyDescent="0.2">
      <c r="F16" s="11" t="s">
        <v>105</v>
      </c>
      <c r="G16" s="10">
        <v>70982</v>
      </c>
      <c r="H16" s="10">
        <v>70082</v>
      </c>
      <c r="I16" s="10">
        <v>73176</v>
      </c>
      <c r="J16" s="10">
        <v>82167</v>
      </c>
      <c r="K16" s="10">
        <v>90147</v>
      </c>
      <c r="L16" s="10">
        <v>103918</v>
      </c>
      <c r="M16" s="10">
        <v>101588</v>
      </c>
      <c r="N16" s="10">
        <v>99468</v>
      </c>
      <c r="O16" s="10">
        <v>107337</v>
      </c>
      <c r="P16" s="10">
        <v>110531</v>
      </c>
      <c r="Q16" s="16">
        <v>108951</v>
      </c>
      <c r="R16" s="16">
        <v>95580</v>
      </c>
    </row>
    <row r="17" spans="2:18" x14ac:dyDescent="0.2">
      <c r="F17" s="11" t="s">
        <v>106</v>
      </c>
      <c r="G17" s="10">
        <v>130817</v>
      </c>
      <c r="H17" s="10">
        <v>130817</v>
      </c>
      <c r="I17" s="10">
        <v>148092</v>
      </c>
      <c r="J17" s="10">
        <v>147046</v>
      </c>
      <c r="K17" s="10">
        <v>169433</v>
      </c>
      <c r="L17" s="10">
        <v>167911</v>
      </c>
      <c r="M17" s="10">
        <v>168113</v>
      </c>
      <c r="N17" s="10">
        <v>173747</v>
      </c>
      <c r="O17" s="10">
        <v>193747</v>
      </c>
      <c r="P17" s="10">
        <v>207934</v>
      </c>
      <c r="Q17" s="16">
        <v>216134</v>
      </c>
      <c r="R17" s="16">
        <v>219119</v>
      </c>
    </row>
    <row r="18" spans="2:18" x14ac:dyDescent="0.2">
      <c r="F18" s="2" t="s">
        <v>98</v>
      </c>
      <c r="G18" s="10">
        <v>9519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6">
        <v>0</v>
      </c>
      <c r="R18" s="16">
        <v>0</v>
      </c>
    </row>
    <row r="19" spans="2:18" x14ac:dyDescent="0.2">
      <c r="F19" s="2" t="s">
        <v>99</v>
      </c>
      <c r="G19" s="10">
        <v>0</v>
      </c>
      <c r="H19" s="10">
        <v>9519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6">
        <v>0</v>
      </c>
      <c r="R19" s="16">
        <v>0</v>
      </c>
    </row>
    <row r="20" spans="2:18" x14ac:dyDescent="0.2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6"/>
    </row>
    <row r="21" spans="2:18" ht="15" x14ac:dyDescent="0.25">
      <c r="B21" s="9"/>
      <c r="C21" s="9" t="s">
        <v>88</v>
      </c>
      <c r="F21" s="9"/>
      <c r="G21" s="12">
        <f t="shared" ref="G21:H21" si="10">G22+G34</f>
        <v>8956798.2860000003</v>
      </c>
      <c r="H21" s="12">
        <f t="shared" si="10"/>
        <v>9009470</v>
      </c>
      <c r="I21" s="12">
        <f t="shared" ref="I21:J21" si="11">I22+I34</f>
        <v>9068423</v>
      </c>
      <c r="J21" s="12">
        <f t="shared" si="11"/>
        <v>9011451.2659999989</v>
      </c>
      <c r="K21" s="12">
        <f t="shared" ref="K21:L21" si="12">K22+K34</f>
        <v>9110332.7559999991</v>
      </c>
      <c r="L21" s="12">
        <f t="shared" si="12"/>
        <v>9205727.7039999999</v>
      </c>
      <c r="M21" s="12">
        <f t="shared" ref="M21:R21" si="13">M22+M34</f>
        <v>9313146.6260000002</v>
      </c>
      <c r="N21" s="12">
        <f t="shared" si="13"/>
        <v>9284766.6500000022</v>
      </c>
      <c r="O21" s="12">
        <f t="shared" si="13"/>
        <v>9196993.0540000014</v>
      </c>
      <c r="P21" s="12">
        <f t="shared" si="13"/>
        <v>9357122.2250000015</v>
      </c>
      <c r="Q21" s="42">
        <f t="shared" si="13"/>
        <v>9468174.5069999993</v>
      </c>
      <c r="R21" s="42">
        <f t="shared" si="13"/>
        <v>9487882</v>
      </c>
    </row>
    <row r="22" spans="2:18" ht="15" x14ac:dyDescent="0.25">
      <c r="B22" s="9"/>
      <c r="C22" s="9"/>
      <c r="D22" s="9" t="s">
        <v>91</v>
      </c>
      <c r="E22" s="9"/>
      <c r="G22" s="12">
        <f t="shared" ref="G22:H22" si="14">SUM(G23:G32)</f>
        <v>4326738.2860000003</v>
      </c>
      <c r="H22" s="12">
        <f t="shared" si="14"/>
        <v>4360478</v>
      </c>
      <c r="I22" s="12">
        <f t="shared" ref="I22" si="15">SUM(I23:I32)</f>
        <v>4422375</v>
      </c>
      <c r="J22" s="12">
        <f t="shared" ref="J22:P22" si="16">SUM(J23:J32)</f>
        <v>4363016</v>
      </c>
      <c r="K22" s="12">
        <f t="shared" si="16"/>
        <v>4460424.5539999995</v>
      </c>
      <c r="L22" s="12">
        <f t="shared" si="16"/>
        <v>4585424.9649999999</v>
      </c>
      <c r="M22" s="12">
        <f t="shared" si="16"/>
        <v>4693803.9649999999</v>
      </c>
      <c r="N22" s="12">
        <f t="shared" si="16"/>
        <v>4804038.9649999999</v>
      </c>
      <c r="O22" s="12">
        <f t="shared" si="16"/>
        <v>4716219.9649999999</v>
      </c>
      <c r="P22" s="12">
        <f t="shared" si="16"/>
        <v>4804491.8790000007</v>
      </c>
      <c r="Q22" s="42">
        <f t="shared" ref="Q22:R22" si="17">SUM(Q23:Q32)</f>
        <v>4904491</v>
      </c>
      <c r="R22" s="42">
        <f t="shared" si="17"/>
        <v>4924491</v>
      </c>
    </row>
    <row r="23" spans="2:18" x14ac:dyDescent="0.2">
      <c r="F23" s="2" t="s">
        <v>22</v>
      </c>
      <c r="G23" s="10">
        <v>218979</v>
      </c>
      <c r="H23" s="10">
        <v>218979</v>
      </c>
      <c r="I23" s="10">
        <v>218979</v>
      </c>
      <c r="J23" s="10">
        <v>218979</v>
      </c>
      <c r="K23" s="10">
        <v>218979</v>
      </c>
      <c r="L23" s="10">
        <v>218979</v>
      </c>
      <c r="M23" s="10">
        <v>218979</v>
      </c>
      <c r="N23" s="10">
        <v>218979</v>
      </c>
      <c r="O23" s="10">
        <v>91283</v>
      </c>
      <c r="P23" s="10">
        <v>91283</v>
      </c>
      <c r="Q23" s="16">
        <v>91283</v>
      </c>
      <c r="R23" s="16">
        <v>91283</v>
      </c>
    </row>
    <row r="24" spans="2:18" x14ac:dyDescent="0.2">
      <c r="F24" s="2" t="s">
        <v>146</v>
      </c>
      <c r="G24" s="10">
        <v>45000</v>
      </c>
      <c r="H24" s="10">
        <v>45000</v>
      </c>
      <c r="I24" s="10">
        <v>45000</v>
      </c>
      <c r="J24" s="10">
        <v>45000</v>
      </c>
      <c r="K24" s="10">
        <v>45000</v>
      </c>
      <c r="L24" s="10">
        <v>45000</v>
      </c>
      <c r="M24" s="10">
        <v>45000</v>
      </c>
      <c r="N24" s="10">
        <v>45000</v>
      </c>
      <c r="O24" s="10">
        <v>45000</v>
      </c>
      <c r="P24" s="10">
        <v>45000</v>
      </c>
      <c r="Q24" s="16">
        <v>45000</v>
      </c>
      <c r="R24" s="16">
        <v>45000</v>
      </c>
    </row>
    <row r="25" spans="2:18" x14ac:dyDescent="0.2">
      <c r="F25" s="2" t="s">
        <v>14</v>
      </c>
      <c r="G25" s="10">
        <v>478967</v>
      </c>
      <c r="H25" s="10">
        <v>475291</v>
      </c>
      <c r="I25" s="10">
        <v>402188</v>
      </c>
      <c r="J25" s="10">
        <v>402188</v>
      </c>
      <c r="K25" s="10">
        <v>402188</v>
      </c>
      <c r="L25" s="10">
        <v>402188</v>
      </c>
      <c r="M25" s="10">
        <v>402188</v>
      </c>
      <c r="N25" s="10">
        <v>402188</v>
      </c>
      <c r="O25" s="10">
        <v>402188</v>
      </c>
      <c r="P25" s="10">
        <v>402188</v>
      </c>
      <c r="Q25" s="16">
        <v>402188</v>
      </c>
      <c r="R25" s="16">
        <v>402188</v>
      </c>
    </row>
    <row r="26" spans="2:18" x14ac:dyDescent="0.2">
      <c r="F26" s="2" t="s">
        <v>15</v>
      </c>
      <c r="G26" s="10">
        <v>1214195</v>
      </c>
      <c r="H26" s="10">
        <v>1186257</v>
      </c>
      <c r="I26" s="10">
        <v>1246257</v>
      </c>
      <c r="J26" s="10">
        <v>1142423</v>
      </c>
      <c r="K26" s="10">
        <v>1167423</v>
      </c>
      <c r="L26" s="10">
        <v>1192423</v>
      </c>
      <c r="M26" s="10">
        <v>1247216</v>
      </c>
      <c r="N26" s="10">
        <v>1270845</v>
      </c>
      <c r="O26" s="10">
        <v>1280722</v>
      </c>
      <c r="P26" s="10">
        <v>1310722</v>
      </c>
      <c r="Q26" s="16">
        <v>1360722</v>
      </c>
      <c r="R26" s="16">
        <v>1360722</v>
      </c>
    </row>
    <row r="27" spans="2:18" x14ac:dyDescent="0.2">
      <c r="F27" s="2" t="s">
        <v>20</v>
      </c>
      <c r="G27" s="10">
        <v>1391643</v>
      </c>
      <c r="H27" s="10">
        <v>1426643</v>
      </c>
      <c r="I27" s="10">
        <v>1451643</v>
      </c>
      <c r="J27" s="10">
        <v>1476643</v>
      </c>
      <c r="K27" s="10">
        <v>1526643</v>
      </c>
      <c r="L27" s="10">
        <v>1601643</v>
      </c>
      <c r="M27" s="10">
        <v>1625229</v>
      </c>
      <c r="N27" s="10">
        <v>1711835</v>
      </c>
      <c r="O27" s="10">
        <v>1741835</v>
      </c>
      <c r="P27" s="10">
        <v>1801835</v>
      </c>
      <c r="Q27" s="16">
        <v>1831835</v>
      </c>
      <c r="R27" s="16">
        <v>1851835</v>
      </c>
    </row>
    <row r="28" spans="2:18" x14ac:dyDescent="0.2">
      <c r="F28" s="2" t="s">
        <v>223</v>
      </c>
      <c r="G28" s="10">
        <v>0</v>
      </c>
      <c r="H28" s="10">
        <v>0</v>
      </c>
      <c r="I28" s="10">
        <v>0</v>
      </c>
      <c r="J28" s="10">
        <v>19475</v>
      </c>
      <c r="K28" s="10">
        <v>44475</v>
      </c>
      <c r="L28" s="10">
        <v>44475</v>
      </c>
      <c r="M28" s="10">
        <v>44475</v>
      </c>
      <c r="N28" s="10">
        <v>44475</v>
      </c>
      <c r="O28" s="10">
        <v>44475</v>
      </c>
      <c r="P28" s="10">
        <v>44475</v>
      </c>
      <c r="Q28" s="16">
        <v>44475</v>
      </c>
      <c r="R28" s="16">
        <v>44475</v>
      </c>
    </row>
    <row r="29" spans="2:18" x14ac:dyDescent="0.2">
      <c r="F29" s="2" t="s">
        <v>224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30000</v>
      </c>
      <c r="N29" s="10">
        <v>30000</v>
      </c>
      <c r="O29" s="10">
        <v>30000</v>
      </c>
      <c r="P29" s="10">
        <v>30000</v>
      </c>
      <c r="Q29" s="16">
        <v>30000</v>
      </c>
      <c r="R29" s="16">
        <v>30000</v>
      </c>
    </row>
    <row r="30" spans="2:18" x14ac:dyDescent="0.2">
      <c r="F30" s="2" t="s">
        <v>46</v>
      </c>
      <c r="G30" s="10">
        <v>600736.28599999996</v>
      </c>
      <c r="H30" s="10">
        <v>596090</v>
      </c>
      <c r="I30" s="10">
        <v>621090</v>
      </c>
      <c r="J30" s="10">
        <v>621090</v>
      </c>
      <c r="K30" s="10">
        <v>618498.554</v>
      </c>
      <c r="L30" s="10">
        <v>643498.554</v>
      </c>
      <c r="M30" s="10">
        <v>643498.554</v>
      </c>
      <c r="N30" s="10">
        <v>643498.554</v>
      </c>
      <c r="O30" s="10">
        <v>643498.554</v>
      </c>
      <c r="P30" s="10">
        <v>641770.46799999999</v>
      </c>
      <c r="Q30" s="16">
        <v>661770</v>
      </c>
      <c r="R30" s="16">
        <v>661770</v>
      </c>
    </row>
    <row r="31" spans="2:18" x14ac:dyDescent="0.2">
      <c r="F31" s="2" t="s">
        <v>47</v>
      </c>
      <c r="G31" s="10">
        <v>377121</v>
      </c>
      <c r="H31" s="10">
        <v>412121</v>
      </c>
      <c r="I31" s="10">
        <v>437121</v>
      </c>
      <c r="J31" s="10">
        <v>437121</v>
      </c>
      <c r="K31" s="10">
        <v>437121</v>
      </c>
      <c r="L31" s="10">
        <v>437121.41100000002</v>
      </c>
      <c r="M31" s="10">
        <v>437121.41100000002</v>
      </c>
      <c r="N31" s="10">
        <v>437121.41100000002</v>
      </c>
      <c r="O31" s="10">
        <v>437121.41100000002</v>
      </c>
      <c r="P31" s="10">
        <v>437121.41100000002</v>
      </c>
      <c r="Q31" s="16">
        <v>437121</v>
      </c>
      <c r="R31" s="16">
        <v>437121</v>
      </c>
    </row>
    <row r="32" spans="2:18" x14ac:dyDescent="0.2">
      <c r="F32" s="2" t="s">
        <v>53</v>
      </c>
      <c r="G32" s="10">
        <v>97</v>
      </c>
      <c r="H32" s="10">
        <v>97</v>
      </c>
      <c r="I32" s="10">
        <v>97</v>
      </c>
      <c r="J32" s="10">
        <v>97</v>
      </c>
      <c r="K32" s="10">
        <v>97</v>
      </c>
      <c r="L32" s="10">
        <v>97</v>
      </c>
      <c r="M32" s="10">
        <v>97</v>
      </c>
      <c r="N32" s="10">
        <v>97</v>
      </c>
      <c r="O32" s="10">
        <v>97</v>
      </c>
      <c r="P32" s="10">
        <v>97</v>
      </c>
      <c r="Q32" s="16">
        <v>97</v>
      </c>
      <c r="R32" s="16">
        <v>97</v>
      </c>
    </row>
    <row r="33" spans="1:18" x14ac:dyDescent="0.2"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6"/>
    </row>
    <row r="34" spans="1:18" ht="15" x14ac:dyDescent="0.25">
      <c r="B34" s="9"/>
      <c r="D34" s="9" t="s">
        <v>92</v>
      </c>
      <c r="E34" s="9"/>
      <c r="G34" s="8">
        <f t="shared" ref="G34:H34" si="18">G35+G44+G49+G51+G53+G56</f>
        <v>4630060</v>
      </c>
      <c r="H34" s="8">
        <f t="shared" si="18"/>
        <v>4648992</v>
      </c>
      <c r="I34" s="8">
        <f t="shared" ref="I34:J34" si="19">I35+I44+I49+I51+I53+I56</f>
        <v>4646048</v>
      </c>
      <c r="J34" s="8">
        <f t="shared" si="19"/>
        <v>4648435.2659999998</v>
      </c>
      <c r="K34" s="8">
        <f t="shared" ref="K34:L34" si="20">K35+K44+K49+K51+K53+K56</f>
        <v>4649908.2019999996</v>
      </c>
      <c r="L34" s="8">
        <f t="shared" si="20"/>
        <v>4620302.7390000001</v>
      </c>
      <c r="M34" s="8">
        <f>M35+M44+M49+M51+M53+M56</f>
        <v>4619342.6610000003</v>
      </c>
      <c r="N34" s="8">
        <f>N35+N44+N49+N51+N53+N56</f>
        <v>4480727.6850000015</v>
      </c>
      <c r="O34" s="8">
        <f>O35+O44+O49+O51+O53+O56</f>
        <v>4480773.0890000006</v>
      </c>
      <c r="P34" s="8">
        <f>P35+P44+P49+P51+P53+P56</f>
        <v>4552630.3460000008</v>
      </c>
      <c r="Q34" s="8">
        <f>Q35+Q44+Q49+Q51+Q53+Q56+Q61</f>
        <v>4563683.5070000002</v>
      </c>
      <c r="R34" s="8">
        <f>R35+R44+R49+R51+R53+R56+R61</f>
        <v>4563391</v>
      </c>
    </row>
    <row r="35" spans="1:18" ht="15" x14ac:dyDescent="0.25">
      <c r="B35" s="9"/>
      <c r="C35" s="9"/>
      <c r="E35" s="9" t="s">
        <v>34</v>
      </c>
      <c r="G35" s="12">
        <f t="shared" ref="G35:L35" si="21">SUM(G36:G42)</f>
        <v>3370077</v>
      </c>
      <c r="H35" s="12">
        <f t="shared" si="21"/>
        <v>3386783</v>
      </c>
      <c r="I35" s="12">
        <f t="shared" si="21"/>
        <v>3386783</v>
      </c>
      <c r="J35" s="12">
        <f t="shared" si="21"/>
        <v>3386783</v>
      </c>
      <c r="K35" s="12">
        <f t="shared" si="21"/>
        <v>3386783</v>
      </c>
      <c r="L35" s="12">
        <f t="shared" si="21"/>
        <v>3386782.8950000005</v>
      </c>
      <c r="M35" s="12">
        <f t="shared" ref="M35:R35" si="22">SUM(M36:M42)</f>
        <v>3386782.8950000005</v>
      </c>
      <c r="N35" s="12">
        <f t="shared" si="22"/>
        <v>3245360.0200000005</v>
      </c>
      <c r="O35" s="12">
        <f t="shared" si="22"/>
        <v>3245360.0200000005</v>
      </c>
      <c r="P35" s="12">
        <f t="shared" si="22"/>
        <v>3245360.0200000005</v>
      </c>
      <c r="Q35" s="12">
        <f t="shared" si="22"/>
        <v>3245360.0200000005</v>
      </c>
      <c r="R35" s="12">
        <f t="shared" si="22"/>
        <v>3245361</v>
      </c>
    </row>
    <row r="36" spans="1:18" x14ac:dyDescent="0.2">
      <c r="F36" s="2" t="s">
        <v>68</v>
      </c>
      <c r="G36" s="10">
        <v>730380</v>
      </c>
      <c r="H36" s="10">
        <v>463322</v>
      </c>
      <c r="I36" s="10">
        <v>463322</v>
      </c>
      <c r="J36" s="10">
        <v>463322</v>
      </c>
      <c r="K36" s="10">
        <v>463322</v>
      </c>
      <c r="L36" s="10">
        <v>463321.66700000002</v>
      </c>
      <c r="M36" s="10">
        <v>463321.66700000002</v>
      </c>
      <c r="N36" s="10">
        <v>463321.66700000002</v>
      </c>
      <c r="O36" s="10">
        <v>463321.66700000002</v>
      </c>
      <c r="P36" s="10">
        <v>463321.66700000002</v>
      </c>
      <c r="Q36" s="10">
        <v>463321.66700000002</v>
      </c>
      <c r="R36" s="16">
        <v>463322</v>
      </c>
    </row>
    <row r="37" spans="1:18" x14ac:dyDescent="0.2">
      <c r="F37" s="2" t="s">
        <v>27</v>
      </c>
      <c r="G37" s="10">
        <v>1210056</v>
      </c>
      <c r="H37" s="10">
        <v>1210056</v>
      </c>
      <c r="I37" s="10">
        <v>1210056</v>
      </c>
      <c r="J37" s="10">
        <v>1210056</v>
      </c>
      <c r="K37" s="10">
        <v>1210056</v>
      </c>
      <c r="L37" s="10">
        <v>1210056.0930000001</v>
      </c>
      <c r="M37" s="10">
        <v>1210056.0930000001</v>
      </c>
      <c r="N37" s="10">
        <v>1210056.0930000001</v>
      </c>
      <c r="O37" s="10">
        <v>1210056.0930000001</v>
      </c>
      <c r="P37" s="10">
        <v>1210056.0930000001</v>
      </c>
      <c r="Q37" s="10">
        <v>1210056.0930000001</v>
      </c>
      <c r="R37" s="16">
        <v>1210056</v>
      </c>
    </row>
    <row r="38" spans="1:18" x14ac:dyDescent="0.2">
      <c r="F38" s="2" t="s">
        <v>145</v>
      </c>
      <c r="G38" s="10">
        <v>780474</v>
      </c>
      <c r="H38" s="10">
        <v>1064238</v>
      </c>
      <c r="I38" s="10">
        <v>1064238</v>
      </c>
      <c r="J38" s="10">
        <v>1064238</v>
      </c>
      <c r="K38" s="10">
        <v>1064238</v>
      </c>
      <c r="L38" s="10">
        <v>1064238</v>
      </c>
      <c r="M38" s="10">
        <v>1064238</v>
      </c>
      <c r="N38" s="10">
        <v>1064237.6459999999</v>
      </c>
      <c r="O38" s="10">
        <v>1064237.6459999999</v>
      </c>
      <c r="P38" s="10">
        <v>1064237.6459999999</v>
      </c>
      <c r="Q38" s="10">
        <v>1064237.6459999999</v>
      </c>
      <c r="R38" s="16">
        <v>1064238</v>
      </c>
    </row>
    <row r="39" spans="1:18" x14ac:dyDescent="0.2">
      <c r="F39" s="2" t="s">
        <v>67</v>
      </c>
      <c r="G39" s="10">
        <v>241548</v>
      </c>
      <c r="H39" s="10">
        <v>241548</v>
      </c>
      <c r="I39" s="10">
        <v>241548</v>
      </c>
      <c r="J39" s="10">
        <v>241548</v>
      </c>
      <c r="K39" s="10">
        <v>241548</v>
      </c>
      <c r="L39" s="10">
        <v>241548.231</v>
      </c>
      <c r="M39" s="10">
        <v>241548.231</v>
      </c>
      <c r="N39" s="10">
        <v>100125.71</v>
      </c>
      <c r="O39" s="10">
        <v>100125.71</v>
      </c>
      <c r="P39" s="10">
        <v>100125.71</v>
      </c>
      <c r="Q39" s="10">
        <v>100125.71</v>
      </c>
      <c r="R39" s="16">
        <v>100126</v>
      </c>
    </row>
    <row r="40" spans="1:18" x14ac:dyDescent="0.2">
      <c r="F40" s="2" t="s">
        <v>66</v>
      </c>
      <c r="G40" s="10">
        <v>95805</v>
      </c>
      <c r="H40" s="10">
        <v>95805</v>
      </c>
      <c r="I40" s="10">
        <v>95805</v>
      </c>
      <c r="J40" s="10">
        <v>95805</v>
      </c>
      <c r="K40" s="10">
        <v>95805</v>
      </c>
      <c r="L40" s="10">
        <v>95805.236999999994</v>
      </c>
      <c r="M40" s="10">
        <v>95805.236999999994</v>
      </c>
      <c r="N40" s="10">
        <v>95805.236999999994</v>
      </c>
      <c r="O40" s="10">
        <v>95805.236999999994</v>
      </c>
      <c r="P40" s="10">
        <v>95805.236999999994</v>
      </c>
      <c r="Q40" s="10">
        <v>95805.236999999994</v>
      </c>
      <c r="R40" s="16">
        <v>95805</v>
      </c>
    </row>
    <row r="41" spans="1:18" x14ac:dyDescent="0.2">
      <c r="F41" s="2" t="s">
        <v>72</v>
      </c>
      <c r="G41" s="10">
        <v>132682</v>
      </c>
      <c r="H41" s="10">
        <v>132682</v>
      </c>
      <c r="I41" s="10">
        <v>132682</v>
      </c>
      <c r="J41" s="10">
        <v>132682</v>
      </c>
      <c r="K41" s="10">
        <v>132682</v>
      </c>
      <c r="L41" s="10">
        <v>132682.04300000001</v>
      </c>
      <c r="M41" s="10">
        <v>132682.04300000001</v>
      </c>
      <c r="N41" s="10">
        <v>132682.04300000001</v>
      </c>
      <c r="O41" s="10">
        <v>132682.04300000001</v>
      </c>
      <c r="P41" s="10">
        <v>132682.04300000001</v>
      </c>
      <c r="Q41" s="10">
        <v>132682.04300000001</v>
      </c>
      <c r="R41" s="16">
        <v>132682</v>
      </c>
    </row>
    <row r="42" spans="1:18" x14ac:dyDescent="0.2">
      <c r="F42" s="2" t="s">
        <v>73</v>
      </c>
      <c r="G42" s="10">
        <v>179132</v>
      </c>
      <c r="H42" s="10">
        <v>179132</v>
      </c>
      <c r="I42" s="10">
        <v>179132</v>
      </c>
      <c r="J42" s="10">
        <v>179132</v>
      </c>
      <c r="K42" s="10">
        <v>179132</v>
      </c>
      <c r="L42" s="10">
        <v>179131.62400000001</v>
      </c>
      <c r="M42" s="10">
        <v>179131.62400000001</v>
      </c>
      <c r="N42" s="10">
        <v>179131.62400000001</v>
      </c>
      <c r="O42" s="10">
        <v>179131.62400000001</v>
      </c>
      <c r="P42" s="10">
        <v>179131.62400000001</v>
      </c>
      <c r="Q42" s="10">
        <v>179131.62400000001</v>
      </c>
      <c r="R42" s="16">
        <v>179132</v>
      </c>
    </row>
    <row r="43" spans="1:18" x14ac:dyDescent="0.2"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6"/>
    </row>
    <row r="44" spans="1:18" ht="15" x14ac:dyDescent="0.25">
      <c r="C44" s="13"/>
      <c r="D44" s="9"/>
      <c r="E44" s="9" t="s">
        <v>93</v>
      </c>
      <c r="G44" s="12">
        <f t="shared" ref="G44:H44" si="23">SUM(G45:G47)</f>
        <v>1089748</v>
      </c>
      <c r="H44" s="12">
        <f t="shared" si="23"/>
        <v>1089748</v>
      </c>
      <c r="I44" s="12">
        <f t="shared" ref="I44" si="24">SUM(I45:I47)</f>
        <v>1089748</v>
      </c>
      <c r="J44" s="12">
        <f t="shared" ref="J44:R44" si="25">SUM(J45:J47)</f>
        <v>1089748</v>
      </c>
      <c r="K44" s="12">
        <f t="shared" si="25"/>
        <v>1089748</v>
      </c>
      <c r="L44" s="12">
        <f t="shared" si="25"/>
        <v>1089747.547</v>
      </c>
      <c r="M44" s="12">
        <f t="shared" si="25"/>
        <v>1089747.547</v>
      </c>
      <c r="N44" s="12">
        <f t="shared" si="25"/>
        <v>1089747.547</v>
      </c>
      <c r="O44" s="12">
        <f t="shared" si="25"/>
        <v>1089747.547</v>
      </c>
      <c r="P44" s="12">
        <f t="shared" si="25"/>
        <v>1089747.547</v>
      </c>
      <c r="Q44" s="42">
        <f t="shared" si="25"/>
        <v>1089748</v>
      </c>
      <c r="R44" s="42">
        <f t="shared" si="25"/>
        <v>1089748</v>
      </c>
    </row>
    <row r="45" spans="1:18" ht="15" x14ac:dyDescent="0.25">
      <c r="A45" s="9"/>
      <c r="B45" s="9"/>
      <c r="C45" s="9"/>
      <c r="F45" s="2" t="s">
        <v>62</v>
      </c>
      <c r="G45" s="10">
        <v>408136</v>
      </c>
      <c r="H45" s="10">
        <v>408136</v>
      </c>
      <c r="I45" s="10">
        <v>408136</v>
      </c>
      <c r="J45" s="10">
        <v>408136</v>
      </c>
      <c r="K45" s="10">
        <v>408136</v>
      </c>
      <c r="L45" s="10">
        <v>408135.85399999999</v>
      </c>
      <c r="M45" s="10">
        <v>408135.85399999999</v>
      </c>
      <c r="N45" s="10">
        <v>408135.85399999999</v>
      </c>
      <c r="O45" s="10">
        <v>408135.85399999999</v>
      </c>
      <c r="P45" s="10">
        <v>408135.85399999999</v>
      </c>
      <c r="Q45" s="16">
        <v>408136</v>
      </c>
      <c r="R45" s="16">
        <v>408136</v>
      </c>
    </row>
    <row r="46" spans="1:18" ht="15" x14ac:dyDescent="0.25">
      <c r="A46" s="9"/>
      <c r="B46" s="9"/>
      <c r="C46" s="9"/>
      <c r="F46" s="2" t="s">
        <v>16</v>
      </c>
      <c r="G46" s="10">
        <v>255837</v>
      </c>
      <c r="H46" s="10">
        <v>255837</v>
      </c>
      <c r="I46" s="10">
        <v>255837</v>
      </c>
      <c r="J46" s="10">
        <v>255837</v>
      </c>
      <c r="K46" s="10">
        <v>255837</v>
      </c>
      <c r="L46" s="10">
        <v>255837.15299999999</v>
      </c>
      <c r="M46" s="10">
        <v>255837.15299999999</v>
      </c>
      <c r="N46" s="10">
        <v>255837.15299999999</v>
      </c>
      <c r="O46" s="10">
        <v>255837.15299999999</v>
      </c>
      <c r="P46" s="10">
        <v>255837.15299999999</v>
      </c>
      <c r="Q46" s="16">
        <v>255837</v>
      </c>
      <c r="R46" s="16">
        <v>255837</v>
      </c>
    </row>
    <row r="47" spans="1:18" ht="15" x14ac:dyDescent="0.25">
      <c r="A47" s="9"/>
      <c r="B47" s="9"/>
      <c r="C47" s="9"/>
      <c r="F47" s="2" t="s">
        <v>19</v>
      </c>
      <c r="G47" s="10">
        <v>425775</v>
      </c>
      <c r="H47" s="10">
        <v>425775</v>
      </c>
      <c r="I47" s="10">
        <v>425775</v>
      </c>
      <c r="J47" s="10">
        <v>425775</v>
      </c>
      <c r="K47" s="10">
        <v>425775</v>
      </c>
      <c r="L47" s="10">
        <v>425774.54</v>
      </c>
      <c r="M47" s="10">
        <v>425774.54</v>
      </c>
      <c r="N47" s="10">
        <v>425774.54</v>
      </c>
      <c r="O47" s="10">
        <v>425774.54</v>
      </c>
      <c r="P47" s="10">
        <v>425774.54</v>
      </c>
      <c r="Q47" s="16">
        <v>425775</v>
      </c>
      <c r="R47" s="16">
        <v>425775</v>
      </c>
    </row>
    <row r="48" spans="1:18" ht="15" x14ac:dyDescent="0.25">
      <c r="A48" s="9"/>
      <c r="B48" s="9"/>
      <c r="C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6"/>
    </row>
    <row r="49" spans="1:18" ht="15" x14ac:dyDescent="0.25">
      <c r="A49" s="9"/>
      <c r="B49" s="9"/>
      <c r="D49" s="9"/>
      <c r="E49" s="9" t="s">
        <v>94</v>
      </c>
      <c r="F49" s="9"/>
      <c r="G49" s="14">
        <v>50000</v>
      </c>
      <c r="H49" s="14">
        <v>50000</v>
      </c>
      <c r="I49" s="14">
        <v>50000</v>
      </c>
      <c r="J49" s="14">
        <v>50000</v>
      </c>
      <c r="K49" s="14">
        <v>50000</v>
      </c>
      <c r="L49" s="14">
        <v>50000</v>
      </c>
      <c r="M49" s="14">
        <v>50000</v>
      </c>
      <c r="N49" s="14">
        <v>50000</v>
      </c>
      <c r="O49" s="14">
        <v>50000</v>
      </c>
      <c r="P49" s="14">
        <v>50000</v>
      </c>
      <c r="Q49" s="14">
        <v>50000</v>
      </c>
      <c r="R49" s="14">
        <v>50000</v>
      </c>
    </row>
    <row r="50" spans="1:18" ht="15" x14ac:dyDescent="0.25">
      <c r="A50" s="9"/>
      <c r="B50" s="9"/>
      <c r="C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6"/>
    </row>
    <row r="51" spans="1:18" ht="15" x14ac:dyDescent="0.25">
      <c r="A51" s="9"/>
      <c r="B51" s="9"/>
      <c r="D51" s="9"/>
      <c r="E51" s="9" t="s">
        <v>95</v>
      </c>
      <c r="F51" s="9"/>
      <c r="G51" s="14">
        <v>5994</v>
      </c>
      <c r="H51" s="14">
        <v>5882</v>
      </c>
      <c r="I51" s="14">
        <v>5805</v>
      </c>
      <c r="J51" s="14">
        <v>5724.5739999999996</v>
      </c>
      <c r="K51" s="14">
        <v>5639.982</v>
      </c>
      <c r="L51" s="14">
        <v>5546.652</v>
      </c>
      <c r="M51" s="14">
        <v>5437.4709999999995</v>
      </c>
      <c r="N51" s="14">
        <v>5350.0870000000004</v>
      </c>
      <c r="O51" s="14">
        <v>5381.1509999999998</v>
      </c>
      <c r="P51" s="14">
        <v>5318.9210000000003</v>
      </c>
      <c r="Q51" s="14">
        <v>5246.268</v>
      </c>
      <c r="R51" s="14">
        <v>5047</v>
      </c>
    </row>
    <row r="52" spans="1:18" ht="15" x14ac:dyDescent="0.25">
      <c r="A52" s="9"/>
      <c r="B52" s="9"/>
      <c r="C52" s="9"/>
      <c r="D52" s="9"/>
      <c r="E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6"/>
    </row>
    <row r="53" spans="1:18" ht="15" x14ac:dyDescent="0.25">
      <c r="A53" s="9"/>
      <c r="B53" s="9"/>
      <c r="C53" s="13" t="s">
        <v>84</v>
      </c>
      <c r="D53" s="9"/>
      <c r="E53" s="9" t="s">
        <v>96</v>
      </c>
      <c r="G53" s="15">
        <f t="shared" ref="G53:Q53" si="26">G54</f>
        <v>27286</v>
      </c>
      <c r="H53" s="15">
        <f t="shared" si="26"/>
        <v>28605</v>
      </c>
      <c r="I53" s="15">
        <f t="shared" si="26"/>
        <v>27159</v>
      </c>
      <c r="J53" s="15">
        <f t="shared" si="26"/>
        <v>27749</v>
      </c>
      <c r="K53" s="15">
        <f t="shared" si="26"/>
        <v>28120.5</v>
      </c>
      <c r="L53" s="15">
        <f t="shared" si="26"/>
        <v>0</v>
      </c>
      <c r="M53" s="15">
        <f t="shared" si="26"/>
        <v>0</v>
      </c>
      <c r="N53" s="15">
        <f t="shared" si="26"/>
        <v>0</v>
      </c>
      <c r="O53" s="15">
        <f t="shared" si="26"/>
        <v>0</v>
      </c>
      <c r="P53" s="15">
        <f t="shared" si="26"/>
        <v>0</v>
      </c>
      <c r="Q53" s="15">
        <f t="shared" si="26"/>
        <v>0</v>
      </c>
      <c r="R53" s="2">
        <v>0</v>
      </c>
    </row>
    <row r="54" spans="1:18" ht="15" x14ac:dyDescent="0.25">
      <c r="A54" s="9"/>
      <c r="B54" s="9"/>
      <c r="C54" s="13"/>
      <c r="D54" s="9"/>
      <c r="E54" s="9"/>
      <c r="F54" s="2" t="s">
        <v>79</v>
      </c>
      <c r="G54" s="10">
        <v>27286</v>
      </c>
      <c r="H54" s="10">
        <v>28605</v>
      </c>
      <c r="I54" s="10">
        <v>27159</v>
      </c>
      <c r="J54" s="10">
        <v>27749</v>
      </c>
      <c r="K54" s="10">
        <v>28120.5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2">
        <v>0</v>
      </c>
    </row>
    <row r="55" spans="1:18" ht="15" x14ac:dyDescent="0.25">
      <c r="A55" s="9"/>
      <c r="B55" s="9"/>
      <c r="C55" s="13"/>
      <c r="D55" s="9"/>
      <c r="E55" s="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6"/>
    </row>
    <row r="56" spans="1:18" ht="15" x14ac:dyDescent="0.25">
      <c r="A56" s="9"/>
      <c r="B56" s="9"/>
      <c r="C56" s="13"/>
      <c r="D56" s="9"/>
      <c r="E56" s="9" t="s">
        <v>143</v>
      </c>
      <c r="G56" s="14">
        <f t="shared" ref="G56:H56" si="27">SUM(G57:G59)</f>
        <v>86955</v>
      </c>
      <c r="H56" s="14">
        <f t="shared" si="27"/>
        <v>87974</v>
      </c>
      <c r="I56" s="14">
        <f t="shared" ref="I56:J56" si="28">SUM(I57:I59)</f>
        <v>86553</v>
      </c>
      <c r="J56" s="14">
        <f t="shared" si="28"/>
        <v>88430.691999999995</v>
      </c>
      <c r="K56" s="14">
        <f t="shared" ref="K56:L56" si="29">SUM(K57:K59)</f>
        <v>89616.72</v>
      </c>
      <c r="L56" s="14">
        <f t="shared" si="29"/>
        <v>88225.645000000004</v>
      </c>
      <c r="M56" s="14">
        <f t="shared" ref="M56:N56" si="30">SUM(M57:M59)</f>
        <v>87374.747999999992</v>
      </c>
      <c r="N56" s="14">
        <f t="shared" si="30"/>
        <v>90270.031000000003</v>
      </c>
      <c r="O56" s="14">
        <f t="shared" ref="O56:R56" si="31">SUM(O57:O59)</f>
        <v>90284.370999999999</v>
      </c>
      <c r="P56" s="14">
        <f t="shared" si="31"/>
        <v>162203.85800000001</v>
      </c>
      <c r="Q56" s="46">
        <f t="shared" si="31"/>
        <v>158329.21900000001</v>
      </c>
      <c r="R56" s="46">
        <f t="shared" si="31"/>
        <v>158235</v>
      </c>
    </row>
    <row r="57" spans="1:18" ht="15" x14ac:dyDescent="0.25">
      <c r="A57" s="9"/>
      <c r="B57" s="9"/>
      <c r="C57" s="13"/>
      <c r="D57" s="9"/>
      <c r="E57" s="9"/>
      <c r="F57" s="2" t="s">
        <v>141</v>
      </c>
      <c r="G57" s="10">
        <v>60776</v>
      </c>
      <c r="H57" s="10">
        <v>61488</v>
      </c>
      <c r="I57" s="10">
        <v>60494</v>
      </c>
      <c r="J57" s="10">
        <v>61807</v>
      </c>
      <c r="K57" s="10">
        <v>62636.107000000004</v>
      </c>
      <c r="L57" s="10">
        <v>61663.839</v>
      </c>
      <c r="M57" s="10">
        <v>61069.118999999999</v>
      </c>
      <c r="N57" s="10">
        <v>63092.728000000003</v>
      </c>
      <c r="O57" s="10">
        <v>63102.750999999997</v>
      </c>
      <c r="P57" s="10">
        <v>63267.58</v>
      </c>
      <c r="Q57" s="16">
        <v>61756.277999999998</v>
      </c>
      <c r="R57" s="16">
        <v>61719</v>
      </c>
    </row>
    <row r="58" spans="1:18" ht="15" x14ac:dyDescent="0.25">
      <c r="A58" s="9"/>
      <c r="B58" s="9"/>
      <c r="C58" s="13"/>
      <c r="D58" s="9"/>
      <c r="E58" s="9"/>
      <c r="F58" s="2" t="s">
        <v>225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71683.657000000007</v>
      </c>
      <c r="Q58" s="16">
        <v>69971.316000000006</v>
      </c>
      <c r="R58" s="16">
        <v>69930</v>
      </c>
    </row>
    <row r="59" spans="1:18" ht="15" x14ac:dyDescent="0.25">
      <c r="A59" s="9"/>
      <c r="B59" s="9"/>
      <c r="C59" s="13"/>
      <c r="D59" s="9"/>
      <c r="E59" s="9"/>
      <c r="F59" s="2" t="s">
        <v>144</v>
      </c>
      <c r="G59" s="10">
        <v>26179</v>
      </c>
      <c r="H59" s="10">
        <v>26486</v>
      </c>
      <c r="I59" s="10">
        <v>26059</v>
      </c>
      <c r="J59" s="10">
        <v>26623.691999999999</v>
      </c>
      <c r="K59" s="10">
        <v>26980.613000000001</v>
      </c>
      <c r="L59" s="10">
        <v>26561.806</v>
      </c>
      <c r="M59" s="10">
        <v>26305.629000000001</v>
      </c>
      <c r="N59" s="10">
        <v>27177.303</v>
      </c>
      <c r="O59" s="10">
        <v>27181.62</v>
      </c>
      <c r="P59" s="10">
        <v>27252.620999999999</v>
      </c>
      <c r="Q59" s="16">
        <v>26601.625</v>
      </c>
      <c r="R59" s="16">
        <v>26586</v>
      </c>
    </row>
    <row r="60" spans="1:18" ht="15" x14ac:dyDescent="0.25">
      <c r="A60" s="9"/>
      <c r="B60" s="9"/>
      <c r="C60" s="13"/>
      <c r="D60" s="9"/>
      <c r="E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6"/>
      <c r="R60" s="16"/>
    </row>
    <row r="61" spans="1:18" s="9" customFormat="1" ht="15" x14ac:dyDescent="0.25">
      <c r="C61" s="13"/>
      <c r="E61" s="9" t="s">
        <v>226</v>
      </c>
      <c r="F61" s="9" t="s">
        <v>227</v>
      </c>
      <c r="G61" s="14">
        <f>G62</f>
        <v>0</v>
      </c>
      <c r="H61" s="14">
        <f t="shared" ref="H61:R61" si="32">H62</f>
        <v>0</v>
      </c>
      <c r="I61" s="14">
        <f t="shared" si="32"/>
        <v>0</v>
      </c>
      <c r="J61" s="14">
        <f t="shared" si="32"/>
        <v>0</v>
      </c>
      <c r="K61" s="14">
        <f t="shared" si="32"/>
        <v>0</v>
      </c>
      <c r="L61" s="14">
        <f t="shared" si="32"/>
        <v>0</v>
      </c>
      <c r="M61" s="14">
        <f t="shared" si="32"/>
        <v>0</v>
      </c>
      <c r="N61" s="14">
        <f t="shared" si="32"/>
        <v>0</v>
      </c>
      <c r="O61" s="14">
        <f t="shared" si="32"/>
        <v>0</v>
      </c>
      <c r="P61" s="14">
        <f t="shared" si="32"/>
        <v>0</v>
      </c>
      <c r="Q61" s="14">
        <f t="shared" si="32"/>
        <v>15000</v>
      </c>
      <c r="R61" s="46">
        <f t="shared" si="32"/>
        <v>15000</v>
      </c>
    </row>
    <row r="62" spans="1:18" ht="15" x14ac:dyDescent="0.25">
      <c r="A62" s="9"/>
      <c r="B62" s="9"/>
      <c r="C62" s="13"/>
      <c r="D62" s="9"/>
      <c r="E62" s="9"/>
      <c r="F62" s="2" t="s">
        <v>102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6">
        <v>15000</v>
      </c>
      <c r="R62" s="16">
        <v>15000</v>
      </c>
    </row>
    <row r="63" spans="1:18" ht="15" x14ac:dyDescent="0.25">
      <c r="A63" s="9"/>
      <c r="B63" s="9"/>
      <c r="C63" s="13"/>
      <c r="D63" s="9"/>
      <c r="E63" s="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6"/>
    </row>
    <row r="64" spans="1:18" ht="15" x14ac:dyDescent="0.25">
      <c r="A64" s="9" t="s">
        <v>49</v>
      </c>
      <c r="B64" s="9"/>
      <c r="C64" s="9"/>
      <c r="D64" s="9"/>
      <c r="E64" s="9"/>
      <c r="F64" s="9"/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46">
        <v>0</v>
      </c>
      <c r="R64" s="46">
        <v>0</v>
      </c>
    </row>
    <row r="65" spans="1:7" x14ac:dyDescent="0.2">
      <c r="G65" s="16"/>
    </row>
    <row r="66" spans="1:7" x14ac:dyDescent="0.2">
      <c r="G66" s="16"/>
    </row>
    <row r="67" spans="1:7" x14ac:dyDescent="0.2">
      <c r="G67" s="16"/>
    </row>
    <row r="68" spans="1:7" x14ac:dyDescent="0.2">
      <c r="A68" s="17"/>
      <c r="B68" s="18" t="s">
        <v>21</v>
      </c>
      <c r="C68" s="18"/>
      <c r="D68" s="18"/>
      <c r="E68" s="18"/>
      <c r="F68" s="18"/>
      <c r="G68" s="18"/>
    </row>
    <row r="69" spans="1:7" x14ac:dyDescent="0.2">
      <c r="B69" s="19"/>
      <c r="C69" s="19"/>
      <c r="D69" s="20"/>
      <c r="E69" s="20"/>
      <c r="G69" s="20"/>
    </row>
    <row r="70" spans="1:7" x14ac:dyDescent="0.2">
      <c r="B70" s="79"/>
      <c r="C70" s="79"/>
      <c r="D70" s="79"/>
      <c r="E70" s="79"/>
      <c r="F70" s="79"/>
    </row>
    <row r="71" spans="1:7" x14ac:dyDescent="0.2">
      <c r="A71" s="18"/>
      <c r="B71" s="18"/>
      <c r="C71" s="18"/>
    </row>
    <row r="72" spans="1:7" x14ac:dyDescent="0.2">
      <c r="A72" s="20"/>
      <c r="B72" s="18"/>
      <c r="C72" s="18"/>
    </row>
    <row r="74" spans="1:7" x14ac:dyDescent="0.2">
      <c r="F74" s="21" t="s">
        <v>71</v>
      </c>
    </row>
  </sheetData>
  <mergeCells count="16">
    <mergeCell ref="A1:R1"/>
    <mergeCell ref="A2:R2"/>
    <mergeCell ref="R6:R7"/>
    <mergeCell ref="A6:F7"/>
    <mergeCell ref="G6:G7"/>
    <mergeCell ref="Q6:Q7"/>
    <mergeCell ref="P6:P7"/>
    <mergeCell ref="O6:O7"/>
    <mergeCell ref="N6:N7"/>
    <mergeCell ref="M6:M7"/>
    <mergeCell ref="B70:F70"/>
    <mergeCell ref="H6:H7"/>
    <mergeCell ref="L6:L7"/>
    <mergeCell ref="K6:K7"/>
    <mergeCell ref="J6:J7"/>
    <mergeCell ref="I6:I7"/>
  </mergeCells>
  <phoneticPr fontId="15" type="noConversion"/>
  <printOptions horizontalCentered="1"/>
  <pageMargins left="0" right="0" top="0.51181102362204722" bottom="0.51181102362204722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0714-01A3-496B-8041-92CE1CA054FB}">
  <sheetPr>
    <pageSetUpPr fitToPage="1"/>
  </sheetPr>
  <dimension ref="A1:R68"/>
  <sheetViews>
    <sheetView zoomScaleNormal="100" zoomScaleSheetLayoutView="100" workbookViewId="0">
      <pane xSplit="6" ySplit="7" topLeftCell="G8" activePane="bottomRight" state="frozen"/>
      <selection activeCell="B1" sqref="B1"/>
      <selection pane="topRight" activeCell="F1" sqref="F1"/>
      <selection pane="bottomLeft" activeCell="B8" sqref="B8"/>
      <selection pane="bottomRight" sqref="A1:R3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7.7109375" style="2" customWidth="1"/>
    <col min="7" max="7" width="12.28515625" style="2" customWidth="1"/>
    <col min="8" max="8" width="13.42578125" style="2" customWidth="1"/>
    <col min="9" max="9" width="11.7109375" style="2" customWidth="1"/>
    <col min="10" max="10" width="12" style="2" customWidth="1"/>
    <col min="11" max="11" width="11.140625" style="2" customWidth="1"/>
    <col min="12" max="12" width="10.85546875" style="2" customWidth="1"/>
    <col min="13" max="13" width="10.28515625" style="2" customWidth="1"/>
    <col min="14" max="14" width="10.7109375" style="2" customWidth="1"/>
    <col min="15" max="15" width="11.140625" style="2" customWidth="1"/>
    <col min="16" max="16" width="10.140625" style="2" bestFit="1" customWidth="1"/>
    <col min="17" max="17" width="11.28515625" style="2" bestFit="1" customWidth="1"/>
    <col min="18" max="18" width="10.85546875" style="2" customWidth="1"/>
    <col min="19" max="16384" width="9.140625" style="2"/>
  </cols>
  <sheetData>
    <row r="1" spans="1:18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5" x14ac:dyDescent="0.2">
      <c r="A2" s="83" t="s">
        <v>178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6" customHeight="1" x14ac:dyDescent="0.2"/>
    <row r="5" spans="1:18" ht="6" customHeight="1" x14ac:dyDescent="0.2"/>
    <row r="6" spans="1:18" s="3" customFormat="1" x14ac:dyDescent="0.2">
      <c r="A6" s="80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18</v>
      </c>
      <c r="M6" s="80" t="s">
        <v>83</v>
      </c>
      <c r="N6" s="80" t="s">
        <v>6</v>
      </c>
      <c r="O6" s="80" t="s">
        <v>81</v>
      </c>
      <c r="P6" s="80" t="s">
        <v>7</v>
      </c>
      <c r="Q6" s="80" t="s">
        <v>8</v>
      </c>
      <c r="R6" s="80" t="s">
        <v>9</v>
      </c>
    </row>
    <row r="7" spans="1:18" ht="10.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 ht="7.5" customHeight="1" thickTop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5">
      <c r="A9" s="5" t="s">
        <v>97</v>
      </c>
      <c r="B9" s="5"/>
      <c r="C9" s="5"/>
      <c r="D9" s="5"/>
      <c r="E9" s="5"/>
      <c r="F9" s="5"/>
      <c r="G9" s="8">
        <f t="shared" ref="G9:N9" si="0">G11+G58</f>
        <v>8067632</v>
      </c>
      <c r="H9" s="8">
        <f t="shared" si="0"/>
        <v>8113048.2410000004</v>
      </c>
      <c r="I9" s="8">
        <f t="shared" si="0"/>
        <v>8568494.6370000001</v>
      </c>
      <c r="J9" s="8">
        <f t="shared" si="0"/>
        <v>8635698.2310000006</v>
      </c>
      <c r="K9" s="8">
        <f t="shared" si="0"/>
        <v>8665294</v>
      </c>
      <c r="L9" s="8">
        <f t="shared" si="0"/>
        <v>8766953.5879999995</v>
      </c>
      <c r="M9" s="8">
        <f t="shared" si="0"/>
        <v>8832024.9560000002</v>
      </c>
      <c r="N9" s="8">
        <f t="shared" si="0"/>
        <v>8943232.6630000006</v>
      </c>
      <c r="O9" s="8">
        <f t="shared" ref="O9:Q9" si="1">O11+O58</f>
        <v>9300504</v>
      </c>
      <c r="P9" s="8">
        <f t="shared" si="1"/>
        <v>9355080</v>
      </c>
      <c r="Q9" s="8">
        <f t="shared" si="1"/>
        <v>9427811</v>
      </c>
      <c r="R9" s="8">
        <f t="shared" ref="R9" si="2">R11+R58</f>
        <v>9208231</v>
      </c>
    </row>
    <row r="10" spans="1:18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5" x14ac:dyDescent="0.25">
      <c r="B11" s="5" t="s">
        <v>89</v>
      </c>
      <c r="C11" s="5"/>
      <c r="D11" s="5"/>
      <c r="E11" s="5"/>
      <c r="F11" s="5"/>
      <c r="G11" s="8">
        <f t="shared" ref="G11:N11" si="3">G13+G21</f>
        <v>8067632</v>
      </c>
      <c r="H11" s="8">
        <f t="shared" si="3"/>
        <v>8113048.2410000004</v>
      </c>
      <c r="I11" s="8">
        <f t="shared" si="3"/>
        <v>8568494.6370000001</v>
      </c>
      <c r="J11" s="8">
        <f t="shared" si="3"/>
        <v>8635698.2310000006</v>
      </c>
      <c r="K11" s="8">
        <f t="shared" si="3"/>
        <v>8665294</v>
      </c>
      <c r="L11" s="8">
        <f t="shared" si="3"/>
        <v>8766953.5879999995</v>
      </c>
      <c r="M11" s="8">
        <f t="shared" si="3"/>
        <v>8832024.9560000002</v>
      </c>
      <c r="N11" s="8">
        <f t="shared" si="3"/>
        <v>8943232.6630000006</v>
      </c>
      <c r="O11" s="8">
        <f>O13+O21+1</f>
        <v>9300504</v>
      </c>
      <c r="P11" s="8">
        <f t="shared" ref="P11:Q11" si="4">P13+P21+1</f>
        <v>9355080</v>
      </c>
      <c r="Q11" s="8">
        <f t="shared" si="4"/>
        <v>9427811</v>
      </c>
      <c r="R11" s="8">
        <f t="shared" ref="R11" si="5">R13+R21+1</f>
        <v>9208231</v>
      </c>
    </row>
    <row r="12" spans="1:18" ht="15" x14ac:dyDescent="0.25">
      <c r="B12" s="5"/>
      <c r="C12" s="5"/>
      <c r="D12" s="5"/>
      <c r="E12" s="5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" x14ac:dyDescent="0.25">
      <c r="B13" s="9"/>
      <c r="C13" s="9" t="s">
        <v>90</v>
      </c>
      <c r="F13" s="9"/>
      <c r="G13" s="8">
        <f>SUM(G14:G19)</f>
        <v>744568</v>
      </c>
      <c r="H13" s="8">
        <f t="shared" ref="H13:M13" si="6">SUM(H14:H19)</f>
        <v>719568</v>
      </c>
      <c r="I13" s="8">
        <f t="shared" si="6"/>
        <v>656601</v>
      </c>
      <c r="J13" s="8">
        <f t="shared" si="6"/>
        <v>622601</v>
      </c>
      <c r="K13" s="8">
        <f t="shared" si="6"/>
        <v>536714</v>
      </c>
      <c r="L13" s="8">
        <f t="shared" si="6"/>
        <v>544225.30000000005</v>
      </c>
      <c r="M13" s="8">
        <f t="shared" si="6"/>
        <v>537035</v>
      </c>
      <c r="N13" s="8">
        <f>SUM(N14:N19)</f>
        <v>529056</v>
      </c>
      <c r="O13" s="8">
        <f>SUM(O14:O19)</f>
        <v>509085</v>
      </c>
      <c r="P13" s="8">
        <f t="shared" ref="P13:Q13" si="7">SUM(P14:P19)</f>
        <v>457704</v>
      </c>
      <c r="Q13" s="8">
        <f t="shared" si="7"/>
        <v>435374</v>
      </c>
      <c r="R13" s="8">
        <f t="shared" ref="R13" si="8">SUM(R14:R19)</f>
        <v>410361</v>
      </c>
    </row>
    <row r="14" spans="1:18" x14ac:dyDescent="0.2">
      <c r="F14" s="2" t="s">
        <v>76</v>
      </c>
      <c r="G14" s="10">
        <v>174568</v>
      </c>
      <c r="H14" s="10">
        <v>174568</v>
      </c>
      <c r="I14" s="10">
        <v>174568</v>
      </c>
      <c r="J14" s="10">
        <v>174568</v>
      </c>
      <c r="K14" s="10">
        <v>174568</v>
      </c>
      <c r="L14" s="10">
        <v>174568.3</v>
      </c>
      <c r="M14" s="10">
        <v>174568</v>
      </c>
      <c r="N14" s="10">
        <v>174568</v>
      </c>
      <c r="O14" s="10">
        <v>174568</v>
      </c>
      <c r="P14" s="10">
        <v>174568</v>
      </c>
      <c r="Q14" s="10">
        <v>174568</v>
      </c>
      <c r="R14" s="10">
        <v>174568</v>
      </c>
    </row>
    <row r="15" spans="1:18" x14ac:dyDescent="0.2">
      <c r="F15" s="11" t="s">
        <v>104</v>
      </c>
      <c r="G15" s="10">
        <v>46000</v>
      </c>
      <c r="H15" s="10">
        <v>46000</v>
      </c>
      <c r="I15" s="10">
        <v>52903</v>
      </c>
      <c r="J15" s="10">
        <v>54903</v>
      </c>
      <c r="K15" s="10">
        <v>49903</v>
      </c>
      <c r="L15" s="10">
        <v>60070</v>
      </c>
      <c r="M15" s="10">
        <v>58070</v>
      </c>
      <c r="N15" s="10">
        <v>57370</v>
      </c>
      <c r="O15" s="10">
        <v>43843</v>
      </c>
      <c r="P15" s="10">
        <v>27618</v>
      </c>
      <c r="Q15" s="10">
        <v>25418</v>
      </c>
      <c r="R15" s="10">
        <v>25875</v>
      </c>
    </row>
    <row r="16" spans="1:18" x14ac:dyDescent="0.2">
      <c r="F16" s="11" t="s">
        <v>105</v>
      </c>
      <c r="G16" s="10">
        <v>114000</v>
      </c>
      <c r="H16" s="10">
        <v>114000</v>
      </c>
      <c r="I16" s="10">
        <v>97000</v>
      </c>
      <c r="J16" s="10">
        <v>99000</v>
      </c>
      <c r="K16" s="10">
        <v>87500</v>
      </c>
      <c r="L16" s="10">
        <v>101070</v>
      </c>
      <c r="M16" s="10">
        <v>98070</v>
      </c>
      <c r="N16" s="10">
        <v>98070</v>
      </c>
      <c r="O16" s="10">
        <v>104107</v>
      </c>
      <c r="P16" s="10">
        <v>86902</v>
      </c>
      <c r="Q16" s="10">
        <v>83452</v>
      </c>
      <c r="R16" s="10">
        <v>67982</v>
      </c>
    </row>
    <row r="17" spans="2:18" x14ac:dyDescent="0.2">
      <c r="F17" s="11" t="s">
        <v>106</v>
      </c>
      <c r="G17" s="10">
        <v>361000</v>
      </c>
      <c r="H17" s="10">
        <v>341000</v>
      </c>
      <c r="I17" s="10">
        <v>298130</v>
      </c>
      <c r="J17" s="10">
        <v>270130</v>
      </c>
      <c r="K17" s="10">
        <v>224743</v>
      </c>
      <c r="L17" s="10">
        <v>208517</v>
      </c>
      <c r="M17" s="10">
        <v>206327</v>
      </c>
      <c r="N17" s="10">
        <v>199048</v>
      </c>
      <c r="O17" s="10">
        <v>177048</v>
      </c>
      <c r="P17" s="10">
        <v>159097</v>
      </c>
      <c r="Q17" s="10">
        <v>142417</v>
      </c>
      <c r="R17" s="10">
        <v>132417</v>
      </c>
    </row>
    <row r="18" spans="2:18" x14ac:dyDescent="0.2">
      <c r="F18" s="2" t="s">
        <v>98</v>
      </c>
      <c r="G18" s="10">
        <v>49000</v>
      </c>
      <c r="H18" s="10">
        <v>44000</v>
      </c>
      <c r="I18" s="10">
        <v>34000</v>
      </c>
      <c r="J18" s="10">
        <v>24000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</row>
    <row r="19" spans="2:18" x14ac:dyDescent="0.2">
      <c r="F19" s="2" t="s">
        <v>99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9519</v>
      </c>
      <c r="P19" s="10">
        <v>9519</v>
      </c>
      <c r="Q19" s="10">
        <v>9519</v>
      </c>
      <c r="R19" s="10">
        <v>9519</v>
      </c>
    </row>
    <row r="20" spans="2:18" x14ac:dyDescent="0.2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ht="15" x14ac:dyDescent="0.25">
      <c r="B21" s="9"/>
      <c r="C21" s="9" t="s">
        <v>88</v>
      </c>
      <c r="F21" s="9"/>
      <c r="G21" s="12">
        <f t="shared" ref="G21:O21" si="9">G22+G32</f>
        <v>7323064</v>
      </c>
      <c r="H21" s="12">
        <f t="shared" si="9"/>
        <v>7393480.2410000004</v>
      </c>
      <c r="I21" s="12">
        <f t="shared" si="9"/>
        <v>7911893.6370000001</v>
      </c>
      <c r="J21" s="12">
        <f t="shared" si="9"/>
        <v>8013097.2310000006</v>
      </c>
      <c r="K21" s="12">
        <f t="shared" si="9"/>
        <v>8128580</v>
      </c>
      <c r="L21" s="12">
        <f t="shared" si="9"/>
        <v>8222728.2879999997</v>
      </c>
      <c r="M21" s="12">
        <f t="shared" si="9"/>
        <v>8294989.9560000002</v>
      </c>
      <c r="N21" s="12">
        <f t="shared" si="9"/>
        <v>8414176.6630000006</v>
      </c>
      <c r="O21" s="12">
        <f t="shared" si="9"/>
        <v>8791418</v>
      </c>
      <c r="P21" s="12">
        <f t="shared" ref="P21:Q21" si="10">P22+P32</f>
        <v>8897375</v>
      </c>
      <c r="Q21" s="12">
        <f t="shared" si="10"/>
        <v>8992436</v>
      </c>
      <c r="R21" s="12">
        <f t="shared" ref="R21" si="11">R22+R32</f>
        <v>8797869</v>
      </c>
    </row>
    <row r="22" spans="2:18" ht="15" x14ac:dyDescent="0.25">
      <c r="B22" s="9"/>
      <c r="C22" s="9"/>
      <c r="D22" s="9" t="s">
        <v>91</v>
      </c>
      <c r="E22" s="9"/>
      <c r="G22" s="12">
        <f t="shared" ref="G22:M22" si="12">SUM(G23:G30)</f>
        <v>3323236</v>
      </c>
      <c r="H22" s="12">
        <f t="shared" si="12"/>
        <v>3393236.7409999999</v>
      </c>
      <c r="I22" s="12">
        <f t="shared" si="12"/>
        <v>3452791.4580000001</v>
      </c>
      <c r="J22" s="12">
        <f t="shared" si="12"/>
        <v>3553168</v>
      </c>
      <c r="K22" s="12">
        <f t="shared" si="12"/>
        <v>3668376</v>
      </c>
      <c r="L22" s="12">
        <f t="shared" si="12"/>
        <v>3757313</v>
      </c>
      <c r="M22" s="12">
        <f t="shared" si="12"/>
        <v>3783945</v>
      </c>
      <c r="N22" s="12">
        <f t="shared" ref="N22" si="13">SUM(N23:N30)</f>
        <v>3901391.3310000002</v>
      </c>
      <c r="O22" s="12">
        <f>SUM(O23:O30)</f>
        <v>3952981</v>
      </c>
      <c r="P22" s="12">
        <f t="shared" ref="P22:Q22" si="14">SUM(P23:P30)</f>
        <v>4060335</v>
      </c>
      <c r="Q22" s="12">
        <f t="shared" si="14"/>
        <v>4158572</v>
      </c>
      <c r="R22" s="12">
        <f t="shared" ref="R22" si="15">SUM(R23:R30)</f>
        <v>4165066</v>
      </c>
    </row>
    <row r="23" spans="2:18" x14ac:dyDescent="0.2">
      <c r="F23" s="2" t="s">
        <v>22</v>
      </c>
      <c r="G23" s="10">
        <v>252510</v>
      </c>
      <c r="H23" s="10">
        <v>252510</v>
      </c>
      <c r="I23" s="10">
        <v>252251</v>
      </c>
      <c r="J23" s="10">
        <v>278042</v>
      </c>
      <c r="K23" s="10">
        <v>313042</v>
      </c>
      <c r="L23" s="10">
        <v>322347</v>
      </c>
      <c r="M23" s="10">
        <v>218979</v>
      </c>
      <c r="N23" s="10">
        <v>218979</v>
      </c>
      <c r="O23" s="10">
        <v>218979</v>
      </c>
      <c r="P23" s="10">
        <v>218979</v>
      </c>
      <c r="Q23" s="10">
        <v>218979</v>
      </c>
      <c r="R23" s="10">
        <v>218979</v>
      </c>
    </row>
    <row r="24" spans="2:18" x14ac:dyDescent="0.2">
      <c r="F24" s="2" t="s">
        <v>146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45000</v>
      </c>
      <c r="O24" s="10">
        <v>45000</v>
      </c>
      <c r="P24" s="10">
        <v>45000</v>
      </c>
      <c r="Q24" s="10">
        <v>45000</v>
      </c>
      <c r="R24" s="10">
        <v>45000</v>
      </c>
    </row>
    <row r="25" spans="2:18" x14ac:dyDescent="0.2">
      <c r="F25" s="2" t="s">
        <v>14</v>
      </c>
      <c r="G25" s="10">
        <v>408905</v>
      </c>
      <c r="H25" s="10">
        <v>443905</v>
      </c>
      <c r="I25" s="10">
        <v>456940</v>
      </c>
      <c r="J25" s="10">
        <v>478967</v>
      </c>
      <c r="K25" s="10">
        <v>478967</v>
      </c>
      <c r="L25" s="10">
        <v>478967</v>
      </c>
      <c r="M25" s="10">
        <v>478967</v>
      </c>
      <c r="N25" s="10">
        <v>478967</v>
      </c>
      <c r="O25" s="10">
        <v>478967</v>
      </c>
      <c r="P25" s="10">
        <v>478967</v>
      </c>
      <c r="Q25" s="10">
        <v>478967</v>
      </c>
      <c r="R25" s="10">
        <v>478967</v>
      </c>
    </row>
    <row r="26" spans="2:18" x14ac:dyDescent="0.2">
      <c r="F26" s="2" t="s">
        <v>15</v>
      </c>
      <c r="G26" s="10">
        <v>943998</v>
      </c>
      <c r="H26" s="10">
        <v>943998</v>
      </c>
      <c r="I26" s="10">
        <v>959697</v>
      </c>
      <c r="J26" s="10">
        <v>994697</v>
      </c>
      <c r="K26" s="10">
        <v>1014805</v>
      </c>
      <c r="L26" s="10">
        <v>1059545</v>
      </c>
      <c r="M26" s="10">
        <v>1094545</v>
      </c>
      <c r="N26" s="10">
        <v>1094545</v>
      </c>
      <c r="O26" s="10">
        <v>1129545</v>
      </c>
      <c r="P26" s="10">
        <v>1176520</v>
      </c>
      <c r="Q26" s="10">
        <v>1176520</v>
      </c>
      <c r="R26" s="10">
        <v>1176520</v>
      </c>
    </row>
    <row r="27" spans="2:18" x14ac:dyDescent="0.2">
      <c r="F27" s="2" t="s">
        <v>20</v>
      </c>
      <c r="G27" s="10">
        <v>1006531</v>
      </c>
      <c r="H27" s="10">
        <v>1041531.227</v>
      </c>
      <c r="I27" s="10">
        <v>1076531.227</v>
      </c>
      <c r="J27" s="10">
        <v>1094090</v>
      </c>
      <c r="K27" s="10">
        <v>1154190</v>
      </c>
      <c r="L27" s="10">
        <v>1189082</v>
      </c>
      <c r="M27" s="10">
        <v>1284082</v>
      </c>
      <c r="N27" s="10">
        <v>1356528.331</v>
      </c>
      <c r="O27" s="10">
        <v>1373118</v>
      </c>
      <c r="P27" s="10">
        <v>1408118</v>
      </c>
      <c r="Q27" s="10">
        <v>1408118</v>
      </c>
      <c r="R27" s="10">
        <v>1356643</v>
      </c>
    </row>
    <row r="28" spans="2:18" x14ac:dyDescent="0.2">
      <c r="F28" s="2" t="s">
        <v>46</v>
      </c>
      <c r="G28" s="10">
        <v>475213</v>
      </c>
      <c r="H28" s="10">
        <v>475213.103</v>
      </c>
      <c r="I28" s="10">
        <v>471293.23100000003</v>
      </c>
      <c r="J28" s="10">
        <v>471293</v>
      </c>
      <c r="K28" s="10">
        <v>471293</v>
      </c>
      <c r="L28" s="10">
        <v>471293</v>
      </c>
      <c r="M28" s="10">
        <v>471293</v>
      </c>
      <c r="N28" s="10">
        <v>471293</v>
      </c>
      <c r="O28" s="10">
        <v>471293</v>
      </c>
      <c r="P28" s="10">
        <v>470533</v>
      </c>
      <c r="Q28" s="10">
        <v>528770</v>
      </c>
      <c r="R28" s="10">
        <v>551739</v>
      </c>
    </row>
    <row r="29" spans="2:18" x14ac:dyDescent="0.2">
      <c r="F29" s="2" t="s">
        <v>47</v>
      </c>
      <c r="G29" s="10">
        <v>235982</v>
      </c>
      <c r="H29" s="10">
        <v>235982.41099999999</v>
      </c>
      <c r="I29" s="10">
        <v>235982</v>
      </c>
      <c r="J29" s="10">
        <v>235982</v>
      </c>
      <c r="K29" s="10">
        <v>235982</v>
      </c>
      <c r="L29" s="10">
        <v>235982</v>
      </c>
      <c r="M29" s="10">
        <v>235982</v>
      </c>
      <c r="N29" s="10">
        <v>235982</v>
      </c>
      <c r="O29" s="10">
        <v>235982</v>
      </c>
      <c r="P29" s="10">
        <v>262121</v>
      </c>
      <c r="Q29" s="10">
        <v>302121</v>
      </c>
      <c r="R29" s="10">
        <v>337121</v>
      </c>
    </row>
    <row r="30" spans="2:18" x14ac:dyDescent="0.2">
      <c r="F30" s="2" t="s">
        <v>53</v>
      </c>
      <c r="G30" s="10">
        <v>97</v>
      </c>
      <c r="H30" s="10">
        <v>97</v>
      </c>
      <c r="I30" s="10">
        <v>97</v>
      </c>
      <c r="J30" s="10">
        <v>97</v>
      </c>
      <c r="K30" s="10">
        <v>97</v>
      </c>
      <c r="L30" s="10">
        <v>97</v>
      </c>
      <c r="M30" s="10">
        <v>97</v>
      </c>
      <c r="N30" s="10">
        <v>97</v>
      </c>
      <c r="O30" s="10">
        <v>97</v>
      </c>
      <c r="P30" s="10">
        <v>97</v>
      </c>
      <c r="Q30" s="10">
        <v>97</v>
      </c>
      <c r="R30" s="10">
        <v>97</v>
      </c>
    </row>
    <row r="31" spans="2:18" x14ac:dyDescent="0.2"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ht="15" x14ac:dyDescent="0.25">
      <c r="B32" s="9"/>
      <c r="D32" s="9" t="s">
        <v>92</v>
      </c>
      <c r="E32" s="9"/>
      <c r="G32" s="8">
        <f t="shared" ref="G32:N32" si="16">G33+G42+G47+G49+G51+G54</f>
        <v>3999828</v>
      </c>
      <c r="H32" s="8">
        <f t="shared" si="16"/>
        <v>4000243.5</v>
      </c>
      <c r="I32" s="8">
        <f t="shared" si="16"/>
        <v>4459102.1789999995</v>
      </c>
      <c r="J32" s="8">
        <f t="shared" si="16"/>
        <v>4459929.2310000006</v>
      </c>
      <c r="K32" s="8">
        <f t="shared" si="16"/>
        <v>4460204</v>
      </c>
      <c r="L32" s="8">
        <f t="shared" si="16"/>
        <v>4465415.2879999997</v>
      </c>
      <c r="M32" s="8">
        <f t="shared" si="16"/>
        <v>4511044.9560000002</v>
      </c>
      <c r="N32" s="8">
        <f t="shared" si="16"/>
        <v>4512785.3320000004</v>
      </c>
      <c r="O32" s="8">
        <f>O33+O42+O47+O49+O51+O54</f>
        <v>4838437</v>
      </c>
      <c r="P32" s="8">
        <f t="shared" ref="P32:Q32" si="17">P33+P42+P47+P49+P51+P54</f>
        <v>4837040</v>
      </c>
      <c r="Q32" s="8">
        <f t="shared" si="17"/>
        <v>4833864</v>
      </c>
      <c r="R32" s="8">
        <f t="shared" ref="R32" si="18">R33+R42+R47+R49+R51+R54</f>
        <v>4632803</v>
      </c>
    </row>
    <row r="33" spans="1:18" ht="15" x14ac:dyDescent="0.25">
      <c r="B33" s="9"/>
      <c r="C33" s="9"/>
      <c r="E33" s="9" t="s">
        <v>34</v>
      </c>
      <c r="G33" s="12">
        <f>SUM(G34:G40)</f>
        <v>2790959</v>
      </c>
      <c r="H33" s="12">
        <f t="shared" ref="H33:L33" si="19">SUM(H34:H40)</f>
        <v>2790959</v>
      </c>
      <c r="I33" s="12">
        <f t="shared" si="19"/>
        <v>3248757</v>
      </c>
      <c r="J33" s="12">
        <f t="shared" si="19"/>
        <v>3248757.2310000001</v>
      </c>
      <c r="K33" s="12">
        <f t="shared" si="19"/>
        <v>3248757</v>
      </c>
      <c r="L33" s="12">
        <f t="shared" si="19"/>
        <v>3248757</v>
      </c>
      <c r="M33" s="12">
        <f t="shared" ref="M33:N33" si="20">SUM(M34:M40)</f>
        <v>3248757.8030000003</v>
      </c>
      <c r="N33" s="12">
        <f t="shared" si="20"/>
        <v>3248757</v>
      </c>
      <c r="O33" s="12">
        <f>SUM(O34:O40)</f>
        <v>3569289</v>
      </c>
      <c r="P33" s="12">
        <f t="shared" ref="P33:Q33" si="21">SUM(P34:P40)</f>
        <v>3569289</v>
      </c>
      <c r="Q33" s="12">
        <f t="shared" si="21"/>
        <v>3569289</v>
      </c>
      <c r="R33" s="12">
        <f t="shared" ref="R33" si="22">SUM(R34:R40)</f>
        <v>3370077</v>
      </c>
    </row>
    <row r="34" spans="1:18" x14ac:dyDescent="0.2">
      <c r="F34" s="2" t="s">
        <v>68</v>
      </c>
      <c r="G34" s="10">
        <v>774150</v>
      </c>
      <c r="H34" s="10">
        <v>774150</v>
      </c>
      <c r="I34" s="10">
        <v>774150</v>
      </c>
      <c r="J34" s="10">
        <v>774150</v>
      </c>
      <c r="K34" s="10">
        <v>774150</v>
      </c>
      <c r="L34" s="10">
        <v>774150</v>
      </c>
      <c r="M34" s="10">
        <v>774150</v>
      </c>
      <c r="N34" s="10">
        <v>774150</v>
      </c>
      <c r="O34" s="10">
        <v>730380</v>
      </c>
      <c r="P34" s="10">
        <v>730380</v>
      </c>
      <c r="Q34" s="10">
        <v>730380</v>
      </c>
      <c r="R34" s="10">
        <v>730380</v>
      </c>
    </row>
    <row r="35" spans="1:18" x14ac:dyDescent="0.2">
      <c r="F35" s="2" t="s">
        <v>27</v>
      </c>
      <c r="G35" s="10">
        <v>1007617</v>
      </c>
      <c r="H35" s="10">
        <v>1007617</v>
      </c>
      <c r="I35" s="10">
        <v>1465415</v>
      </c>
      <c r="J35" s="10">
        <v>1465415</v>
      </c>
      <c r="K35" s="10">
        <v>1465415</v>
      </c>
      <c r="L35" s="10">
        <v>1465415</v>
      </c>
      <c r="M35" s="10">
        <v>1465415.433</v>
      </c>
      <c r="N35" s="10">
        <v>1465415</v>
      </c>
      <c r="O35" s="10">
        <v>1409268</v>
      </c>
      <c r="P35" s="10">
        <v>1409268</v>
      </c>
      <c r="Q35" s="10">
        <v>1409268</v>
      </c>
      <c r="R35" s="10">
        <v>1210056</v>
      </c>
    </row>
    <row r="36" spans="1:18" x14ac:dyDescent="0.2">
      <c r="F36" s="2" t="s">
        <v>145</v>
      </c>
      <c r="G36" s="10">
        <v>360025</v>
      </c>
      <c r="H36" s="10">
        <v>360025</v>
      </c>
      <c r="I36" s="10">
        <v>360025</v>
      </c>
      <c r="J36" s="10">
        <v>360025</v>
      </c>
      <c r="K36" s="10">
        <v>360025</v>
      </c>
      <c r="L36" s="10">
        <v>360025</v>
      </c>
      <c r="M36" s="10">
        <v>360025.37</v>
      </c>
      <c r="N36" s="10">
        <v>360025</v>
      </c>
      <c r="O36" s="10">
        <v>780474</v>
      </c>
      <c r="P36" s="10">
        <v>780474</v>
      </c>
      <c r="Q36" s="10">
        <v>780474</v>
      </c>
      <c r="R36" s="10">
        <v>780474</v>
      </c>
    </row>
    <row r="37" spans="1:18" x14ac:dyDescent="0.2">
      <c r="F37" s="2" t="s">
        <v>67</v>
      </c>
      <c r="G37" s="10">
        <v>241548</v>
      </c>
      <c r="H37" s="10">
        <v>241548</v>
      </c>
      <c r="I37" s="10">
        <v>241548</v>
      </c>
      <c r="J37" s="10">
        <v>241548.231</v>
      </c>
      <c r="K37" s="10">
        <v>241548</v>
      </c>
      <c r="L37" s="10">
        <v>241548</v>
      </c>
      <c r="M37" s="10">
        <v>241548</v>
      </c>
      <c r="N37" s="10">
        <v>241548</v>
      </c>
      <c r="O37" s="10">
        <v>241548</v>
      </c>
      <c r="P37" s="10">
        <v>241548</v>
      </c>
      <c r="Q37" s="10">
        <v>241548</v>
      </c>
      <c r="R37" s="10">
        <v>241548</v>
      </c>
    </row>
    <row r="38" spans="1:18" x14ac:dyDescent="0.2">
      <c r="F38" s="2" t="s">
        <v>66</v>
      </c>
      <c r="G38" s="10">
        <v>95805</v>
      </c>
      <c r="H38" s="10">
        <v>95805</v>
      </c>
      <c r="I38" s="10">
        <v>95805</v>
      </c>
      <c r="J38" s="10">
        <v>95805</v>
      </c>
      <c r="K38" s="10">
        <v>95805</v>
      </c>
      <c r="L38" s="10">
        <v>95805</v>
      </c>
      <c r="M38" s="10">
        <v>95805</v>
      </c>
      <c r="N38" s="10">
        <v>95805</v>
      </c>
      <c r="O38" s="10">
        <v>95805</v>
      </c>
      <c r="P38" s="10">
        <v>95805</v>
      </c>
      <c r="Q38" s="10">
        <v>95805</v>
      </c>
      <c r="R38" s="10">
        <v>95805</v>
      </c>
    </row>
    <row r="39" spans="1:18" x14ac:dyDescent="0.2">
      <c r="F39" s="2" t="s">
        <v>72</v>
      </c>
      <c r="G39" s="10">
        <v>132682</v>
      </c>
      <c r="H39" s="10">
        <v>132682</v>
      </c>
      <c r="I39" s="10">
        <v>132682</v>
      </c>
      <c r="J39" s="10">
        <v>132682</v>
      </c>
      <c r="K39" s="10">
        <v>132682</v>
      </c>
      <c r="L39" s="10">
        <v>132682</v>
      </c>
      <c r="M39" s="10">
        <v>132682</v>
      </c>
      <c r="N39" s="10">
        <v>132682</v>
      </c>
      <c r="O39" s="10">
        <v>132682</v>
      </c>
      <c r="P39" s="10">
        <v>132682</v>
      </c>
      <c r="Q39" s="10">
        <v>132682</v>
      </c>
      <c r="R39" s="10">
        <v>132682</v>
      </c>
    </row>
    <row r="40" spans="1:18" x14ac:dyDescent="0.2">
      <c r="F40" s="2" t="s">
        <v>73</v>
      </c>
      <c r="G40" s="10">
        <v>179132</v>
      </c>
      <c r="H40" s="10">
        <v>179132</v>
      </c>
      <c r="I40" s="10">
        <v>179132</v>
      </c>
      <c r="J40" s="10">
        <v>179132</v>
      </c>
      <c r="K40" s="10">
        <v>179132</v>
      </c>
      <c r="L40" s="10">
        <v>179132</v>
      </c>
      <c r="M40" s="10">
        <v>179132</v>
      </c>
      <c r="N40" s="10">
        <v>179132</v>
      </c>
      <c r="O40" s="10">
        <v>179132</v>
      </c>
      <c r="P40" s="10">
        <v>179132</v>
      </c>
      <c r="Q40" s="10">
        <v>179132</v>
      </c>
      <c r="R40" s="10">
        <v>179132</v>
      </c>
    </row>
    <row r="41" spans="1:18" x14ac:dyDescent="0.2"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5" x14ac:dyDescent="0.25">
      <c r="C42" s="13"/>
      <c r="D42" s="9"/>
      <c r="E42" s="9" t="s">
        <v>93</v>
      </c>
      <c r="G42" s="12">
        <f t="shared" ref="G42:N42" si="23">SUM(G43:G45)</f>
        <v>1044748</v>
      </c>
      <c r="H42" s="12">
        <f t="shared" si="23"/>
        <v>1044748</v>
      </c>
      <c r="I42" s="12">
        <f t="shared" si="23"/>
        <v>1044748</v>
      </c>
      <c r="J42" s="12">
        <f t="shared" si="23"/>
        <v>1044748</v>
      </c>
      <c r="K42" s="12">
        <f t="shared" si="23"/>
        <v>1044748</v>
      </c>
      <c r="L42" s="12">
        <f t="shared" si="23"/>
        <v>1044748</v>
      </c>
      <c r="M42" s="12">
        <f t="shared" si="23"/>
        <v>1089748.1529999999</v>
      </c>
      <c r="N42" s="12">
        <f t="shared" si="23"/>
        <v>1089748.1529999999</v>
      </c>
      <c r="O42" s="12">
        <f>SUM(O43:O45)</f>
        <v>1089748</v>
      </c>
      <c r="P42" s="12">
        <f t="shared" ref="P42:Q42" si="24">SUM(P43:P45)</f>
        <v>1089748</v>
      </c>
      <c r="Q42" s="12">
        <f t="shared" si="24"/>
        <v>1089748</v>
      </c>
      <c r="R42" s="12">
        <f t="shared" ref="R42" si="25">SUM(R43:R45)</f>
        <v>1089748</v>
      </c>
    </row>
    <row r="43" spans="1:18" ht="15" x14ac:dyDescent="0.25">
      <c r="A43" s="9"/>
      <c r="B43" s="9"/>
      <c r="C43" s="9"/>
      <c r="F43" s="2" t="s">
        <v>62</v>
      </c>
      <c r="G43" s="10">
        <v>408136</v>
      </c>
      <c r="H43" s="10">
        <v>408136</v>
      </c>
      <c r="I43" s="10">
        <v>408136</v>
      </c>
      <c r="J43" s="10">
        <v>408136</v>
      </c>
      <c r="K43" s="10">
        <v>408136</v>
      </c>
      <c r="L43" s="10">
        <v>408136</v>
      </c>
      <c r="M43" s="10">
        <v>408136</v>
      </c>
      <c r="N43" s="10">
        <v>408136</v>
      </c>
      <c r="O43" s="10">
        <v>408136</v>
      </c>
      <c r="P43" s="10">
        <v>408136</v>
      </c>
      <c r="Q43" s="10">
        <v>408136</v>
      </c>
      <c r="R43" s="10">
        <v>408136</v>
      </c>
    </row>
    <row r="44" spans="1:18" ht="15" x14ac:dyDescent="0.25">
      <c r="A44" s="9"/>
      <c r="B44" s="9"/>
      <c r="C44" s="9"/>
      <c r="F44" s="2" t="s">
        <v>16</v>
      </c>
      <c r="G44" s="10">
        <v>255837</v>
      </c>
      <c r="H44" s="10">
        <v>255837</v>
      </c>
      <c r="I44" s="10">
        <v>255837</v>
      </c>
      <c r="J44" s="10">
        <v>255837</v>
      </c>
      <c r="K44" s="10">
        <v>255837</v>
      </c>
      <c r="L44" s="10">
        <v>255837</v>
      </c>
      <c r="M44" s="10">
        <v>255837.15299999999</v>
      </c>
      <c r="N44" s="10">
        <v>255837.15299999999</v>
      </c>
      <c r="O44" s="10">
        <v>255837</v>
      </c>
      <c r="P44" s="10">
        <v>255837</v>
      </c>
      <c r="Q44" s="10">
        <v>255837</v>
      </c>
      <c r="R44" s="10">
        <v>255837</v>
      </c>
    </row>
    <row r="45" spans="1:18" ht="15" x14ac:dyDescent="0.25">
      <c r="A45" s="9"/>
      <c r="B45" s="9"/>
      <c r="C45" s="9"/>
      <c r="F45" s="2" t="s">
        <v>19</v>
      </c>
      <c r="G45" s="10">
        <v>380775</v>
      </c>
      <c r="H45" s="10">
        <v>380775</v>
      </c>
      <c r="I45" s="10">
        <v>380775</v>
      </c>
      <c r="J45" s="10">
        <v>380775</v>
      </c>
      <c r="K45" s="10">
        <v>380775</v>
      </c>
      <c r="L45" s="10">
        <v>380775</v>
      </c>
      <c r="M45" s="10">
        <v>425775</v>
      </c>
      <c r="N45" s="10">
        <v>425775</v>
      </c>
      <c r="O45" s="10">
        <v>425775</v>
      </c>
      <c r="P45" s="10">
        <v>425775</v>
      </c>
      <c r="Q45" s="10">
        <v>425775</v>
      </c>
      <c r="R45" s="10">
        <v>425775</v>
      </c>
    </row>
    <row r="46" spans="1:18" ht="15" x14ac:dyDescent="0.25">
      <c r="A46" s="9"/>
      <c r="B46" s="9"/>
      <c r="C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5" x14ac:dyDescent="0.25">
      <c r="A47" s="9"/>
      <c r="B47" s="9"/>
      <c r="D47" s="9"/>
      <c r="E47" s="9" t="s">
        <v>94</v>
      </c>
      <c r="F47" s="9"/>
      <c r="G47" s="14">
        <v>50000</v>
      </c>
      <c r="H47" s="14">
        <v>50000</v>
      </c>
      <c r="I47" s="14">
        <v>50000</v>
      </c>
      <c r="J47" s="14">
        <v>50000</v>
      </c>
      <c r="K47" s="14">
        <v>50000</v>
      </c>
      <c r="L47" s="14">
        <v>50000</v>
      </c>
      <c r="M47" s="14">
        <v>50000</v>
      </c>
      <c r="N47" s="14">
        <v>50000</v>
      </c>
      <c r="O47" s="14">
        <v>50000</v>
      </c>
      <c r="P47" s="14">
        <v>50000</v>
      </c>
      <c r="Q47" s="14">
        <v>50000</v>
      </c>
      <c r="R47" s="14">
        <v>50000</v>
      </c>
    </row>
    <row r="48" spans="1:18" ht="15" x14ac:dyDescent="0.25">
      <c r="A48" s="9"/>
      <c r="B48" s="9"/>
      <c r="C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5" x14ac:dyDescent="0.25">
      <c r="A49" s="9"/>
      <c r="B49" s="9"/>
      <c r="D49" s="9"/>
      <c r="E49" s="9" t="s">
        <v>95</v>
      </c>
      <c r="F49" s="9"/>
      <c r="G49" s="14">
        <v>7073</v>
      </c>
      <c r="H49" s="14">
        <v>6965</v>
      </c>
      <c r="I49" s="14">
        <v>6935</v>
      </c>
      <c r="J49" s="14">
        <v>6863</v>
      </c>
      <c r="K49" s="14">
        <v>6977</v>
      </c>
      <c r="L49" s="14">
        <v>6833.2879999999996</v>
      </c>
      <c r="M49" s="14">
        <v>6725</v>
      </c>
      <c r="N49" s="14">
        <v>6689</v>
      </c>
      <c r="O49" s="14">
        <v>6628</v>
      </c>
      <c r="P49" s="14">
        <v>6485</v>
      </c>
      <c r="Q49" s="14">
        <v>6342</v>
      </c>
      <c r="R49" s="14">
        <v>6133</v>
      </c>
    </row>
    <row r="50" spans="1:18" ht="15" x14ac:dyDescent="0.25">
      <c r="A50" s="9"/>
      <c r="B50" s="9"/>
      <c r="C50" s="9"/>
      <c r="D50" s="9"/>
      <c r="E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5" x14ac:dyDescent="0.25">
      <c r="A51" s="9"/>
      <c r="B51" s="9"/>
      <c r="C51" s="13" t="s">
        <v>84</v>
      </c>
      <c r="D51" s="9"/>
      <c r="E51" s="9" t="s">
        <v>96</v>
      </c>
      <c r="G51" s="15">
        <f t="shared" ref="G51:R51" si="26">G52</f>
        <v>25568</v>
      </c>
      <c r="H51" s="15">
        <f t="shared" si="26"/>
        <v>25692.5</v>
      </c>
      <c r="I51" s="15">
        <f t="shared" si="26"/>
        <v>25953</v>
      </c>
      <c r="J51" s="15">
        <f t="shared" si="26"/>
        <v>26168</v>
      </c>
      <c r="K51" s="15">
        <f t="shared" si="26"/>
        <v>26206</v>
      </c>
      <c r="L51" s="15">
        <f t="shared" si="26"/>
        <v>27485</v>
      </c>
      <c r="M51" s="15">
        <f t="shared" si="26"/>
        <v>27661</v>
      </c>
      <c r="N51" s="15">
        <f t="shared" si="26"/>
        <v>28086</v>
      </c>
      <c r="O51" s="15">
        <f t="shared" si="26"/>
        <v>29323</v>
      </c>
      <c r="P51" s="15">
        <f t="shared" si="26"/>
        <v>29024</v>
      </c>
      <c r="Q51" s="15">
        <f t="shared" si="26"/>
        <v>28299</v>
      </c>
      <c r="R51" s="15">
        <f t="shared" si="26"/>
        <v>27907</v>
      </c>
    </row>
    <row r="52" spans="1:18" ht="15" x14ac:dyDescent="0.25">
      <c r="A52" s="9"/>
      <c r="B52" s="9"/>
      <c r="C52" s="13"/>
      <c r="D52" s="9"/>
      <c r="E52" s="9"/>
      <c r="F52" s="2" t="s">
        <v>79</v>
      </c>
      <c r="G52" s="10">
        <v>25568</v>
      </c>
      <c r="H52" s="10">
        <v>25692.5</v>
      </c>
      <c r="I52" s="10">
        <v>25953</v>
      </c>
      <c r="J52" s="10">
        <v>26168</v>
      </c>
      <c r="K52" s="10">
        <v>26206</v>
      </c>
      <c r="L52" s="10">
        <v>27485</v>
      </c>
      <c r="M52" s="10">
        <v>27661</v>
      </c>
      <c r="N52" s="10">
        <v>28086</v>
      </c>
      <c r="O52" s="10">
        <v>29323</v>
      </c>
      <c r="P52" s="10">
        <v>29024</v>
      </c>
      <c r="Q52" s="10">
        <v>28299</v>
      </c>
      <c r="R52" s="10">
        <v>27907</v>
      </c>
    </row>
    <row r="53" spans="1:18" ht="15" x14ac:dyDescent="0.25">
      <c r="A53" s="9"/>
      <c r="B53" s="9"/>
      <c r="C53" s="13"/>
      <c r="D53" s="9"/>
      <c r="E53" s="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5" x14ac:dyDescent="0.25">
      <c r="A54" s="9"/>
      <c r="B54" s="9"/>
      <c r="C54" s="13"/>
      <c r="D54" s="9"/>
      <c r="E54" s="9" t="s">
        <v>143</v>
      </c>
      <c r="G54" s="14">
        <f t="shared" ref="G54:M54" si="27">SUM(G55:G56)</f>
        <v>81480</v>
      </c>
      <c r="H54" s="14">
        <f t="shared" si="27"/>
        <v>81879</v>
      </c>
      <c r="I54" s="14">
        <f t="shared" si="27"/>
        <v>82709.179000000004</v>
      </c>
      <c r="J54" s="14">
        <f t="shared" si="27"/>
        <v>83393</v>
      </c>
      <c r="K54" s="14">
        <f t="shared" si="27"/>
        <v>83516</v>
      </c>
      <c r="L54" s="14">
        <f t="shared" si="27"/>
        <v>87592</v>
      </c>
      <c r="M54" s="14">
        <f t="shared" si="27"/>
        <v>88153</v>
      </c>
      <c r="N54" s="14">
        <f t="shared" ref="N54" si="28">SUM(N55:N56)</f>
        <v>89505.179000000004</v>
      </c>
      <c r="O54" s="14">
        <f>SUM(O55:O56)</f>
        <v>93449</v>
      </c>
      <c r="P54" s="14">
        <f t="shared" ref="P54:Q54" si="29">SUM(P55:P56)</f>
        <v>92494</v>
      </c>
      <c r="Q54" s="14">
        <f t="shared" si="29"/>
        <v>90186</v>
      </c>
      <c r="R54" s="14">
        <f t="shared" ref="R54" si="30">SUM(R55:R56)</f>
        <v>88938</v>
      </c>
    </row>
    <row r="55" spans="1:18" ht="15" x14ac:dyDescent="0.25">
      <c r="A55" s="9"/>
      <c r="B55" s="9"/>
      <c r="C55" s="13"/>
      <c r="D55" s="9"/>
      <c r="E55" s="9"/>
      <c r="F55" s="2" t="s">
        <v>141</v>
      </c>
      <c r="G55" s="10">
        <v>56949</v>
      </c>
      <c r="H55" s="10">
        <v>57228</v>
      </c>
      <c r="I55" s="10">
        <v>57808.178999999996</v>
      </c>
      <c r="J55" s="10">
        <v>58286</v>
      </c>
      <c r="K55" s="10">
        <v>58372</v>
      </c>
      <c r="L55" s="10">
        <v>61221</v>
      </c>
      <c r="M55" s="10">
        <v>61613</v>
      </c>
      <c r="N55" s="10">
        <v>62558.148000000001</v>
      </c>
      <c r="O55" s="10">
        <v>65315</v>
      </c>
      <c r="P55" s="10">
        <v>64647</v>
      </c>
      <c r="Q55" s="10">
        <v>63034</v>
      </c>
      <c r="R55" s="10">
        <v>62162</v>
      </c>
    </row>
    <row r="56" spans="1:18" ht="15" x14ac:dyDescent="0.25">
      <c r="A56" s="9"/>
      <c r="B56" s="9"/>
      <c r="C56" s="13"/>
      <c r="D56" s="9"/>
      <c r="E56" s="9"/>
      <c r="F56" s="2" t="s">
        <v>144</v>
      </c>
      <c r="G56" s="10">
        <v>24531</v>
      </c>
      <c r="H56" s="10">
        <v>24651</v>
      </c>
      <c r="I56" s="10">
        <v>24901</v>
      </c>
      <c r="J56" s="10">
        <v>25107</v>
      </c>
      <c r="K56" s="10">
        <v>25144</v>
      </c>
      <c r="L56" s="10">
        <v>26371</v>
      </c>
      <c r="M56" s="10">
        <v>26540</v>
      </c>
      <c r="N56" s="10">
        <v>26947.030999999999</v>
      </c>
      <c r="O56" s="10">
        <v>28134</v>
      </c>
      <c r="P56" s="10">
        <v>27847</v>
      </c>
      <c r="Q56" s="10">
        <v>27152</v>
      </c>
      <c r="R56" s="10">
        <v>26776</v>
      </c>
    </row>
    <row r="57" spans="1:18" ht="15" x14ac:dyDescent="0.25">
      <c r="A57" s="9"/>
      <c r="B57" s="9"/>
      <c r="C57" s="13"/>
      <c r="D57" s="9"/>
      <c r="E57" s="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5" x14ac:dyDescent="0.25">
      <c r="A58" s="9" t="s">
        <v>49</v>
      </c>
      <c r="B58" s="9"/>
      <c r="C58" s="9"/>
      <c r="D58" s="9"/>
      <c r="E58" s="9"/>
      <c r="F58" s="9"/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</row>
    <row r="59" spans="1:18" x14ac:dyDescent="0.2">
      <c r="G59" s="16"/>
    </row>
    <row r="60" spans="1:18" x14ac:dyDescent="0.2">
      <c r="G60" s="16"/>
    </row>
    <row r="61" spans="1:18" x14ac:dyDescent="0.2">
      <c r="G61" s="16"/>
    </row>
    <row r="62" spans="1:18" x14ac:dyDescent="0.2">
      <c r="A62" s="17"/>
      <c r="B62" s="18" t="s">
        <v>21</v>
      </c>
      <c r="C62" s="18"/>
      <c r="D62" s="18"/>
      <c r="E62" s="18"/>
      <c r="F62" s="18"/>
      <c r="G62" s="18"/>
    </row>
    <row r="63" spans="1:18" x14ac:dyDescent="0.2">
      <c r="B63" s="19"/>
      <c r="C63" s="19"/>
      <c r="D63" s="20"/>
      <c r="E63" s="20"/>
      <c r="G63" s="20"/>
    </row>
    <row r="64" spans="1:18" x14ac:dyDescent="0.2">
      <c r="B64" s="79"/>
      <c r="C64" s="79"/>
      <c r="D64" s="79"/>
      <c r="E64" s="79"/>
      <c r="F64" s="79"/>
    </row>
    <row r="65" spans="1:6" x14ac:dyDescent="0.2">
      <c r="A65" s="18"/>
      <c r="B65" s="18"/>
      <c r="C65" s="18"/>
    </row>
    <row r="66" spans="1:6" x14ac:dyDescent="0.2">
      <c r="A66" s="20"/>
      <c r="B66" s="18"/>
      <c r="C66" s="18"/>
    </row>
    <row r="68" spans="1:6" x14ac:dyDescent="0.2">
      <c r="F68" s="21" t="s">
        <v>71</v>
      </c>
    </row>
  </sheetData>
  <mergeCells count="17">
    <mergeCell ref="J6:J7"/>
    <mergeCell ref="K6:K7"/>
    <mergeCell ref="L6:L7"/>
    <mergeCell ref="A1:R1"/>
    <mergeCell ref="A2:R2"/>
    <mergeCell ref="A3:R3"/>
    <mergeCell ref="R6:R7"/>
    <mergeCell ref="P6:P7"/>
    <mergeCell ref="Q6:Q7"/>
    <mergeCell ref="O6:O7"/>
    <mergeCell ref="N6:N7"/>
    <mergeCell ref="M6:M7"/>
    <mergeCell ref="B64:F64"/>
    <mergeCell ref="A6:F7"/>
    <mergeCell ref="G6:G7"/>
    <mergeCell ref="H6:H7"/>
    <mergeCell ref="I6:I7"/>
  </mergeCells>
  <phoneticPr fontId="4" type="noConversion"/>
  <printOptions horizontalCentered="1"/>
  <pageMargins left="0" right="0" top="0.5" bottom="0.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1"/>
  <sheetViews>
    <sheetView zoomScaleNormal="100" zoomScaleSheetLayoutView="100" workbookViewId="0">
      <pane xSplit="6" ySplit="7" topLeftCell="G38" activePane="bottomRight" state="frozen"/>
      <selection activeCell="B1" sqref="B1"/>
      <selection pane="topRight" activeCell="F1" sqref="F1"/>
      <selection pane="bottomLeft" activeCell="B8" sqref="B8"/>
      <selection pane="bottomRight" activeCell="Q25" sqref="Q25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2.140625" style="2" customWidth="1"/>
    <col min="7" max="9" width="12.28515625" style="2" customWidth="1"/>
    <col min="10" max="10" width="10.85546875" style="2" customWidth="1"/>
    <col min="11" max="11" width="11.42578125" style="2" customWidth="1"/>
    <col min="12" max="12" width="10.140625" style="2" customWidth="1"/>
    <col min="13" max="13" width="10.85546875" style="2" customWidth="1"/>
    <col min="14" max="14" width="10.7109375" style="2" customWidth="1"/>
    <col min="15" max="15" width="10.42578125" style="2" customWidth="1"/>
    <col min="16" max="16" width="10.28515625" style="2" customWidth="1"/>
    <col min="17" max="17" width="11" style="2" customWidth="1"/>
    <col min="18" max="18" width="11.7109375" style="2" customWidth="1"/>
    <col min="19" max="16384" width="9.140625" style="2"/>
  </cols>
  <sheetData>
    <row r="1" spans="1:18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5" x14ac:dyDescent="0.2">
      <c r="A2" s="83" t="s">
        <v>179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6" customHeight="1" x14ac:dyDescent="0.2"/>
    <row r="5" spans="1:18" ht="6" customHeight="1" x14ac:dyDescent="0.2"/>
    <row r="6" spans="1:18" s="3" customFormat="1" x14ac:dyDescent="0.2">
      <c r="A6" s="80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18</v>
      </c>
      <c r="M6" s="80" t="s">
        <v>83</v>
      </c>
      <c r="N6" s="80" t="s">
        <v>6</v>
      </c>
      <c r="O6" s="80" t="s">
        <v>81</v>
      </c>
      <c r="P6" s="80" t="s">
        <v>7</v>
      </c>
      <c r="Q6" s="80" t="s">
        <v>8</v>
      </c>
      <c r="R6" s="80" t="s">
        <v>9</v>
      </c>
    </row>
    <row r="7" spans="1:18" ht="10.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 ht="7.5" customHeight="1" thickTop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5">
      <c r="A9" s="5" t="s">
        <v>97</v>
      </c>
      <c r="B9" s="5"/>
      <c r="C9" s="5"/>
      <c r="D9" s="5"/>
      <c r="E9" s="5"/>
      <c r="F9" s="5"/>
      <c r="G9" s="8">
        <f>G11+G61</f>
        <v>6784606.267</v>
      </c>
      <c r="H9" s="8">
        <f t="shared" ref="H9:R9" si="0">H11+H61</f>
        <v>6822120</v>
      </c>
      <c r="I9" s="8">
        <f>I11+I61</f>
        <v>7203658.9519999996</v>
      </c>
      <c r="J9" s="8">
        <f t="shared" si="0"/>
        <v>7271436</v>
      </c>
      <c r="K9" s="8">
        <f t="shared" si="0"/>
        <v>7375599</v>
      </c>
      <c r="L9" s="8">
        <f t="shared" si="0"/>
        <v>7398400.5290000001</v>
      </c>
      <c r="M9" s="8">
        <f t="shared" si="0"/>
        <v>7579442</v>
      </c>
      <c r="N9" s="8">
        <f t="shared" si="0"/>
        <v>7680148</v>
      </c>
      <c r="O9" s="8">
        <f>O11+O61</f>
        <v>7847597</v>
      </c>
      <c r="P9" s="8">
        <f t="shared" si="0"/>
        <v>7928251.6339999996</v>
      </c>
      <c r="Q9" s="8">
        <f t="shared" si="0"/>
        <v>7901346.227</v>
      </c>
      <c r="R9" s="8">
        <f t="shared" si="0"/>
        <v>8170258</v>
      </c>
    </row>
    <row r="10" spans="1:18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5" x14ac:dyDescent="0.25">
      <c r="B11" s="5" t="s">
        <v>89</v>
      </c>
      <c r="C11" s="5"/>
      <c r="D11" s="5"/>
      <c r="E11" s="5"/>
      <c r="F11" s="5"/>
      <c r="G11" s="8">
        <f>G12+G20</f>
        <v>6784606.267</v>
      </c>
      <c r="H11" s="8">
        <f t="shared" ref="H11:R11" si="1">H12+H20</f>
        <v>6822120</v>
      </c>
      <c r="I11" s="8">
        <f t="shared" si="1"/>
        <v>7203658.9519999996</v>
      </c>
      <c r="J11" s="8">
        <f t="shared" si="1"/>
        <v>7271436</v>
      </c>
      <c r="K11" s="8">
        <f t="shared" si="1"/>
        <v>7375599</v>
      </c>
      <c r="L11" s="8">
        <f t="shared" si="1"/>
        <v>7398400.5290000001</v>
      </c>
      <c r="M11" s="8">
        <f t="shared" si="1"/>
        <v>7579442</v>
      </c>
      <c r="N11" s="8">
        <f t="shared" si="1"/>
        <v>7680148</v>
      </c>
      <c r="O11" s="8">
        <f t="shared" si="1"/>
        <v>7847597</v>
      </c>
      <c r="P11" s="8">
        <f t="shared" si="1"/>
        <v>7928251.6339999996</v>
      </c>
      <c r="Q11" s="8">
        <f t="shared" si="1"/>
        <v>7901346.227</v>
      </c>
      <c r="R11" s="8">
        <f t="shared" si="1"/>
        <v>8170258</v>
      </c>
    </row>
    <row r="12" spans="1:18" ht="15" x14ac:dyDescent="0.25">
      <c r="B12" s="9"/>
      <c r="C12" s="9" t="s">
        <v>90</v>
      </c>
      <c r="F12" s="9"/>
      <c r="G12" s="8">
        <f>SUM(G13:G18)</f>
        <v>1000239</v>
      </c>
      <c r="H12" s="8">
        <f t="shared" ref="H12:R12" si="2">SUM(H13:H18)</f>
        <v>1007436</v>
      </c>
      <c r="I12" s="8">
        <f t="shared" si="2"/>
        <v>1049236</v>
      </c>
      <c r="J12" s="8">
        <f t="shared" si="2"/>
        <v>1060386</v>
      </c>
      <c r="K12" s="8">
        <f t="shared" si="2"/>
        <v>1069786</v>
      </c>
      <c r="L12" s="8">
        <f t="shared" si="2"/>
        <v>1023076</v>
      </c>
      <c r="M12" s="8">
        <f t="shared" si="2"/>
        <v>994576</v>
      </c>
      <c r="N12" s="8">
        <f t="shared" si="2"/>
        <v>963543</v>
      </c>
      <c r="O12" s="8">
        <f t="shared" si="2"/>
        <v>942543</v>
      </c>
      <c r="P12" s="8">
        <f t="shared" si="2"/>
        <v>905543</v>
      </c>
      <c r="Q12" s="8">
        <f t="shared" si="2"/>
        <v>852143</v>
      </c>
      <c r="R12" s="8">
        <f t="shared" si="2"/>
        <v>796143</v>
      </c>
    </row>
    <row r="13" spans="1:18" x14ac:dyDescent="0.2">
      <c r="F13" s="2" t="s">
        <v>76</v>
      </c>
      <c r="G13" s="10">
        <v>174568</v>
      </c>
      <c r="H13" s="10">
        <v>174568</v>
      </c>
      <c r="I13" s="10">
        <v>174568</v>
      </c>
      <c r="J13" s="10">
        <v>174568</v>
      </c>
      <c r="K13" s="10">
        <v>174568</v>
      </c>
      <c r="L13" s="10">
        <v>174568</v>
      </c>
      <c r="M13" s="10">
        <v>174568</v>
      </c>
      <c r="N13" s="10">
        <v>174568</v>
      </c>
      <c r="O13" s="10">
        <v>174568</v>
      </c>
      <c r="P13" s="10">
        <v>174568</v>
      </c>
      <c r="Q13" s="10">
        <v>174568</v>
      </c>
      <c r="R13" s="10">
        <v>174568</v>
      </c>
    </row>
    <row r="14" spans="1:18" x14ac:dyDescent="0.2">
      <c r="F14" s="11" t="s">
        <v>104</v>
      </c>
      <c r="G14" s="10">
        <v>61000</v>
      </c>
      <c r="H14" s="10">
        <v>63000</v>
      </c>
      <c r="I14" s="10">
        <v>75000</v>
      </c>
      <c r="J14" s="10">
        <v>73000</v>
      </c>
      <c r="K14" s="10">
        <v>69000</v>
      </c>
      <c r="L14" s="10">
        <v>73000</v>
      </c>
      <c r="M14" s="10">
        <v>73000</v>
      </c>
      <c r="N14" s="10">
        <v>71000</v>
      </c>
      <c r="O14" s="10">
        <v>65000</v>
      </c>
      <c r="P14" s="10">
        <v>65000</v>
      </c>
      <c r="Q14" s="10">
        <v>65000</v>
      </c>
      <c r="R14" s="10">
        <v>46000</v>
      </c>
    </row>
    <row r="15" spans="1:18" x14ac:dyDescent="0.2">
      <c r="F15" s="11" t="s">
        <v>105</v>
      </c>
      <c r="G15" s="10">
        <v>132000</v>
      </c>
      <c r="H15" s="10">
        <v>138000</v>
      </c>
      <c r="I15" s="10">
        <v>140000</v>
      </c>
      <c r="J15" s="10">
        <v>152000</v>
      </c>
      <c r="K15" s="10">
        <v>166400</v>
      </c>
      <c r="L15" s="10">
        <v>182400</v>
      </c>
      <c r="M15" s="10">
        <v>174400</v>
      </c>
      <c r="N15" s="10">
        <v>168400</v>
      </c>
      <c r="O15" s="10">
        <v>166400</v>
      </c>
      <c r="P15" s="10">
        <v>154400</v>
      </c>
      <c r="Q15" s="10">
        <v>136000</v>
      </c>
      <c r="R15" s="10">
        <v>114000</v>
      </c>
    </row>
    <row r="16" spans="1:18" x14ac:dyDescent="0.2">
      <c r="F16" s="11" t="s">
        <v>106</v>
      </c>
      <c r="G16" s="10">
        <v>465200</v>
      </c>
      <c r="H16" s="10">
        <v>473200</v>
      </c>
      <c r="I16" s="10">
        <v>496000</v>
      </c>
      <c r="J16" s="10">
        <v>514000</v>
      </c>
      <c r="K16" s="10">
        <v>518000</v>
      </c>
      <c r="L16" s="10">
        <v>489000</v>
      </c>
      <c r="M16" s="10">
        <v>469000</v>
      </c>
      <c r="N16" s="10">
        <v>449000</v>
      </c>
      <c r="O16" s="10">
        <v>436000</v>
      </c>
      <c r="P16" s="10">
        <v>416000</v>
      </c>
      <c r="Q16" s="10">
        <v>396000</v>
      </c>
      <c r="R16" s="10">
        <v>381000</v>
      </c>
    </row>
    <row r="17" spans="2:18" x14ac:dyDescent="0.2">
      <c r="F17" s="2" t="s">
        <v>98</v>
      </c>
      <c r="G17" s="10">
        <v>161368</v>
      </c>
      <c r="H17" s="10">
        <v>158668</v>
      </c>
      <c r="I17" s="10">
        <v>163668</v>
      </c>
      <c r="J17" s="10">
        <v>146818</v>
      </c>
      <c r="K17" s="10">
        <v>141818</v>
      </c>
      <c r="L17" s="10">
        <v>104108</v>
      </c>
      <c r="M17" s="10">
        <v>103608</v>
      </c>
      <c r="N17" s="10">
        <v>100575</v>
      </c>
      <c r="O17" s="10">
        <v>100575</v>
      </c>
      <c r="P17" s="10">
        <v>95575</v>
      </c>
      <c r="Q17" s="10">
        <v>80575</v>
      </c>
      <c r="R17" s="10">
        <v>80575</v>
      </c>
    </row>
    <row r="18" spans="2:18" x14ac:dyDescent="0.2">
      <c r="F18" s="2" t="s">
        <v>99</v>
      </c>
      <c r="G18" s="10">
        <v>6103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</row>
    <row r="19" spans="2:18" x14ac:dyDescent="0.2"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ht="15" x14ac:dyDescent="0.25">
      <c r="B20" s="9"/>
      <c r="C20" s="9" t="s">
        <v>88</v>
      </c>
      <c r="F20" s="9"/>
      <c r="G20" s="12">
        <f>G22+G31</f>
        <v>5784367.267</v>
      </c>
      <c r="H20" s="12">
        <f t="shared" ref="H20:R20" si="3">H22+H31</f>
        <v>5814684</v>
      </c>
      <c r="I20" s="12">
        <f t="shared" si="3"/>
        <v>6154422.9519999996</v>
      </c>
      <c r="J20" s="12">
        <f t="shared" si="3"/>
        <v>6211050</v>
      </c>
      <c r="K20" s="12">
        <f t="shared" si="3"/>
        <v>6305813</v>
      </c>
      <c r="L20" s="12">
        <f t="shared" si="3"/>
        <v>6375324.5290000001</v>
      </c>
      <c r="M20" s="12">
        <f t="shared" si="3"/>
        <v>6584866</v>
      </c>
      <c r="N20" s="12">
        <f t="shared" si="3"/>
        <v>6716605</v>
      </c>
      <c r="O20" s="12">
        <f t="shared" si="3"/>
        <v>6905054</v>
      </c>
      <c r="P20" s="12">
        <f t="shared" si="3"/>
        <v>7022708.6339999996</v>
      </c>
      <c r="Q20" s="12">
        <f t="shared" si="3"/>
        <v>7049203.227</v>
      </c>
      <c r="R20" s="12">
        <f t="shared" si="3"/>
        <v>7374115</v>
      </c>
    </row>
    <row r="21" spans="2:18" ht="15" x14ac:dyDescent="0.25">
      <c r="B21" s="9"/>
      <c r="C21" s="9"/>
      <c r="F21" s="9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2:18" ht="15" x14ac:dyDescent="0.25">
      <c r="B22" s="9"/>
      <c r="C22" s="9"/>
      <c r="D22" s="9" t="s">
        <v>91</v>
      </c>
      <c r="E22" s="9"/>
      <c r="G22" s="12">
        <f>SUM(G23:G29)</f>
        <v>2468675</v>
      </c>
      <c r="H22" s="12">
        <f t="shared" ref="H22:R22" si="4">SUM(H23:H29)</f>
        <v>2498675</v>
      </c>
      <c r="I22" s="12">
        <f t="shared" si="4"/>
        <v>2441545</v>
      </c>
      <c r="J22" s="12">
        <f t="shared" si="4"/>
        <v>2498380</v>
      </c>
      <c r="K22" s="12">
        <f t="shared" si="4"/>
        <v>2593380</v>
      </c>
      <c r="L22" s="12">
        <f t="shared" si="4"/>
        <v>2735380</v>
      </c>
      <c r="M22" s="12">
        <f t="shared" si="4"/>
        <v>2944240</v>
      </c>
      <c r="N22" s="12">
        <f t="shared" si="4"/>
        <v>3041240</v>
      </c>
      <c r="O22" s="12">
        <f t="shared" si="4"/>
        <v>3229190</v>
      </c>
      <c r="P22" s="12">
        <f t="shared" si="4"/>
        <v>3319083</v>
      </c>
      <c r="Q22" s="12">
        <f t="shared" si="4"/>
        <v>3346113.227</v>
      </c>
      <c r="R22" s="12">
        <f t="shared" si="4"/>
        <v>3317093</v>
      </c>
    </row>
    <row r="23" spans="2:18" x14ac:dyDescent="0.2">
      <c r="F23" s="2" t="s">
        <v>22</v>
      </c>
      <c r="G23" s="10">
        <v>252510</v>
      </c>
      <c r="H23" s="10">
        <v>252510</v>
      </c>
      <c r="I23" s="10">
        <v>252510</v>
      </c>
      <c r="J23" s="10">
        <v>252510</v>
      </c>
      <c r="K23" s="10">
        <v>252510</v>
      </c>
      <c r="L23" s="10">
        <v>252510</v>
      </c>
      <c r="M23" s="10">
        <v>252510</v>
      </c>
      <c r="N23" s="10">
        <v>252510</v>
      </c>
      <c r="O23" s="10">
        <v>252510</v>
      </c>
      <c r="P23" s="10">
        <v>252510</v>
      </c>
      <c r="Q23" s="10">
        <v>252510</v>
      </c>
      <c r="R23" s="10">
        <v>252510</v>
      </c>
    </row>
    <row r="24" spans="2:18" x14ac:dyDescent="0.2">
      <c r="F24" s="2" t="s">
        <v>14</v>
      </c>
      <c r="G24" s="10">
        <v>316779</v>
      </c>
      <c r="H24" s="10">
        <v>316779</v>
      </c>
      <c r="I24" s="10">
        <v>316779</v>
      </c>
      <c r="J24" s="10">
        <v>351779</v>
      </c>
      <c r="K24" s="10">
        <v>401779</v>
      </c>
      <c r="L24" s="10">
        <v>401779</v>
      </c>
      <c r="M24" s="10">
        <v>401779</v>
      </c>
      <c r="N24" s="10">
        <v>401779</v>
      </c>
      <c r="O24" s="10">
        <v>436779</v>
      </c>
      <c r="P24" s="10">
        <v>471779</v>
      </c>
      <c r="Q24" s="10">
        <v>506779</v>
      </c>
      <c r="R24" s="10">
        <v>477759</v>
      </c>
    </row>
    <row r="25" spans="2:18" x14ac:dyDescent="0.2">
      <c r="F25" s="2" t="s">
        <v>15</v>
      </c>
      <c r="G25" s="10">
        <v>594235</v>
      </c>
      <c r="H25" s="10">
        <v>594235</v>
      </c>
      <c r="I25" s="10">
        <v>458134</v>
      </c>
      <c r="J25" s="10">
        <v>518134</v>
      </c>
      <c r="K25" s="10">
        <v>563134</v>
      </c>
      <c r="L25" s="10">
        <v>605134</v>
      </c>
      <c r="M25" s="10">
        <v>719105</v>
      </c>
      <c r="N25" s="10">
        <v>774105</v>
      </c>
      <c r="O25" s="10">
        <v>854105</v>
      </c>
      <c r="P25" s="10">
        <v>908998</v>
      </c>
      <c r="Q25" s="10">
        <v>908998</v>
      </c>
      <c r="R25" s="10">
        <v>908998</v>
      </c>
    </row>
    <row r="26" spans="2:18" x14ac:dyDescent="0.2">
      <c r="F26" s="2" t="s">
        <v>20</v>
      </c>
      <c r="G26" s="10">
        <v>648745</v>
      </c>
      <c r="H26" s="10">
        <v>678745</v>
      </c>
      <c r="I26" s="10">
        <v>757716</v>
      </c>
      <c r="J26" s="10">
        <v>719551</v>
      </c>
      <c r="K26" s="10">
        <v>719551</v>
      </c>
      <c r="L26" s="10">
        <v>819551</v>
      </c>
      <c r="M26" s="10">
        <v>859551</v>
      </c>
      <c r="N26" s="10">
        <v>901551</v>
      </c>
      <c r="O26" s="10">
        <v>974501</v>
      </c>
      <c r="P26" s="10">
        <v>974501</v>
      </c>
      <c r="Q26" s="10">
        <v>966531.22699999996</v>
      </c>
      <c r="R26" s="10">
        <v>966531</v>
      </c>
    </row>
    <row r="27" spans="2:18" x14ac:dyDescent="0.2">
      <c r="F27" s="2" t="s">
        <v>46</v>
      </c>
      <c r="G27" s="10">
        <v>420327</v>
      </c>
      <c r="H27" s="10">
        <v>420327</v>
      </c>
      <c r="I27" s="10">
        <v>420327</v>
      </c>
      <c r="J27" s="10">
        <v>420327</v>
      </c>
      <c r="K27" s="10">
        <v>420327</v>
      </c>
      <c r="L27" s="10">
        <v>420327</v>
      </c>
      <c r="M27" s="10">
        <v>475216</v>
      </c>
      <c r="N27" s="10">
        <v>475216</v>
      </c>
      <c r="O27" s="10">
        <v>475216</v>
      </c>
      <c r="P27" s="10">
        <v>475216</v>
      </c>
      <c r="Q27" s="10">
        <v>475216</v>
      </c>
      <c r="R27" s="10">
        <v>475216</v>
      </c>
    </row>
    <row r="28" spans="2:18" x14ac:dyDescent="0.2">
      <c r="F28" s="2" t="s">
        <v>47</v>
      </c>
      <c r="G28" s="10">
        <v>235982</v>
      </c>
      <c r="H28" s="10">
        <v>235982</v>
      </c>
      <c r="I28" s="10">
        <v>235982</v>
      </c>
      <c r="J28" s="10">
        <v>235982</v>
      </c>
      <c r="K28" s="10">
        <v>235982</v>
      </c>
      <c r="L28" s="10">
        <v>235982</v>
      </c>
      <c r="M28" s="10">
        <v>235982</v>
      </c>
      <c r="N28" s="10">
        <v>235982</v>
      </c>
      <c r="O28" s="10">
        <v>235982</v>
      </c>
      <c r="P28" s="10">
        <v>235982</v>
      </c>
      <c r="Q28" s="10">
        <v>235982</v>
      </c>
      <c r="R28" s="10">
        <v>235982</v>
      </c>
    </row>
    <row r="29" spans="2:18" x14ac:dyDescent="0.2">
      <c r="F29" s="2" t="s">
        <v>53</v>
      </c>
      <c r="G29" s="10">
        <v>97</v>
      </c>
      <c r="H29" s="10">
        <v>97</v>
      </c>
      <c r="I29" s="10">
        <v>97</v>
      </c>
      <c r="J29" s="10">
        <v>97</v>
      </c>
      <c r="K29" s="10">
        <v>97</v>
      </c>
      <c r="L29" s="10">
        <v>97</v>
      </c>
      <c r="M29" s="10">
        <v>97</v>
      </c>
      <c r="N29" s="10">
        <v>97</v>
      </c>
      <c r="O29" s="10">
        <v>97</v>
      </c>
      <c r="P29" s="10">
        <v>97</v>
      </c>
      <c r="Q29" s="10">
        <v>97</v>
      </c>
      <c r="R29" s="10">
        <v>97</v>
      </c>
    </row>
    <row r="30" spans="2:18" x14ac:dyDescent="0.2"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18" ht="15" x14ac:dyDescent="0.25">
      <c r="B31" s="9"/>
      <c r="D31" s="9" t="s">
        <v>92</v>
      </c>
      <c r="E31" s="9"/>
      <c r="G31" s="8">
        <f>G32+G41+G47+G49+G51+G54+G58</f>
        <v>3315692.267</v>
      </c>
      <c r="H31" s="8">
        <f t="shared" ref="H31:R31" si="5">H32+H41+H47+H49+H51+H54+H58</f>
        <v>3316009</v>
      </c>
      <c r="I31" s="8">
        <f t="shared" si="5"/>
        <v>3712877.952</v>
      </c>
      <c r="J31" s="8">
        <f t="shared" si="5"/>
        <v>3712670</v>
      </c>
      <c r="K31" s="8">
        <f t="shared" si="5"/>
        <v>3712433</v>
      </c>
      <c r="L31" s="8">
        <f t="shared" si="5"/>
        <v>3639944.5290000001</v>
      </c>
      <c r="M31" s="8">
        <f t="shared" si="5"/>
        <v>3640626</v>
      </c>
      <c r="N31" s="8">
        <f t="shared" si="5"/>
        <v>3675365</v>
      </c>
      <c r="O31" s="8">
        <f t="shared" si="5"/>
        <v>3675864</v>
      </c>
      <c r="P31" s="8">
        <f t="shared" si="5"/>
        <v>3703625.6340000001</v>
      </c>
      <c r="Q31" s="8">
        <f t="shared" si="5"/>
        <v>3703090</v>
      </c>
      <c r="R31" s="8">
        <f t="shared" si="5"/>
        <v>4057022</v>
      </c>
    </row>
    <row r="32" spans="2:18" ht="15" x14ac:dyDescent="0.25">
      <c r="B32" s="9"/>
      <c r="C32" s="9"/>
      <c r="E32" s="9" t="s">
        <v>34</v>
      </c>
      <c r="G32" s="12">
        <f>SUM(G33:G39)</f>
        <v>2199498.1140000001</v>
      </c>
      <c r="H32" s="12">
        <f t="shared" ref="H32:R32" si="6">SUM(H33:H39)</f>
        <v>2199497</v>
      </c>
      <c r="I32" s="12">
        <f t="shared" si="6"/>
        <v>2596409.5580000002</v>
      </c>
      <c r="J32" s="12">
        <f t="shared" si="6"/>
        <v>2596409</v>
      </c>
      <c r="K32" s="12">
        <f t="shared" si="6"/>
        <v>2596409</v>
      </c>
      <c r="L32" s="12">
        <f t="shared" si="6"/>
        <v>2483434</v>
      </c>
      <c r="M32" s="12">
        <f t="shared" si="6"/>
        <v>2483434</v>
      </c>
      <c r="N32" s="12">
        <f t="shared" si="6"/>
        <v>2483434</v>
      </c>
      <c r="O32" s="12">
        <f t="shared" si="6"/>
        <v>2483434</v>
      </c>
      <c r="P32" s="12">
        <f t="shared" si="6"/>
        <v>2430934</v>
      </c>
      <c r="Q32" s="12">
        <f t="shared" si="6"/>
        <v>2430934</v>
      </c>
      <c r="R32" s="12">
        <f t="shared" si="6"/>
        <v>2790959</v>
      </c>
    </row>
    <row r="33" spans="1:18" x14ac:dyDescent="0.2">
      <c r="F33" s="2" t="s">
        <v>68</v>
      </c>
      <c r="G33" s="10">
        <v>432593.40600000002</v>
      </c>
      <c r="H33" s="10">
        <v>432593</v>
      </c>
      <c r="I33" s="10">
        <v>887125</v>
      </c>
      <c r="J33" s="10">
        <v>887125</v>
      </c>
      <c r="K33" s="10">
        <v>887125</v>
      </c>
      <c r="L33" s="10">
        <v>774150</v>
      </c>
      <c r="M33" s="10">
        <v>774150</v>
      </c>
      <c r="N33" s="10">
        <v>774150</v>
      </c>
      <c r="O33" s="10">
        <v>774150</v>
      </c>
      <c r="P33" s="10">
        <v>774150</v>
      </c>
      <c r="Q33" s="10">
        <v>774150</v>
      </c>
      <c r="R33" s="10">
        <v>774150</v>
      </c>
    </row>
    <row r="34" spans="1:18" x14ac:dyDescent="0.2">
      <c r="F34" s="2" t="s">
        <v>27</v>
      </c>
      <c r="G34" s="10">
        <v>1007617</v>
      </c>
      <c r="H34" s="10">
        <v>1007617</v>
      </c>
      <c r="I34" s="10">
        <v>1007617</v>
      </c>
      <c r="J34" s="10">
        <v>1007617</v>
      </c>
      <c r="K34" s="10">
        <v>1007617</v>
      </c>
      <c r="L34" s="10">
        <v>1007617</v>
      </c>
      <c r="M34" s="10">
        <v>1007617</v>
      </c>
      <c r="N34" s="10">
        <v>1007617</v>
      </c>
      <c r="O34" s="10">
        <v>1007617</v>
      </c>
      <c r="P34" s="10">
        <v>1007617</v>
      </c>
      <c r="Q34" s="10">
        <v>1007617</v>
      </c>
      <c r="R34" s="10">
        <v>1007617</v>
      </c>
    </row>
    <row r="35" spans="1:18" x14ac:dyDescent="0.2">
      <c r="F35" s="2" t="s">
        <v>145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360025</v>
      </c>
    </row>
    <row r="36" spans="1:18" x14ac:dyDescent="0.2">
      <c r="F36" s="2" t="s">
        <v>67</v>
      </c>
      <c r="G36" s="10">
        <v>351668.42800000001</v>
      </c>
      <c r="H36" s="10">
        <v>351668</v>
      </c>
      <c r="I36" s="10">
        <v>294048.27799999999</v>
      </c>
      <c r="J36" s="10">
        <v>294048</v>
      </c>
      <c r="K36" s="10">
        <v>294048</v>
      </c>
      <c r="L36" s="10">
        <v>294048</v>
      </c>
      <c r="M36" s="10">
        <v>294048</v>
      </c>
      <c r="N36" s="10">
        <v>294048</v>
      </c>
      <c r="O36" s="10">
        <v>294048</v>
      </c>
      <c r="P36" s="10">
        <v>241548</v>
      </c>
      <c r="Q36" s="10">
        <v>241548</v>
      </c>
      <c r="R36" s="10">
        <v>241548</v>
      </c>
    </row>
    <row r="37" spans="1:18" x14ac:dyDescent="0.2">
      <c r="F37" s="2" t="s">
        <v>66</v>
      </c>
      <c r="G37" s="10">
        <v>95805.236999999994</v>
      </c>
      <c r="H37" s="10">
        <v>95805</v>
      </c>
      <c r="I37" s="10">
        <v>95805.236999999994</v>
      </c>
      <c r="J37" s="10">
        <v>95805</v>
      </c>
      <c r="K37" s="10">
        <v>95805</v>
      </c>
      <c r="L37" s="10">
        <v>95805</v>
      </c>
      <c r="M37" s="10">
        <v>95805</v>
      </c>
      <c r="N37" s="10">
        <v>95805</v>
      </c>
      <c r="O37" s="10">
        <v>95805</v>
      </c>
      <c r="P37" s="10">
        <v>95805</v>
      </c>
      <c r="Q37" s="10">
        <v>95805</v>
      </c>
      <c r="R37" s="10">
        <v>95805</v>
      </c>
    </row>
    <row r="38" spans="1:18" x14ac:dyDescent="0.2">
      <c r="F38" s="2" t="s">
        <v>72</v>
      </c>
      <c r="G38" s="10">
        <v>132682.04300000001</v>
      </c>
      <c r="H38" s="10">
        <v>132682</v>
      </c>
      <c r="I38" s="10">
        <v>132682.04300000001</v>
      </c>
      <c r="J38" s="10">
        <v>132682</v>
      </c>
      <c r="K38" s="10">
        <v>132682</v>
      </c>
      <c r="L38" s="10">
        <v>132682</v>
      </c>
      <c r="M38" s="10">
        <v>132682</v>
      </c>
      <c r="N38" s="10">
        <v>132682</v>
      </c>
      <c r="O38" s="10">
        <v>132682</v>
      </c>
      <c r="P38" s="10">
        <v>132682</v>
      </c>
      <c r="Q38" s="10">
        <v>132682</v>
      </c>
      <c r="R38" s="10">
        <v>132682</v>
      </c>
    </row>
    <row r="39" spans="1:18" x14ac:dyDescent="0.2">
      <c r="F39" s="2" t="s">
        <v>73</v>
      </c>
      <c r="G39" s="10">
        <v>179132</v>
      </c>
      <c r="H39" s="10">
        <v>179132</v>
      </c>
      <c r="I39" s="10">
        <v>179132</v>
      </c>
      <c r="J39" s="10">
        <v>179132</v>
      </c>
      <c r="K39" s="10">
        <v>179132</v>
      </c>
      <c r="L39" s="10">
        <v>179132</v>
      </c>
      <c r="M39" s="10">
        <v>179132</v>
      </c>
      <c r="N39" s="10">
        <v>179132</v>
      </c>
      <c r="O39" s="10">
        <v>179132</v>
      </c>
      <c r="P39" s="10">
        <v>179132</v>
      </c>
      <c r="Q39" s="10">
        <v>179132</v>
      </c>
      <c r="R39" s="10">
        <v>179132</v>
      </c>
    </row>
    <row r="40" spans="1:18" x14ac:dyDescent="0.2"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5" x14ac:dyDescent="0.25">
      <c r="C41" s="13"/>
      <c r="D41" s="9"/>
      <c r="E41" s="9" t="s">
        <v>93</v>
      </c>
      <c r="G41" s="12">
        <f>SUM(G42:G45)</f>
        <v>1027655.1529999999</v>
      </c>
      <c r="H41" s="12">
        <f t="shared" ref="H41:R41" si="7">SUM(H42:H45)</f>
        <v>1027655</v>
      </c>
      <c r="I41" s="12">
        <f t="shared" si="7"/>
        <v>1027655.1529999999</v>
      </c>
      <c r="J41" s="12">
        <f t="shared" si="7"/>
        <v>1027655</v>
      </c>
      <c r="K41" s="12">
        <f t="shared" si="7"/>
        <v>1027655</v>
      </c>
      <c r="L41" s="12">
        <f t="shared" si="7"/>
        <v>1067655</v>
      </c>
      <c r="M41" s="12">
        <f t="shared" si="7"/>
        <v>1067655</v>
      </c>
      <c r="N41" s="12">
        <f t="shared" si="7"/>
        <v>1102655</v>
      </c>
      <c r="O41" s="12">
        <f t="shared" si="7"/>
        <v>1102655</v>
      </c>
      <c r="P41" s="12">
        <f t="shared" si="7"/>
        <v>1102655</v>
      </c>
      <c r="Q41" s="12">
        <f t="shared" si="7"/>
        <v>1102655</v>
      </c>
      <c r="R41" s="12">
        <f t="shared" si="7"/>
        <v>1102134</v>
      </c>
    </row>
    <row r="42" spans="1:18" ht="15" x14ac:dyDescent="0.25">
      <c r="A42" s="9"/>
      <c r="B42" s="9"/>
      <c r="C42" s="9"/>
      <c r="F42" s="2" t="s">
        <v>62</v>
      </c>
      <c r="G42" s="10">
        <v>408136</v>
      </c>
      <c r="H42" s="10">
        <v>408136</v>
      </c>
      <c r="I42" s="10">
        <v>408136</v>
      </c>
      <c r="J42" s="10">
        <v>408136</v>
      </c>
      <c r="K42" s="10">
        <v>408136</v>
      </c>
      <c r="L42" s="10">
        <v>408136</v>
      </c>
      <c r="M42" s="10">
        <v>408136</v>
      </c>
      <c r="N42" s="10">
        <v>408136</v>
      </c>
      <c r="O42" s="10">
        <v>408136</v>
      </c>
      <c r="P42" s="10">
        <v>408136</v>
      </c>
      <c r="Q42" s="10">
        <v>408136</v>
      </c>
      <c r="R42" s="10">
        <v>408136</v>
      </c>
    </row>
    <row r="43" spans="1:18" ht="15" x14ac:dyDescent="0.25">
      <c r="A43" s="9"/>
      <c r="B43" s="9"/>
      <c r="C43" s="9"/>
      <c r="F43" s="2" t="s">
        <v>69</v>
      </c>
      <c r="G43" s="10">
        <v>57908</v>
      </c>
      <c r="H43" s="10">
        <v>57908</v>
      </c>
      <c r="I43" s="10">
        <v>57908</v>
      </c>
      <c r="J43" s="10">
        <v>57908</v>
      </c>
      <c r="K43" s="10">
        <v>57908</v>
      </c>
      <c r="L43" s="10">
        <v>57908</v>
      </c>
      <c r="M43" s="10">
        <v>57908</v>
      </c>
      <c r="N43" s="10">
        <v>57908</v>
      </c>
      <c r="O43" s="10">
        <v>57908</v>
      </c>
      <c r="P43" s="10">
        <v>57908</v>
      </c>
      <c r="Q43" s="10">
        <v>57908</v>
      </c>
      <c r="R43" s="10">
        <v>57386</v>
      </c>
    </row>
    <row r="44" spans="1:18" ht="15" x14ac:dyDescent="0.25">
      <c r="A44" s="9"/>
      <c r="B44" s="9"/>
      <c r="C44" s="9"/>
      <c r="F44" s="2" t="s">
        <v>16</v>
      </c>
      <c r="G44" s="10">
        <v>255837.15299999999</v>
      </c>
      <c r="H44" s="10">
        <v>255837</v>
      </c>
      <c r="I44" s="10">
        <v>255837.15299999999</v>
      </c>
      <c r="J44" s="10">
        <v>255837</v>
      </c>
      <c r="K44" s="10">
        <v>255837</v>
      </c>
      <c r="L44" s="10">
        <v>255837</v>
      </c>
      <c r="M44" s="10">
        <v>255837</v>
      </c>
      <c r="N44" s="10">
        <v>255837</v>
      </c>
      <c r="O44" s="10">
        <v>255837</v>
      </c>
      <c r="P44" s="10">
        <v>255837</v>
      </c>
      <c r="Q44" s="10">
        <v>255837</v>
      </c>
      <c r="R44" s="10">
        <v>255837</v>
      </c>
    </row>
    <row r="45" spans="1:18" ht="15" x14ac:dyDescent="0.25">
      <c r="A45" s="9"/>
      <c r="B45" s="9"/>
      <c r="C45" s="9"/>
      <c r="F45" s="2" t="s">
        <v>19</v>
      </c>
      <c r="G45" s="10">
        <v>305774</v>
      </c>
      <c r="H45" s="10">
        <v>305774</v>
      </c>
      <c r="I45" s="10">
        <v>305774</v>
      </c>
      <c r="J45" s="10">
        <v>305774</v>
      </c>
      <c r="K45" s="10">
        <v>305774</v>
      </c>
      <c r="L45" s="10">
        <v>345774</v>
      </c>
      <c r="M45" s="10">
        <v>345774</v>
      </c>
      <c r="N45" s="10">
        <v>380774</v>
      </c>
      <c r="O45" s="10">
        <v>380774</v>
      </c>
      <c r="P45" s="10">
        <v>380774</v>
      </c>
      <c r="Q45" s="10">
        <v>380774</v>
      </c>
      <c r="R45" s="10">
        <v>380775</v>
      </c>
    </row>
    <row r="46" spans="1:18" ht="15" x14ac:dyDescent="0.25">
      <c r="A46" s="9"/>
      <c r="B46" s="9"/>
      <c r="C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5" x14ac:dyDescent="0.25">
      <c r="A47" s="9"/>
      <c r="B47" s="9"/>
      <c r="D47" s="9"/>
      <c r="E47" s="9" t="s">
        <v>94</v>
      </c>
      <c r="F47" s="9"/>
      <c r="G47" s="14">
        <v>50000</v>
      </c>
      <c r="H47" s="14">
        <v>50000</v>
      </c>
      <c r="I47" s="14">
        <v>50000</v>
      </c>
      <c r="J47" s="14">
        <v>50000</v>
      </c>
      <c r="K47" s="14">
        <v>50000</v>
      </c>
      <c r="L47" s="14">
        <v>50000</v>
      </c>
      <c r="M47" s="14">
        <v>50000</v>
      </c>
      <c r="N47" s="14">
        <v>50000</v>
      </c>
      <c r="O47" s="14">
        <v>50000</v>
      </c>
      <c r="P47" s="14">
        <v>50000</v>
      </c>
      <c r="Q47" s="14">
        <v>50000</v>
      </c>
      <c r="R47" s="14">
        <v>50000</v>
      </c>
    </row>
    <row r="48" spans="1:18" ht="15" x14ac:dyDescent="0.25">
      <c r="A48" s="9"/>
      <c r="B48" s="9"/>
      <c r="C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5" x14ac:dyDescent="0.25">
      <c r="A49" s="9"/>
      <c r="B49" s="9"/>
      <c r="D49" s="9"/>
      <c r="E49" s="9" t="s">
        <v>95</v>
      </c>
      <c r="F49" s="9"/>
      <c r="G49" s="14">
        <v>7940</v>
      </c>
      <c r="H49" s="14">
        <v>7969</v>
      </c>
      <c r="I49" s="14">
        <v>7980.241</v>
      </c>
      <c r="J49" s="14">
        <v>7967</v>
      </c>
      <c r="K49" s="14">
        <v>7946</v>
      </c>
      <c r="L49" s="14">
        <v>7942.5290000000005</v>
      </c>
      <c r="M49" s="14">
        <v>7864</v>
      </c>
      <c r="N49" s="14">
        <v>7834</v>
      </c>
      <c r="O49" s="14">
        <v>7775</v>
      </c>
      <c r="P49" s="14">
        <v>7648</v>
      </c>
      <c r="Q49" s="14">
        <v>7464</v>
      </c>
      <c r="R49" s="14">
        <v>7218</v>
      </c>
    </row>
    <row r="50" spans="1:18" ht="15" x14ac:dyDescent="0.25">
      <c r="A50" s="9"/>
      <c r="B50" s="9"/>
      <c r="C50" s="9"/>
      <c r="D50" s="9"/>
      <c r="E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5" x14ac:dyDescent="0.25">
      <c r="A51" s="9"/>
      <c r="B51" s="9"/>
      <c r="C51" s="13" t="s">
        <v>84</v>
      </c>
      <c r="D51" s="9"/>
      <c r="E51" s="9" t="s">
        <v>96</v>
      </c>
      <c r="G51" s="15">
        <v>24038</v>
      </c>
      <c r="H51" s="15">
        <v>24327</v>
      </c>
      <c r="I51" s="15">
        <v>24272</v>
      </c>
      <c r="J51" s="15">
        <f t="shared" ref="J51:R51" si="8">J52</f>
        <v>24078</v>
      </c>
      <c r="K51" s="15">
        <f t="shared" si="8"/>
        <v>23862</v>
      </c>
      <c r="L51" s="15">
        <f t="shared" si="8"/>
        <v>24352</v>
      </c>
      <c r="M51" s="15">
        <f t="shared" si="8"/>
        <v>25112</v>
      </c>
      <c r="N51" s="15">
        <f t="shared" si="8"/>
        <v>24881</v>
      </c>
      <c r="O51" s="15">
        <f t="shared" si="8"/>
        <v>25439</v>
      </c>
      <c r="P51" s="15">
        <f t="shared" si="8"/>
        <v>25276</v>
      </c>
      <c r="Q51" s="15">
        <f t="shared" si="8"/>
        <v>25192</v>
      </c>
      <c r="R51" s="15">
        <f t="shared" si="8"/>
        <v>25487</v>
      </c>
    </row>
    <row r="52" spans="1:18" ht="15" x14ac:dyDescent="0.25">
      <c r="A52" s="9"/>
      <c r="B52" s="9"/>
      <c r="C52" s="13"/>
      <c r="D52" s="9"/>
      <c r="E52" s="9"/>
      <c r="F52" s="2" t="s">
        <v>79</v>
      </c>
      <c r="G52" s="10">
        <v>24038</v>
      </c>
      <c r="H52" s="10">
        <v>24327</v>
      </c>
      <c r="I52" s="10">
        <v>24272</v>
      </c>
      <c r="J52" s="10">
        <v>24078</v>
      </c>
      <c r="K52" s="10">
        <v>23862</v>
      </c>
      <c r="L52" s="10">
        <v>24352</v>
      </c>
      <c r="M52" s="10">
        <v>25112</v>
      </c>
      <c r="N52" s="10">
        <v>24881</v>
      </c>
      <c r="O52" s="10">
        <v>25439</v>
      </c>
      <c r="P52" s="10">
        <v>25276</v>
      </c>
      <c r="Q52" s="10">
        <v>25192</v>
      </c>
      <c r="R52" s="10">
        <v>25487</v>
      </c>
    </row>
    <row r="53" spans="1:18" ht="15" x14ac:dyDescent="0.25">
      <c r="A53" s="9"/>
      <c r="B53" s="9"/>
      <c r="C53" s="13"/>
      <c r="D53" s="9"/>
      <c r="E53" s="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5" x14ac:dyDescent="0.25">
      <c r="A54" s="9"/>
      <c r="B54" s="9"/>
      <c r="C54" s="13"/>
      <c r="D54" s="9"/>
      <c r="E54" s="9" t="s">
        <v>143</v>
      </c>
      <c r="G54" s="14">
        <f>SUM(G55:G56)</f>
        <v>0</v>
      </c>
      <c r="H54" s="14">
        <f t="shared" ref="H54:O54" si="9">SUM(H55:H56)</f>
        <v>0</v>
      </c>
      <c r="I54" s="14">
        <f t="shared" si="9"/>
        <v>0</v>
      </c>
      <c r="J54" s="14">
        <f t="shared" si="9"/>
        <v>0</v>
      </c>
      <c r="K54" s="14">
        <f t="shared" si="9"/>
        <v>0</v>
      </c>
      <c r="L54" s="14">
        <f t="shared" si="9"/>
        <v>0</v>
      </c>
      <c r="M54" s="14">
        <f t="shared" si="9"/>
        <v>0</v>
      </c>
      <c r="N54" s="14">
        <f t="shared" si="9"/>
        <v>0</v>
      </c>
      <c r="O54" s="14">
        <f t="shared" si="9"/>
        <v>0</v>
      </c>
      <c r="P54" s="14">
        <f>SUM(P55:P56)</f>
        <v>80551.633999999991</v>
      </c>
      <c r="Q54" s="14">
        <f>SUM(Q55:Q56)</f>
        <v>80284</v>
      </c>
      <c r="R54" s="14">
        <f>SUM(R55:R56)</f>
        <v>81224</v>
      </c>
    </row>
    <row r="55" spans="1:18" ht="15" x14ac:dyDescent="0.25">
      <c r="A55" s="9"/>
      <c r="B55" s="9"/>
      <c r="C55" s="13"/>
      <c r="D55" s="9"/>
      <c r="E55" s="9"/>
      <c r="F55" s="2" t="s">
        <v>141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56300.216999999997</v>
      </c>
      <c r="Q55" s="10">
        <v>56113</v>
      </c>
      <c r="R55" s="10">
        <v>56770</v>
      </c>
    </row>
    <row r="56" spans="1:18" ht="15" x14ac:dyDescent="0.25">
      <c r="A56" s="9"/>
      <c r="B56" s="9"/>
      <c r="C56" s="13"/>
      <c r="D56" s="9"/>
      <c r="E56" s="9"/>
      <c r="F56" s="2" t="s">
        <v>144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24251.417000000001</v>
      </c>
      <c r="Q56" s="10">
        <v>24171</v>
      </c>
      <c r="R56" s="10">
        <v>24454</v>
      </c>
    </row>
    <row r="57" spans="1:18" ht="15" x14ac:dyDescent="0.25">
      <c r="A57" s="9"/>
      <c r="B57" s="9"/>
      <c r="C57" s="13"/>
      <c r="D57" s="9"/>
      <c r="E57" s="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5" x14ac:dyDescent="0.25">
      <c r="A58" s="9"/>
      <c r="B58" s="9"/>
      <c r="C58" s="13" t="s">
        <v>84</v>
      </c>
      <c r="D58" s="9"/>
      <c r="E58" s="9" t="s">
        <v>142</v>
      </c>
      <c r="G58" s="15">
        <f>G59</f>
        <v>6561</v>
      </c>
      <c r="H58" s="15">
        <f t="shared" ref="H58:R58" si="10">H59</f>
        <v>6561</v>
      </c>
      <c r="I58" s="15">
        <f t="shared" si="10"/>
        <v>6561</v>
      </c>
      <c r="J58" s="15">
        <f t="shared" si="10"/>
        <v>6561</v>
      </c>
      <c r="K58" s="15">
        <f t="shared" si="10"/>
        <v>6561</v>
      </c>
      <c r="L58" s="15">
        <f t="shared" si="10"/>
        <v>6561</v>
      </c>
      <c r="M58" s="15">
        <f t="shared" si="10"/>
        <v>6561</v>
      </c>
      <c r="N58" s="15">
        <f t="shared" si="10"/>
        <v>6561</v>
      </c>
      <c r="O58" s="15">
        <f t="shared" si="10"/>
        <v>6561</v>
      </c>
      <c r="P58" s="15">
        <f t="shared" si="10"/>
        <v>6561</v>
      </c>
      <c r="Q58" s="15">
        <f t="shared" si="10"/>
        <v>6561</v>
      </c>
      <c r="R58" s="15">
        <f t="shared" si="10"/>
        <v>0</v>
      </c>
    </row>
    <row r="59" spans="1:18" ht="15" x14ac:dyDescent="0.25">
      <c r="A59" s="9"/>
      <c r="B59" s="9"/>
      <c r="C59" s="13"/>
      <c r="D59" s="9"/>
      <c r="E59" s="9"/>
      <c r="F59" s="2" t="s">
        <v>102</v>
      </c>
      <c r="G59" s="10">
        <v>6561</v>
      </c>
      <c r="H59" s="10">
        <v>6561</v>
      </c>
      <c r="I59" s="10">
        <v>6561</v>
      </c>
      <c r="J59" s="10">
        <v>6561</v>
      </c>
      <c r="K59" s="10">
        <v>6561</v>
      </c>
      <c r="L59" s="10">
        <v>6561</v>
      </c>
      <c r="M59" s="10">
        <v>6561</v>
      </c>
      <c r="N59" s="10">
        <v>6561</v>
      </c>
      <c r="O59" s="10">
        <v>6561</v>
      </c>
      <c r="P59" s="10">
        <v>6561</v>
      </c>
      <c r="Q59" s="10">
        <v>6561</v>
      </c>
      <c r="R59" s="10">
        <v>0</v>
      </c>
    </row>
    <row r="60" spans="1:18" ht="15" x14ac:dyDescent="0.25">
      <c r="A60" s="9"/>
      <c r="B60" s="9"/>
      <c r="C60" s="13"/>
      <c r="D60" s="9"/>
      <c r="E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15" x14ac:dyDescent="0.25">
      <c r="A61" s="9" t="s">
        <v>49</v>
      </c>
      <c r="B61" s="9"/>
      <c r="C61" s="9"/>
      <c r="D61" s="9"/>
      <c r="E61" s="9"/>
      <c r="F61" s="9"/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</row>
    <row r="62" spans="1:18" x14ac:dyDescent="0.2">
      <c r="G62" s="16"/>
    </row>
    <row r="63" spans="1:18" x14ac:dyDescent="0.2">
      <c r="G63" s="16"/>
    </row>
    <row r="64" spans="1:18" x14ac:dyDescent="0.2">
      <c r="G64" s="16"/>
    </row>
    <row r="65" spans="1:7" x14ac:dyDescent="0.2">
      <c r="A65" s="17"/>
      <c r="B65" s="18" t="s">
        <v>21</v>
      </c>
      <c r="C65" s="18"/>
      <c r="D65" s="18"/>
      <c r="E65" s="18"/>
      <c r="F65" s="18"/>
      <c r="G65" s="18"/>
    </row>
    <row r="66" spans="1:7" x14ac:dyDescent="0.2">
      <c r="B66" s="19"/>
      <c r="C66" s="19"/>
      <c r="D66" s="20"/>
      <c r="E66" s="20"/>
      <c r="G66" s="20"/>
    </row>
    <row r="67" spans="1:7" x14ac:dyDescent="0.2">
      <c r="B67" s="79"/>
      <c r="C67" s="79"/>
      <c r="D67" s="79"/>
      <c r="E67" s="79"/>
      <c r="F67" s="79"/>
    </row>
    <row r="68" spans="1:7" x14ac:dyDescent="0.2">
      <c r="A68" s="18"/>
      <c r="B68" s="18"/>
      <c r="C68" s="18"/>
    </row>
    <row r="69" spans="1:7" x14ac:dyDescent="0.2">
      <c r="A69" s="20"/>
      <c r="B69" s="18"/>
      <c r="C69" s="18"/>
    </row>
    <row r="71" spans="1:7" x14ac:dyDescent="0.2">
      <c r="F71" s="21" t="s">
        <v>71</v>
      </c>
    </row>
  </sheetData>
  <mergeCells count="17">
    <mergeCell ref="B67:F67"/>
    <mergeCell ref="A6:F7"/>
    <mergeCell ref="G6:G7"/>
    <mergeCell ref="H6:H7"/>
    <mergeCell ref="I6:I7"/>
    <mergeCell ref="J6:J7"/>
    <mergeCell ref="N6:N7"/>
    <mergeCell ref="M6:M7"/>
    <mergeCell ref="A1:R1"/>
    <mergeCell ref="A2:R2"/>
    <mergeCell ref="A3:R3"/>
    <mergeCell ref="R6:R7"/>
    <mergeCell ref="Q6:Q7"/>
    <mergeCell ref="P6:P7"/>
    <mergeCell ref="O6:O7"/>
    <mergeCell ref="L6:L7"/>
    <mergeCell ref="K6:K7"/>
  </mergeCells>
  <printOptions horizontalCentered="1"/>
  <pageMargins left="0" right="0" top="0.5" bottom="0.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7"/>
  <sheetViews>
    <sheetView zoomScaleNormal="100" zoomScaleSheetLayoutView="100" workbookViewId="0">
      <pane xSplit="6" ySplit="7" topLeftCell="Q8" activePane="bottomRight" state="frozen"/>
      <selection activeCell="B1" sqref="B1"/>
      <selection pane="topRight" activeCell="F1" sqref="F1"/>
      <selection pane="bottomLeft" activeCell="B8" sqref="B8"/>
      <selection pane="bottomRight" activeCell="H20" sqref="H20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7.28515625" style="2" customWidth="1"/>
    <col min="7" max="18" width="11.42578125" style="2" customWidth="1"/>
    <col min="19" max="16384" width="9.140625" style="2"/>
  </cols>
  <sheetData>
    <row r="1" spans="1:18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5" x14ac:dyDescent="0.2">
      <c r="A2" s="83" t="s">
        <v>180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6" customHeight="1" x14ac:dyDescent="0.2"/>
    <row r="5" spans="1:18" ht="6" customHeight="1" x14ac:dyDescent="0.2"/>
    <row r="6" spans="1:18" s="3" customFormat="1" x14ac:dyDescent="0.2">
      <c r="A6" s="87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18</v>
      </c>
      <c r="M6" s="80" t="s">
        <v>83</v>
      </c>
      <c r="N6" s="80" t="s">
        <v>6</v>
      </c>
      <c r="O6" s="80" t="s">
        <v>81</v>
      </c>
      <c r="P6" s="80" t="s">
        <v>7</v>
      </c>
      <c r="Q6" s="80" t="s">
        <v>8</v>
      </c>
      <c r="R6" s="85" t="s">
        <v>9</v>
      </c>
    </row>
    <row r="7" spans="1:18" ht="10.5" customHeight="1" thickBot="1" x14ac:dyDescent="0.25">
      <c r="A7" s="88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6"/>
    </row>
    <row r="8" spans="1:18" ht="7.5" customHeight="1" thickTop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5">
      <c r="A9" s="5" t="s">
        <v>97</v>
      </c>
      <c r="B9" s="5"/>
      <c r="C9" s="5"/>
      <c r="D9" s="5"/>
      <c r="E9" s="5"/>
      <c r="F9" s="5"/>
      <c r="G9" s="8">
        <f>G11+G57</f>
        <v>5122817</v>
      </c>
      <c r="H9" s="8">
        <f t="shared" ref="H9:R9" si="0">H11+H57</f>
        <v>5448903</v>
      </c>
      <c r="I9" s="8">
        <f t="shared" si="0"/>
        <v>5511918.5</v>
      </c>
      <c r="J9" s="8">
        <f t="shared" si="0"/>
        <v>5562568.8169999998</v>
      </c>
      <c r="K9" s="8">
        <f t="shared" si="0"/>
        <v>5733088</v>
      </c>
      <c r="L9" s="8">
        <f t="shared" si="0"/>
        <v>5889091</v>
      </c>
      <c r="M9" s="8">
        <f t="shared" si="0"/>
        <v>5955540.5</v>
      </c>
      <c r="N9" s="8">
        <f t="shared" si="0"/>
        <v>6412071.5</v>
      </c>
      <c r="O9" s="8">
        <f t="shared" si="0"/>
        <v>6437430</v>
      </c>
      <c r="P9" s="8">
        <f t="shared" si="0"/>
        <v>6536416</v>
      </c>
      <c r="Q9" s="8">
        <f t="shared" si="0"/>
        <v>6650974</v>
      </c>
      <c r="R9" s="8">
        <f t="shared" si="0"/>
        <v>6693739</v>
      </c>
    </row>
    <row r="10" spans="1:18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5" x14ac:dyDescent="0.25">
      <c r="B11" s="5" t="s">
        <v>89</v>
      </c>
      <c r="C11" s="5"/>
      <c r="D11" s="5"/>
      <c r="E11" s="5"/>
      <c r="F11" s="5"/>
      <c r="G11" s="8">
        <f>G12+G21</f>
        <v>5122817</v>
      </c>
      <c r="H11" s="8">
        <f t="shared" ref="H11:R11" si="1">H12+H21</f>
        <v>5448903</v>
      </c>
      <c r="I11" s="8">
        <f t="shared" si="1"/>
        <v>5511918.5</v>
      </c>
      <c r="J11" s="8">
        <f t="shared" si="1"/>
        <v>5562568.8169999998</v>
      </c>
      <c r="K11" s="8">
        <f t="shared" si="1"/>
        <v>5733088</v>
      </c>
      <c r="L11" s="8">
        <f t="shared" si="1"/>
        <v>5889091</v>
      </c>
      <c r="M11" s="8">
        <f t="shared" si="1"/>
        <v>5955540.5</v>
      </c>
      <c r="N11" s="8">
        <f t="shared" si="1"/>
        <v>6412071.5</v>
      </c>
      <c r="O11" s="8">
        <f t="shared" si="1"/>
        <v>6437430</v>
      </c>
      <c r="P11" s="8">
        <f t="shared" si="1"/>
        <v>6536416</v>
      </c>
      <c r="Q11" s="8">
        <f t="shared" si="1"/>
        <v>6650974</v>
      </c>
      <c r="R11" s="8">
        <f t="shared" si="1"/>
        <v>6693739</v>
      </c>
    </row>
    <row r="12" spans="1:18" ht="15" x14ac:dyDescent="0.25">
      <c r="B12" s="9"/>
      <c r="C12" s="9" t="s">
        <v>90</v>
      </c>
      <c r="F12" s="9"/>
      <c r="G12" s="8">
        <f>SUM(G13:G19)</f>
        <v>483547</v>
      </c>
      <c r="H12" s="8">
        <f t="shared" ref="H12:R12" si="2">SUM(H13:H19)</f>
        <v>533542</v>
      </c>
      <c r="I12" s="8">
        <f t="shared" si="2"/>
        <v>556646.5</v>
      </c>
      <c r="J12" s="8">
        <f t="shared" si="2"/>
        <v>644677</v>
      </c>
      <c r="K12" s="8">
        <f t="shared" si="2"/>
        <v>720187</v>
      </c>
      <c r="L12" s="8">
        <f t="shared" si="2"/>
        <v>796597</v>
      </c>
      <c r="M12" s="8">
        <f t="shared" si="2"/>
        <v>833433.5</v>
      </c>
      <c r="N12" s="8">
        <f t="shared" si="2"/>
        <v>871466.5</v>
      </c>
      <c r="O12" s="8">
        <f t="shared" si="2"/>
        <v>876484</v>
      </c>
      <c r="P12" s="8">
        <f t="shared" si="2"/>
        <v>906479</v>
      </c>
      <c r="Q12" s="8">
        <f t="shared" si="2"/>
        <v>951479</v>
      </c>
      <c r="R12" s="8">
        <f t="shared" si="2"/>
        <v>949479</v>
      </c>
    </row>
    <row r="13" spans="1:18" x14ac:dyDescent="0.2">
      <c r="F13" s="2" t="s">
        <v>76</v>
      </c>
      <c r="G13" s="10">
        <v>174568</v>
      </c>
      <c r="H13" s="10">
        <v>174568</v>
      </c>
      <c r="I13" s="10">
        <v>174568</v>
      </c>
      <c r="J13" s="10">
        <v>174568</v>
      </c>
      <c r="K13" s="10">
        <v>174568</v>
      </c>
      <c r="L13" s="10">
        <v>174568</v>
      </c>
      <c r="M13" s="10">
        <v>174568</v>
      </c>
      <c r="N13" s="10">
        <v>174568</v>
      </c>
      <c r="O13" s="10">
        <v>174568</v>
      </c>
      <c r="P13" s="10">
        <v>174568</v>
      </c>
      <c r="Q13" s="10">
        <v>174568</v>
      </c>
      <c r="R13" s="10">
        <v>174568</v>
      </c>
    </row>
    <row r="14" spans="1:18" x14ac:dyDescent="0.2">
      <c r="F14" s="2" t="s">
        <v>103</v>
      </c>
      <c r="G14" s="10">
        <v>0</v>
      </c>
      <c r="H14" s="10">
        <v>0</v>
      </c>
      <c r="I14" s="10">
        <v>0</v>
      </c>
      <c r="J14" s="10">
        <v>15000</v>
      </c>
      <c r="K14" s="10">
        <v>30000</v>
      </c>
      <c r="L14" s="10">
        <v>30000</v>
      </c>
      <c r="M14" s="10">
        <v>15000</v>
      </c>
      <c r="N14" s="10">
        <v>30000</v>
      </c>
      <c r="O14" s="10">
        <v>0</v>
      </c>
      <c r="P14" s="10">
        <v>0</v>
      </c>
      <c r="Q14" s="10">
        <v>0</v>
      </c>
      <c r="R14" s="10">
        <v>0</v>
      </c>
    </row>
    <row r="15" spans="1:18" x14ac:dyDescent="0.2">
      <c r="F15" s="11" t="s">
        <v>104</v>
      </c>
      <c r="G15" s="10">
        <v>40000</v>
      </c>
      <c r="H15" s="10">
        <v>56000</v>
      </c>
      <c r="I15" s="10">
        <v>60000</v>
      </c>
      <c r="J15" s="10">
        <v>70000</v>
      </c>
      <c r="K15" s="10">
        <v>70000</v>
      </c>
      <c r="L15" s="10">
        <v>82000</v>
      </c>
      <c r="M15" s="10">
        <v>77000</v>
      </c>
      <c r="N15" s="10">
        <v>73000</v>
      </c>
      <c r="O15" s="10">
        <v>71000</v>
      </c>
      <c r="P15" s="10">
        <v>71000</v>
      </c>
      <c r="Q15" s="10">
        <v>75000</v>
      </c>
      <c r="R15" s="10">
        <v>61000</v>
      </c>
    </row>
    <row r="16" spans="1:18" x14ac:dyDescent="0.2">
      <c r="F16" s="11" t="s">
        <v>105</v>
      </c>
      <c r="G16" s="10">
        <v>65660</v>
      </c>
      <c r="H16" s="10">
        <v>79660</v>
      </c>
      <c r="I16" s="10">
        <v>87660</v>
      </c>
      <c r="J16" s="10">
        <v>99660</v>
      </c>
      <c r="K16" s="10">
        <v>117870</v>
      </c>
      <c r="L16" s="10">
        <v>133870</v>
      </c>
      <c r="M16" s="10">
        <v>141000</v>
      </c>
      <c r="N16" s="10">
        <v>137000</v>
      </c>
      <c r="O16" s="10">
        <v>144000</v>
      </c>
      <c r="P16" s="10">
        <v>140000</v>
      </c>
      <c r="Q16" s="10">
        <v>138000</v>
      </c>
      <c r="R16" s="10">
        <v>126000</v>
      </c>
    </row>
    <row r="17" spans="2:18" x14ac:dyDescent="0.2">
      <c r="F17" s="11" t="s">
        <v>106</v>
      </c>
      <c r="G17" s="10">
        <v>195426</v>
      </c>
      <c r="H17" s="10">
        <v>206218</v>
      </c>
      <c r="I17" s="10">
        <v>212322</v>
      </c>
      <c r="J17" s="10">
        <v>227997</v>
      </c>
      <c r="K17" s="10">
        <v>247997</v>
      </c>
      <c r="L17" s="10">
        <v>271997</v>
      </c>
      <c r="M17" s="10">
        <v>313997</v>
      </c>
      <c r="N17" s="10">
        <v>341997</v>
      </c>
      <c r="O17" s="10">
        <v>372014</v>
      </c>
      <c r="P17" s="10">
        <v>400014</v>
      </c>
      <c r="Q17" s="10">
        <v>428014</v>
      </c>
      <c r="R17" s="10">
        <v>452014</v>
      </c>
    </row>
    <row r="18" spans="2:18" x14ac:dyDescent="0.2">
      <c r="F18" s="2" t="s">
        <v>98</v>
      </c>
      <c r="G18" s="10">
        <v>0</v>
      </c>
      <c r="H18" s="10">
        <v>7700</v>
      </c>
      <c r="I18" s="10">
        <v>12700</v>
      </c>
      <c r="J18" s="10">
        <v>48555</v>
      </c>
      <c r="K18" s="10">
        <v>70855</v>
      </c>
      <c r="L18" s="10">
        <v>95265</v>
      </c>
      <c r="M18" s="10">
        <v>105765</v>
      </c>
      <c r="N18" s="10">
        <v>108298</v>
      </c>
      <c r="O18" s="10">
        <v>108298</v>
      </c>
      <c r="P18" s="10">
        <v>114293</v>
      </c>
      <c r="Q18" s="10">
        <v>129293</v>
      </c>
      <c r="R18" s="10">
        <v>129793</v>
      </c>
    </row>
    <row r="19" spans="2:18" x14ac:dyDescent="0.2">
      <c r="F19" s="2" t="s">
        <v>99</v>
      </c>
      <c r="G19" s="10">
        <v>7893</v>
      </c>
      <c r="H19" s="10">
        <v>9396</v>
      </c>
      <c r="I19" s="10">
        <v>9396.5</v>
      </c>
      <c r="J19" s="10">
        <v>8897</v>
      </c>
      <c r="K19" s="10">
        <v>8897</v>
      </c>
      <c r="L19" s="10">
        <v>8897</v>
      </c>
      <c r="M19" s="10">
        <v>6103.5</v>
      </c>
      <c r="N19" s="10">
        <v>6603.5</v>
      </c>
      <c r="O19" s="10">
        <v>6604</v>
      </c>
      <c r="P19" s="10">
        <v>6604</v>
      </c>
      <c r="Q19" s="10">
        <v>6604</v>
      </c>
      <c r="R19" s="10">
        <v>6104</v>
      </c>
    </row>
    <row r="20" spans="2:18" x14ac:dyDescent="0.2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ht="15" x14ac:dyDescent="0.25">
      <c r="B21" s="9"/>
      <c r="C21" s="9" t="s">
        <v>88</v>
      </c>
      <c r="F21" s="9"/>
      <c r="G21" s="12">
        <f>G22+G31</f>
        <v>4639270</v>
      </c>
      <c r="H21" s="12">
        <f t="shared" ref="H21:R21" si="3">H22+H31</f>
        <v>4915361</v>
      </c>
      <c r="I21" s="12">
        <f t="shared" si="3"/>
        <v>4955272</v>
      </c>
      <c r="J21" s="12">
        <f t="shared" si="3"/>
        <v>4917891.8169999998</v>
      </c>
      <c r="K21" s="12">
        <f t="shared" si="3"/>
        <v>5012901</v>
      </c>
      <c r="L21" s="12">
        <f t="shared" si="3"/>
        <v>5092494</v>
      </c>
      <c r="M21" s="12">
        <f t="shared" si="3"/>
        <v>5122107</v>
      </c>
      <c r="N21" s="12">
        <f t="shared" si="3"/>
        <v>5540605</v>
      </c>
      <c r="O21" s="12">
        <f t="shared" si="3"/>
        <v>5560946</v>
      </c>
      <c r="P21" s="12">
        <f t="shared" si="3"/>
        <v>5629937</v>
      </c>
      <c r="Q21" s="12">
        <f t="shared" si="3"/>
        <v>5699495</v>
      </c>
      <c r="R21" s="12">
        <f t="shared" si="3"/>
        <v>5744260</v>
      </c>
    </row>
    <row r="22" spans="2:18" ht="15" x14ac:dyDescent="0.25">
      <c r="B22" s="9"/>
      <c r="C22" s="9"/>
      <c r="D22" s="9" t="s">
        <v>91</v>
      </c>
      <c r="E22" s="9"/>
      <c r="G22" s="12">
        <f>SUM(G23:G29)</f>
        <v>2069442</v>
      </c>
      <c r="H22" s="12">
        <f t="shared" ref="H22:R22" si="4">SUM(H23:H29)</f>
        <v>2095455</v>
      </c>
      <c r="I22" s="12">
        <f t="shared" si="4"/>
        <v>2135455</v>
      </c>
      <c r="J22" s="12">
        <f t="shared" si="4"/>
        <v>2219525.4109999998</v>
      </c>
      <c r="K22" s="12">
        <f t="shared" si="4"/>
        <v>2314525</v>
      </c>
      <c r="L22" s="12">
        <f t="shared" si="4"/>
        <v>2364524</v>
      </c>
      <c r="M22" s="12">
        <f t="shared" si="4"/>
        <v>2394525</v>
      </c>
      <c r="N22" s="12">
        <f t="shared" si="4"/>
        <v>2314240</v>
      </c>
      <c r="O22" s="12">
        <f t="shared" si="4"/>
        <v>2334685</v>
      </c>
      <c r="P22" s="12">
        <f t="shared" si="4"/>
        <v>2373733</v>
      </c>
      <c r="Q22" s="12">
        <f t="shared" si="4"/>
        <v>2408568</v>
      </c>
      <c r="R22" s="12">
        <f t="shared" si="4"/>
        <v>2478568</v>
      </c>
    </row>
    <row r="23" spans="2:18" x14ac:dyDescent="0.2">
      <c r="F23" s="2" t="s">
        <v>22</v>
      </c>
      <c r="G23" s="10">
        <v>153518</v>
      </c>
      <c r="H23" s="10">
        <v>153518</v>
      </c>
      <c r="I23" s="10">
        <v>153518</v>
      </c>
      <c r="J23" s="10">
        <v>153518</v>
      </c>
      <c r="K23" s="10">
        <v>153518</v>
      </c>
      <c r="L23" s="10">
        <v>153518</v>
      </c>
      <c r="M23" s="10">
        <v>153518</v>
      </c>
      <c r="N23" s="10">
        <v>153518</v>
      </c>
      <c r="O23" s="10">
        <v>198518</v>
      </c>
      <c r="P23" s="10">
        <v>237566</v>
      </c>
      <c r="Q23" s="10">
        <v>272401</v>
      </c>
      <c r="R23" s="10">
        <v>302401</v>
      </c>
    </row>
    <row r="24" spans="2:18" x14ac:dyDescent="0.2">
      <c r="F24" s="2" t="s">
        <v>14</v>
      </c>
      <c r="G24" s="10">
        <v>291511</v>
      </c>
      <c r="H24" s="10">
        <v>291511</v>
      </c>
      <c r="I24" s="10">
        <v>331511</v>
      </c>
      <c r="J24" s="10">
        <v>376511</v>
      </c>
      <c r="K24" s="10">
        <v>426511</v>
      </c>
      <c r="L24" s="10">
        <v>426511</v>
      </c>
      <c r="M24" s="10">
        <v>426511</v>
      </c>
      <c r="N24" s="10">
        <v>316779</v>
      </c>
      <c r="O24" s="10">
        <v>316779</v>
      </c>
      <c r="P24" s="10">
        <v>316779</v>
      </c>
      <c r="Q24" s="10">
        <v>316779</v>
      </c>
      <c r="R24" s="10">
        <v>316779</v>
      </c>
    </row>
    <row r="25" spans="2:18" x14ac:dyDescent="0.2">
      <c r="F25" s="2" t="s">
        <v>15</v>
      </c>
      <c r="G25" s="10">
        <v>460718</v>
      </c>
      <c r="H25" s="10">
        <v>460718</v>
      </c>
      <c r="I25" s="10">
        <v>460718</v>
      </c>
      <c r="J25" s="10">
        <v>499788</v>
      </c>
      <c r="K25" s="10">
        <v>544788</v>
      </c>
      <c r="L25" s="10">
        <v>594787</v>
      </c>
      <c r="M25" s="10">
        <v>594788</v>
      </c>
      <c r="N25" s="10">
        <v>594235</v>
      </c>
      <c r="O25" s="10">
        <v>594235</v>
      </c>
      <c r="P25" s="10">
        <v>594235</v>
      </c>
      <c r="Q25" s="10">
        <v>594235</v>
      </c>
      <c r="R25" s="10">
        <v>594235</v>
      </c>
    </row>
    <row r="26" spans="2:18" x14ac:dyDescent="0.2">
      <c r="F26" s="2" t="s">
        <v>20</v>
      </c>
      <c r="G26" s="10">
        <v>507287</v>
      </c>
      <c r="H26" s="10">
        <v>533300</v>
      </c>
      <c r="I26" s="10">
        <v>533300</v>
      </c>
      <c r="J26" s="10">
        <v>533300</v>
      </c>
      <c r="K26" s="10">
        <v>533300</v>
      </c>
      <c r="L26" s="10">
        <v>533300</v>
      </c>
      <c r="M26" s="10">
        <v>563300</v>
      </c>
      <c r="N26" s="10">
        <v>593300</v>
      </c>
      <c r="O26" s="10">
        <v>568745</v>
      </c>
      <c r="P26" s="10">
        <v>568745</v>
      </c>
      <c r="Q26" s="10">
        <v>568745</v>
      </c>
      <c r="R26" s="10">
        <v>608745</v>
      </c>
    </row>
    <row r="27" spans="2:18" x14ac:dyDescent="0.2">
      <c r="F27" s="2" t="s">
        <v>46</v>
      </c>
      <c r="G27" s="10">
        <v>420329</v>
      </c>
      <c r="H27" s="10">
        <v>420329</v>
      </c>
      <c r="I27" s="10">
        <v>420329</v>
      </c>
      <c r="J27" s="10">
        <v>420329</v>
      </c>
      <c r="K27" s="10">
        <v>420329</v>
      </c>
      <c r="L27" s="10">
        <v>420329</v>
      </c>
      <c r="M27" s="10">
        <v>420329</v>
      </c>
      <c r="N27" s="10">
        <v>420329</v>
      </c>
      <c r="O27" s="10">
        <v>420329</v>
      </c>
      <c r="P27" s="10">
        <v>420329</v>
      </c>
      <c r="Q27" s="10">
        <v>420329</v>
      </c>
      <c r="R27" s="10">
        <v>420329</v>
      </c>
    </row>
    <row r="28" spans="2:18" x14ac:dyDescent="0.2">
      <c r="F28" s="2" t="s">
        <v>47</v>
      </c>
      <c r="G28" s="10">
        <v>235982</v>
      </c>
      <c r="H28" s="10">
        <v>235982</v>
      </c>
      <c r="I28" s="10">
        <v>235982</v>
      </c>
      <c r="J28" s="10">
        <v>235982.41099999999</v>
      </c>
      <c r="K28" s="10">
        <v>235982</v>
      </c>
      <c r="L28" s="10">
        <v>235982</v>
      </c>
      <c r="M28" s="10">
        <v>235982</v>
      </c>
      <c r="N28" s="10">
        <v>235982</v>
      </c>
      <c r="O28" s="10">
        <v>235982</v>
      </c>
      <c r="P28" s="10">
        <v>235982</v>
      </c>
      <c r="Q28" s="10">
        <v>235982</v>
      </c>
      <c r="R28" s="10">
        <v>235982</v>
      </c>
    </row>
    <row r="29" spans="2:18" x14ac:dyDescent="0.2">
      <c r="F29" s="2" t="s">
        <v>53</v>
      </c>
      <c r="G29" s="10">
        <v>97</v>
      </c>
      <c r="H29" s="10">
        <v>97</v>
      </c>
      <c r="I29" s="10">
        <v>97</v>
      </c>
      <c r="J29" s="10">
        <v>97</v>
      </c>
      <c r="K29" s="10">
        <v>97</v>
      </c>
      <c r="L29" s="10">
        <v>97</v>
      </c>
      <c r="M29" s="10">
        <v>97</v>
      </c>
      <c r="N29" s="10">
        <v>97</v>
      </c>
      <c r="O29" s="10">
        <v>97</v>
      </c>
      <c r="P29" s="10">
        <v>97</v>
      </c>
      <c r="Q29" s="10">
        <v>97</v>
      </c>
      <c r="R29" s="10">
        <v>97</v>
      </c>
    </row>
    <row r="30" spans="2:18" x14ac:dyDescent="0.2"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18" ht="15" x14ac:dyDescent="0.25">
      <c r="B31" s="9"/>
      <c r="D31" s="9" t="s">
        <v>92</v>
      </c>
      <c r="E31" s="9"/>
      <c r="G31" s="8">
        <f>G33+G41+G47+G49+G51+G54</f>
        <v>2569828</v>
      </c>
      <c r="H31" s="8">
        <f t="shared" ref="H31:R31" si="5">H33+H41+H47+H49+H51+H54</f>
        <v>2819906</v>
      </c>
      <c r="I31" s="8">
        <f t="shared" si="5"/>
        <v>2819817</v>
      </c>
      <c r="J31" s="8">
        <f t="shared" si="5"/>
        <v>2698366.406</v>
      </c>
      <c r="K31" s="8">
        <f t="shared" si="5"/>
        <v>2698376</v>
      </c>
      <c r="L31" s="8">
        <f t="shared" si="5"/>
        <v>2727970</v>
      </c>
      <c r="M31" s="8">
        <f t="shared" si="5"/>
        <v>2727582</v>
      </c>
      <c r="N31" s="8">
        <f t="shared" si="5"/>
        <v>3226365</v>
      </c>
      <c r="O31" s="8">
        <f t="shared" si="5"/>
        <v>3226261</v>
      </c>
      <c r="P31" s="8">
        <f t="shared" si="5"/>
        <v>3256204</v>
      </c>
      <c r="Q31" s="8">
        <f t="shared" si="5"/>
        <v>3290927</v>
      </c>
      <c r="R31" s="8">
        <f t="shared" si="5"/>
        <v>3265692</v>
      </c>
    </row>
    <row r="32" spans="2:18" ht="6" customHeight="1" x14ac:dyDescent="0.25">
      <c r="B32" s="9"/>
      <c r="D32" s="9"/>
      <c r="E32" s="9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5" x14ac:dyDescent="0.25">
      <c r="B33" s="9"/>
      <c r="C33" s="9"/>
      <c r="E33" s="9" t="s">
        <v>34</v>
      </c>
      <c r="G33" s="12">
        <f>SUM(G34:G39)</f>
        <v>1571454</v>
      </c>
      <c r="H33" s="12">
        <f t="shared" ref="H33:R33" si="6">SUM(H34:H39)</f>
        <v>1821546</v>
      </c>
      <c r="I33" s="12">
        <f t="shared" si="6"/>
        <v>1821546</v>
      </c>
      <c r="J33" s="12">
        <f t="shared" si="6"/>
        <v>1700351.406</v>
      </c>
      <c r="K33" s="12">
        <f t="shared" si="6"/>
        <v>1700351</v>
      </c>
      <c r="L33" s="12">
        <f t="shared" si="6"/>
        <v>1700351</v>
      </c>
      <c r="M33" s="12">
        <f t="shared" si="6"/>
        <v>1700351</v>
      </c>
      <c r="N33" s="12">
        <f t="shared" si="6"/>
        <v>2199497</v>
      </c>
      <c r="O33" s="12">
        <f t="shared" si="6"/>
        <v>2199497</v>
      </c>
      <c r="P33" s="12">
        <f t="shared" si="6"/>
        <v>2199497</v>
      </c>
      <c r="Q33" s="12">
        <f t="shared" si="6"/>
        <v>2199497</v>
      </c>
      <c r="R33" s="12">
        <f t="shared" si="6"/>
        <v>2199497</v>
      </c>
    </row>
    <row r="34" spans="1:18" x14ac:dyDescent="0.2">
      <c r="F34" s="2" t="s">
        <v>68</v>
      </c>
      <c r="G34" s="10">
        <v>303696</v>
      </c>
      <c r="H34" s="10">
        <v>553788</v>
      </c>
      <c r="I34" s="10">
        <v>553788</v>
      </c>
      <c r="J34" s="10">
        <v>432593.40600000002</v>
      </c>
      <c r="K34" s="10">
        <v>432593</v>
      </c>
      <c r="L34" s="10">
        <v>432593</v>
      </c>
      <c r="M34" s="10">
        <v>432593</v>
      </c>
      <c r="N34" s="10">
        <v>432593</v>
      </c>
      <c r="O34" s="10">
        <v>432593</v>
      </c>
      <c r="P34" s="10">
        <v>432593</v>
      </c>
      <c r="Q34" s="10">
        <v>432593</v>
      </c>
      <c r="R34" s="10">
        <v>432593</v>
      </c>
    </row>
    <row r="35" spans="1:18" x14ac:dyDescent="0.2">
      <c r="F35" s="2" t="s">
        <v>27</v>
      </c>
      <c r="G35" s="10">
        <v>491276</v>
      </c>
      <c r="H35" s="10">
        <v>491276</v>
      </c>
      <c r="I35" s="10">
        <v>491276</v>
      </c>
      <c r="J35" s="10">
        <v>491276</v>
      </c>
      <c r="K35" s="10">
        <v>491276</v>
      </c>
      <c r="L35" s="10">
        <v>491276</v>
      </c>
      <c r="M35" s="10">
        <v>491276</v>
      </c>
      <c r="N35" s="10">
        <v>1007617</v>
      </c>
      <c r="O35" s="10">
        <v>1007617</v>
      </c>
      <c r="P35" s="10">
        <v>1007617</v>
      </c>
      <c r="Q35" s="10">
        <v>1007617</v>
      </c>
      <c r="R35" s="10">
        <v>1007617</v>
      </c>
    </row>
    <row r="36" spans="1:18" x14ac:dyDescent="0.2">
      <c r="F36" s="2" t="s">
        <v>67</v>
      </c>
      <c r="G36" s="10">
        <v>368863</v>
      </c>
      <c r="H36" s="10">
        <v>368863</v>
      </c>
      <c r="I36" s="10">
        <v>368863</v>
      </c>
      <c r="J36" s="10">
        <v>368863</v>
      </c>
      <c r="K36" s="10">
        <v>368863</v>
      </c>
      <c r="L36" s="10">
        <v>368863</v>
      </c>
      <c r="M36" s="10">
        <v>368863</v>
      </c>
      <c r="N36" s="10">
        <v>351668</v>
      </c>
      <c r="O36" s="10">
        <v>351668</v>
      </c>
      <c r="P36" s="10">
        <v>351668</v>
      </c>
      <c r="Q36" s="10">
        <v>351668</v>
      </c>
      <c r="R36" s="10">
        <v>351668</v>
      </c>
    </row>
    <row r="37" spans="1:18" x14ac:dyDescent="0.2">
      <c r="F37" s="2" t="s">
        <v>66</v>
      </c>
      <c r="G37" s="10">
        <v>95805</v>
      </c>
      <c r="H37" s="10">
        <v>95805</v>
      </c>
      <c r="I37" s="10">
        <v>95805</v>
      </c>
      <c r="J37" s="10">
        <v>95805</v>
      </c>
      <c r="K37" s="10">
        <v>95805</v>
      </c>
      <c r="L37" s="10">
        <v>95805</v>
      </c>
      <c r="M37" s="10">
        <v>95805</v>
      </c>
      <c r="N37" s="10">
        <v>95805</v>
      </c>
      <c r="O37" s="10">
        <v>95805</v>
      </c>
      <c r="P37" s="10">
        <v>95805</v>
      </c>
      <c r="Q37" s="10">
        <v>95805</v>
      </c>
      <c r="R37" s="10">
        <v>95805</v>
      </c>
    </row>
    <row r="38" spans="1:18" x14ac:dyDescent="0.2">
      <c r="F38" s="2" t="s">
        <v>72</v>
      </c>
      <c r="G38" s="10">
        <v>132682</v>
      </c>
      <c r="H38" s="10">
        <v>132682</v>
      </c>
      <c r="I38" s="10">
        <v>132682</v>
      </c>
      <c r="J38" s="10">
        <v>132682</v>
      </c>
      <c r="K38" s="10">
        <v>132682</v>
      </c>
      <c r="L38" s="10">
        <v>132682</v>
      </c>
      <c r="M38" s="10">
        <v>132682</v>
      </c>
      <c r="N38" s="10">
        <v>132682</v>
      </c>
      <c r="O38" s="10">
        <v>132682</v>
      </c>
      <c r="P38" s="10">
        <v>132682</v>
      </c>
      <c r="Q38" s="10">
        <v>132682</v>
      </c>
      <c r="R38" s="10">
        <v>132682</v>
      </c>
    </row>
    <row r="39" spans="1:18" x14ac:dyDescent="0.2">
      <c r="F39" s="2" t="s">
        <v>73</v>
      </c>
      <c r="G39" s="10">
        <v>179132</v>
      </c>
      <c r="H39" s="10">
        <v>179132</v>
      </c>
      <c r="I39" s="10">
        <v>179132</v>
      </c>
      <c r="J39" s="10">
        <v>179132</v>
      </c>
      <c r="K39" s="10">
        <v>179132</v>
      </c>
      <c r="L39" s="10">
        <v>179132</v>
      </c>
      <c r="M39" s="10">
        <v>179132</v>
      </c>
      <c r="N39" s="10">
        <v>179132</v>
      </c>
      <c r="O39" s="10">
        <v>179132</v>
      </c>
      <c r="P39" s="10">
        <v>179132</v>
      </c>
      <c r="Q39" s="10">
        <v>179132</v>
      </c>
      <c r="R39" s="10">
        <v>179132</v>
      </c>
    </row>
    <row r="40" spans="1:18" ht="6.75" customHeight="1" x14ac:dyDescent="0.2"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4.25" customHeight="1" x14ac:dyDescent="0.25">
      <c r="C41" s="13"/>
      <c r="D41" s="9"/>
      <c r="E41" s="9" t="s">
        <v>93</v>
      </c>
      <c r="G41" s="12">
        <f>SUM(G42:G45)</f>
        <v>909298</v>
      </c>
      <c r="H41" s="12">
        <f t="shared" ref="H41:R41" si="7">SUM(H42:H45)</f>
        <v>909298</v>
      </c>
      <c r="I41" s="12">
        <f t="shared" si="7"/>
        <v>909297</v>
      </c>
      <c r="J41" s="12">
        <f t="shared" si="7"/>
        <v>909297</v>
      </c>
      <c r="K41" s="12">
        <f t="shared" si="7"/>
        <v>909298</v>
      </c>
      <c r="L41" s="12">
        <f t="shared" si="7"/>
        <v>939298</v>
      </c>
      <c r="M41" s="12">
        <f t="shared" si="7"/>
        <v>939298</v>
      </c>
      <c r="N41" s="12">
        <f t="shared" si="7"/>
        <v>939298</v>
      </c>
      <c r="O41" s="12">
        <f t="shared" si="7"/>
        <v>939298</v>
      </c>
      <c r="P41" s="12">
        <f t="shared" si="7"/>
        <v>969298</v>
      </c>
      <c r="Q41" s="12">
        <f t="shared" si="7"/>
        <v>1004298</v>
      </c>
      <c r="R41" s="12">
        <f t="shared" si="7"/>
        <v>977656</v>
      </c>
    </row>
    <row r="42" spans="1:18" ht="15" x14ac:dyDescent="0.25">
      <c r="A42" s="9"/>
      <c r="B42" s="9"/>
      <c r="C42" s="9"/>
      <c r="F42" s="2" t="s">
        <v>62</v>
      </c>
      <c r="G42" s="10">
        <v>289778</v>
      </c>
      <c r="H42" s="10">
        <v>289778</v>
      </c>
      <c r="I42" s="10">
        <v>289778</v>
      </c>
      <c r="J42" s="10">
        <v>289778</v>
      </c>
      <c r="K42" s="10">
        <v>289778</v>
      </c>
      <c r="L42" s="10">
        <v>319778</v>
      </c>
      <c r="M42" s="10">
        <v>319778</v>
      </c>
      <c r="N42" s="10">
        <v>319778</v>
      </c>
      <c r="O42" s="10">
        <v>319778</v>
      </c>
      <c r="P42" s="10">
        <v>349778</v>
      </c>
      <c r="Q42" s="10">
        <v>384778</v>
      </c>
      <c r="R42" s="10">
        <v>358136</v>
      </c>
    </row>
    <row r="43" spans="1:18" ht="15" x14ac:dyDescent="0.25">
      <c r="A43" s="9"/>
      <c r="B43" s="9"/>
      <c r="C43" s="9"/>
      <c r="F43" s="2" t="s">
        <v>69</v>
      </c>
      <c r="G43" s="10">
        <v>57908</v>
      </c>
      <c r="H43" s="10">
        <v>57908</v>
      </c>
      <c r="I43" s="10">
        <v>57908</v>
      </c>
      <c r="J43" s="10">
        <v>57908</v>
      </c>
      <c r="K43" s="10">
        <v>57908</v>
      </c>
      <c r="L43" s="10">
        <v>57908</v>
      </c>
      <c r="M43" s="10">
        <v>57908</v>
      </c>
      <c r="N43" s="10">
        <v>57908</v>
      </c>
      <c r="O43" s="10">
        <v>57908</v>
      </c>
      <c r="P43" s="10">
        <v>57908</v>
      </c>
      <c r="Q43" s="10">
        <v>57908</v>
      </c>
      <c r="R43" s="10">
        <v>57908</v>
      </c>
    </row>
    <row r="44" spans="1:18" ht="15" x14ac:dyDescent="0.25">
      <c r="A44" s="9"/>
      <c r="B44" s="9"/>
      <c r="C44" s="9"/>
      <c r="F44" s="2" t="s">
        <v>16</v>
      </c>
      <c r="G44" s="10">
        <v>255837</v>
      </c>
      <c r="H44" s="10">
        <v>255837</v>
      </c>
      <c r="I44" s="10">
        <v>255837</v>
      </c>
      <c r="J44" s="10">
        <v>255837</v>
      </c>
      <c r="K44" s="10">
        <v>255837</v>
      </c>
      <c r="L44" s="10">
        <v>255837</v>
      </c>
      <c r="M44" s="10">
        <v>255837</v>
      </c>
      <c r="N44" s="10">
        <v>255837</v>
      </c>
      <c r="O44" s="10">
        <v>255837</v>
      </c>
      <c r="P44" s="10">
        <v>255837</v>
      </c>
      <c r="Q44" s="10">
        <v>255837</v>
      </c>
      <c r="R44" s="10">
        <v>255837</v>
      </c>
    </row>
    <row r="45" spans="1:18" ht="15" x14ac:dyDescent="0.25">
      <c r="A45" s="9"/>
      <c r="B45" s="9"/>
      <c r="C45" s="9"/>
      <c r="F45" s="2" t="s">
        <v>19</v>
      </c>
      <c r="G45" s="10">
        <v>305775</v>
      </c>
      <c r="H45" s="10">
        <v>305775</v>
      </c>
      <c r="I45" s="10">
        <v>305774</v>
      </c>
      <c r="J45" s="10">
        <v>305774</v>
      </c>
      <c r="K45" s="10">
        <v>305775</v>
      </c>
      <c r="L45" s="10">
        <v>305775</v>
      </c>
      <c r="M45" s="10">
        <v>305775</v>
      </c>
      <c r="N45" s="10">
        <v>305775</v>
      </c>
      <c r="O45" s="10">
        <v>305775</v>
      </c>
      <c r="P45" s="10">
        <v>305775</v>
      </c>
      <c r="Q45" s="10">
        <v>305775</v>
      </c>
      <c r="R45" s="10">
        <v>305775</v>
      </c>
    </row>
    <row r="46" spans="1:18" ht="6.75" customHeight="1" x14ac:dyDescent="0.25">
      <c r="A46" s="9"/>
      <c r="B46" s="9"/>
      <c r="C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5" x14ac:dyDescent="0.25">
      <c r="A47" s="9"/>
      <c r="B47" s="9"/>
      <c r="D47" s="9"/>
      <c r="E47" s="9" t="s">
        <v>94</v>
      </c>
      <c r="F47" s="9"/>
      <c r="G47" s="14">
        <v>50000</v>
      </c>
      <c r="H47" s="14">
        <v>50000</v>
      </c>
      <c r="I47" s="14">
        <v>50000</v>
      </c>
      <c r="J47" s="14">
        <v>50000</v>
      </c>
      <c r="K47" s="14">
        <v>50000</v>
      </c>
      <c r="L47" s="14">
        <v>50000</v>
      </c>
      <c r="M47" s="14">
        <v>50000</v>
      </c>
      <c r="N47" s="14">
        <v>50000</v>
      </c>
      <c r="O47" s="14">
        <v>50000</v>
      </c>
      <c r="P47" s="14">
        <v>50000</v>
      </c>
      <c r="Q47" s="14">
        <v>50000</v>
      </c>
      <c r="R47" s="14">
        <v>50000</v>
      </c>
    </row>
    <row r="48" spans="1:18" ht="5.25" customHeight="1" x14ac:dyDescent="0.25">
      <c r="A48" s="9"/>
      <c r="B48" s="9"/>
      <c r="C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5" x14ac:dyDescent="0.25">
      <c r="A49" s="9"/>
      <c r="B49" s="9"/>
      <c r="D49" s="9"/>
      <c r="E49" s="9" t="s">
        <v>95</v>
      </c>
      <c r="F49" s="9"/>
      <c r="G49" s="14">
        <v>8687</v>
      </c>
      <c r="H49" s="14">
        <v>8653</v>
      </c>
      <c r="I49" s="14">
        <v>8623</v>
      </c>
      <c r="J49" s="14">
        <v>8535</v>
      </c>
      <c r="K49" s="14">
        <v>8474</v>
      </c>
      <c r="L49" s="14">
        <v>8465</v>
      </c>
      <c r="M49" s="14">
        <v>8415</v>
      </c>
      <c r="N49" s="14">
        <v>8367</v>
      </c>
      <c r="O49" s="14">
        <v>8294</v>
      </c>
      <c r="P49" s="14">
        <v>8250</v>
      </c>
      <c r="Q49" s="14">
        <v>8128</v>
      </c>
      <c r="R49" s="14">
        <v>7968</v>
      </c>
    </row>
    <row r="50" spans="1:18" ht="6" customHeight="1" x14ac:dyDescent="0.25">
      <c r="A50" s="9"/>
      <c r="B50" s="9"/>
      <c r="C50" s="9"/>
      <c r="D50" s="9"/>
      <c r="E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3.5" customHeight="1" x14ac:dyDescent="0.25">
      <c r="A51" s="9"/>
      <c r="B51" s="9"/>
      <c r="C51" s="13" t="s">
        <v>84</v>
      </c>
      <c r="D51" s="9"/>
      <c r="E51" s="9" t="s">
        <v>96</v>
      </c>
      <c r="G51" s="15">
        <v>25428</v>
      </c>
      <c r="H51" s="15">
        <v>25448</v>
      </c>
      <c r="I51" s="15">
        <v>25390</v>
      </c>
      <c r="J51" s="15">
        <v>25222</v>
      </c>
      <c r="K51" s="15">
        <v>25292</v>
      </c>
      <c r="L51" s="15">
        <v>24895</v>
      </c>
      <c r="M51" s="15">
        <v>24557</v>
      </c>
      <c r="N51" s="15">
        <v>24242</v>
      </c>
      <c r="O51" s="15">
        <v>24211</v>
      </c>
      <c r="P51" s="15">
        <v>24198</v>
      </c>
      <c r="Q51" s="15">
        <v>24043</v>
      </c>
      <c r="R51" s="15">
        <v>24010</v>
      </c>
    </row>
    <row r="52" spans="1:18" ht="15" customHeight="1" x14ac:dyDescent="0.25">
      <c r="A52" s="9"/>
      <c r="B52" s="9"/>
      <c r="C52" s="13"/>
      <c r="D52" s="9"/>
      <c r="E52" s="9"/>
      <c r="F52" s="2" t="s">
        <v>79</v>
      </c>
      <c r="G52" s="10">
        <v>25428</v>
      </c>
      <c r="H52" s="10">
        <v>25448</v>
      </c>
      <c r="I52" s="10">
        <v>25390</v>
      </c>
      <c r="J52" s="10">
        <v>25222</v>
      </c>
      <c r="K52" s="10">
        <v>25292</v>
      </c>
      <c r="L52" s="10">
        <v>24895</v>
      </c>
      <c r="M52" s="10">
        <v>24557</v>
      </c>
      <c r="N52" s="10">
        <v>24242</v>
      </c>
      <c r="O52" s="10">
        <v>24211</v>
      </c>
      <c r="P52" s="10">
        <v>24198</v>
      </c>
      <c r="Q52" s="10">
        <v>24043</v>
      </c>
      <c r="R52" s="10">
        <v>24010</v>
      </c>
    </row>
    <row r="53" spans="1:18" ht="6" customHeight="1" x14ac:dyDescent="0.25">
      <c r="A53" s="9"/>
      <c r="B53" s="9"/>
      <c r="C53" s="13"/>
      <c r="D53" s="9"/>
      <c r="E53" s="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3.5" customHeight="1" x14ac:dyDescent="0.25">
      <c r="A54" s="9"/>
      <c r="B54" s="9"/>
      <c r="C54" s="13" t="s">
        <v>84</v>
      </c>
      <c r="D54" s="9"/>
      <c r="E54" s="9" t="s">
        <v>101</v>
      </c>
      <c r="G54" s="15">
        <v>4961</v>
      </c>
      <c r="H54" s="15">
        <v>4961</v>
      </c>
      <c r="I54" s="15">
        <v>4961</v>
      </c>
      <c r="J54" s="15">
        <v>4961</v>
      </c>
      <c r="K54" s="15">
        <v>4961</v>
      </c>
      <c r="L54" s="15">
        <v>4961</v>
      </c>
      <c r="M54" s="15">
        <v>4961</v>
      </c>
      <c r="N54" s="15">
        <v>4961</v>
      </c>
      <c r="O54" s="15">
        <v>4961</v>
      </c>
      <c r="P54" s="15">
        <v>4961</v>
      </c>
      <c r="Q54" s="15">
        <v>4961</v>
      </c>
      <c r="R54" s="15">
        <v>6561</v>
      </c>
    </row>
    <row r="55" spans="1:18" ht="15" customHeight="1" x14ac:dyDescent="0.25">
      <c r="A55" s="9"/>
      <c r="B55" s="9"/>
      <c r="C55" s="13"/>
      <c r="D55" s="9"/>
      <c r="E55" s="9"/>
      <c r="F55" s="2" t="s">
        <v>102</v>
      </c>
      <c r="G55" s="10">
        <v>4961</v>
      </c>
      <c r="H55" s="10">
        <v>4961</v>
      </c>
      <c r="I55" s="10">
        <v>4961</v>
      </c>
      <c r="J55" s="10">
        <v>4961</v>
      </c>
      <c r="K55" s="10">
        <v>4961</v>
      </c>
      <c r="L55" s="10">
        <v>4961</v>
      </c>
      <c r="M55" s="10">
        <v>4961</v>
      </c>
      <c r="N55" s="10">
        <v>4961</v>
      </c>
      <c r="O55" s="10">
        <v>4961</v>
      </c>
      <c r="P55" s="10">
        <v>4961</v>
      </c>
      <c r="Q55" s="10">
        <v>4961</v>
      </c>
      <c r="R55" s="10">
        <v>6561</v>
      </c>
    </row>
    <row r="56" spans="1:18" ht="8.25" customHeight="1" x14ac:dyDescent="0.25">
      <c r="A56" s="9"/>
      <c r="B56" s="9"/>
      <c r="C56" s="13"/>
      <c r="D56" s="9"/>
      <c r="E56" s="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15" x14ac:dyDescent="0.25">
      <c r="A57" s="9" t="s">
        <v>49</v>
      </c>
      <c r="B57" s="9"/>
      <c r="C57" s="9"/>
      <c r="D57" s="9"/>
      <c r="E57" s="9"/>
      <c r="F57" s="9"/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</row>
    <row r="58" spans="1:18" x14ac:dyDescent="0.2">
      <c r="G58" s="16"/>
    </row>
    <row r="59" spans="1:18" x14ac:dyDescent="0.2">
      <c r="G59" s="16"/>
    </row>
    <row r="60" spans="1:18" x14ac:dyDescent="0.2">
      <c r="G60" s="16"/>
    </row>
    <row r="61" spans="1:18" x14ac:dyDescent="0.2">
      <c r="A61" s="17"/>
      <c r="B61" s="18" t="s">
        <v>21</v>
      </c>
      <c r="C61" s="18"/>
      <c r="D61" s="18"/>
      <c r="E61" s="18"/>
      <c r="F61" s="18"/>
      <c r="G61" s="18"/>
    </row>
    <row r="62" spans="1:18" x14ac:dyDescent="0.2">
      <c r="B62" s="19"/>
      <c r="C62" s="19"/>
      <c r="D62" s="20"/>
      <c r="E62" s="20"/>
      <c r="G62" s="20"/>
    </row>
    <row r="63" spans="1:18" x14ac:dyDescent="0.2">
      <c r="B63" s="79"/>
      <c r="C63" s="79"/>
      <c r="D63" s="79"/>
      <c r="E63" s="79"/>
      <c r="F63" s="79"/>
    </row>
    <row r="64" spans="1:18" x14ac:dyDescent="0.2">
      <c r="A64" s="18"/>
      <c r="B64" s="18"/>
      <c r="C64" s="18"/>
    </row>
    <row r="65" spans="1:6" x14ac:dyDescent="0.2">
      <c r="A65" s="20"/>
      <c r="B65" s="18"/>
      <c r="C65" s="18"/>
    </row>
    <row r="67" spans="1:6" x14ac:dyDescent="0.2">
      <c r="F67" s="21" t="s">
        <v>71</v>
      </c>
    </row>
  </sheetData>
  <mergeCells count="17">
    <mergeCell ref="Q6:Q7"/>
    <mergeCell ref="R6:R7"/>
    <mergeCell ref="B63:F63"/>
    <mergeCell ref="A1:R1"/>
    <mergeCell ref="A2:R2"/>
    <mergeCell ref="A3:R3"/>
    <mergeCell ref="J6:J7"/>
    <mergeCell ref="K6:K7"/>
    <mergeCell ref="L6:L7"/>
    <mergeCell ref="M6:M7"/>
    <mergeCell ref="N6:N7"/>
    <mergeCell ref="O6:O7"/>
    <mergeCell ref="A6:F7"/>
    <mergeCell ref="G6:G7"/>
    <mergeCell ref="H6:H7"/>
    <mergeCell ref="I6:I7"/>
    <mergeCell ref="P6:P7"/>
  </mergeCells>
  <printOptions horizontalCentered="1"/>
  <pageMargins left="0.25" right="0.25" top="0.5" bottom="0.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8"/>
  <sheetViews>
    <sheetView zoomScaleNormal="100" workbookViewId="0">
      <pane xSplit="6" ySplit="7" topLeftCell="N8" activePane="bottomRight" state="frozen"/>
      <selection activeCell="B1" sqref="B1"/>
      <selection pane="topRight" activeCell="F1" sqref="F1"/>
      <selection pane="bottomLeft" activeCell="B8" sqref="B8"/>
      <selection pane="bottomRight" activeCell="L15" sqref="L15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6.85546875" style="2" customWidth="1"/>
    <col min="7" max="18" width="11.28515625" style="2" customWidth="1"/>
    <col min="19" max="16384" width="9.140625" style="2"/>
  </cols>
  <sheetData>
    <row r="1" spans="1:18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5" x14ac:dyDescent="0.2">
      <c r="A2" s="83" t="s">
        <v>181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6" customHeight="1" x14ac:dyDescent="0.2"/>
    <row r="5" spans="1:18" ht="6" customHeight="1" x14ac:dyDescent="0.2"/>
    <row r="6" spans="1:18" s="3" customFormat="1" x14ac:dyDescent="0.2">
      <c r="A6" s="80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18</v>
      </c>
      <c r="M6" s="80" t="s">
        <v>83</v>
      </c>
      <c r="N6" s="80" t="s">
        <v>100</v>
      </c>
      <c r="O6" s="80" t="s">
        <v>81</v>
      </c>
      <c r="P6" s="80" t="s">
        <v>7</v>
      </c>
      <c r="Q6" s="80" t="s">
        <v>8</v>
      </c>
      <c r="R6" s="80" t="s">
        <v>9</v>
      </c>
    </row>
    <row r="7" spans="1:18" ht="10.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 ht="15" thickTop="1" x14ac:dyDescent="0.2">
      <c r="A8" s="4"/>
      <c r="B8" s="4"/>
      <c r="C8" s="4"/>
      <c r="D8" s="4"/>
      <c r="E8" s="4"/>
      <c r="F8" s="4"/>
      <c r="G8" s="4"/>
    </row>
    <row r="9" spans="1:18" ht="15" x14ac:dyDescent="0.25">
      <c r="A9" s="5" t="s">
        <v>97</v>
      </c>
      <c r="B9" s="5"/>
      <c r="C9" s="5"/>
      <c r="D9" s="5"/>
      <c r="E9" s="5"/>
      <c r="F9" s="5"/>
      <c r="G9" s="8">
        <f t="shared" ref="G9:R9" si="0">G11+G58</f>
        <v>4908888</v>
      </c>
      <c r="H9" s="8">
        <f t="shared" si="0"/>
        <v>4897235</v>
      </c>
      <c r="I9" s="8">
        <f t="shared" si="0"/>
        <v>5195874</v>
      </c>
      <c r="J9" s="8">
        <f t="shared" si="0"/>
        <v>5204423.8739999998</v>
      </c>
      <c r="K9" s="8">
        <f t="shared" si="0"/>
        <v>5255433</v>
      </c>
      <c r="L9" s="8">
        <f t="shared" si="0"/>
        <v>5293881.625</v>
      </c>
      <c r="M9" s="8">
        <f t="shared" si="0"/>
        <v>5249718.8739999998</v>
      </c>
      <c r="N9" s="8">
        <f t="shared" si="0"/>
        <v>5271346.9529999997</v>
      </c>
      <c r="O9" s="8">
        <f t="shared" si="0"/>
        <v>5256811</v>
      </c>
      <c r="P9" s="8">
        <f t="shared" si="0"/>
        <v>5303825.5920000002</v>
      </c>
      <c r="Q9" s="8">
        <f t="shared" si="0"/>
        <v>5114670.2379999999</v>
      </c>
      <c r="R9" s="8">
        <f t="shared" si="0"/>
        <v>5126652</v>
      </c>
    </row>
    <row r="10" spans="1:18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5" x14ac:dyDescent="0.25">
      <c r="B11" s="5" t="s">
        <v>89</v>
      </c>
      <c r="C11" s="5"/>
      <c r="D11" s="5"/>
      <c r="E11" s="5"/>
      <c r="F11" s="5"/>
      <c r="G11" s="8">
        <f>G13+G21</f>
        <v>4908888</v>
      </c>
      <c r="H11" s="8">
        <f t="shared" ref="H11:R11" si="1">H13+H21</f>
        <v>4897235</v>
      </c>
      <c r="I11" s="8">
        <f t="shared" si="1"/>
        <v>5195874</v>
      </c>
      <c r="J11" s="8">
        <f t="shared" si="1"/>
        <v>5204423.8739999998</v>
      </c>
      <c r="K11" s="8">
        <f t="shared" si="1"/>
        <v>5255433</v>
      </c>
      <c r="L11" s="8">
        <f t="shared" si="1"/>
        <v>5293881.625</v>
      </c>
      <c r="M11" s="8">
        <f t="shared" si="1"/>
        <v>5249718.8739999998</v>
      </c>
      <c r="N11" s="8">
        <f t="shared" si="1"/>
        <v>5271346.9529999997</v>
      </c>
      <c r="O11" s="8">
        <f t="shared" si="1"/>
        <v>5256811</v>
      </c>
      <c r="P11" s="8">
        <f t="shared" si="1"/>
        <v>5303825.5920000002</v>
      </c>
      <c r="Q11" s="8">
        <f t="shared" si="1"/>
        <v>5114670.2379999999</v>
      </c>
      <c r="R11" s="8">
        <f t="shared" si="1"/>
        <v>5126652</v>
      </c>
    </row>
    <row r="12" spans="1:18" ht="15" x14ac:dyDescent="0.25">
      <c r="B12" s="5"/>
      <c r="C12" s="5"/>
      <c r="D12" s="5"/>
      <c r="E12" s="5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" x14ac:dyDescent="0.25">
      <c r="B13" s="9"/>
      <c r="C13" s="9" t="s">
        <v>90</v>
      </c>
      <c r="F13" s="9"/>
      <c r="G13" s="8">
        <f>SUM(G14:G19)</f>
        <v>555979</v>
      </c>
      <c r="H13" s="8">
        <f t="shared" ref="H13:R13" si="2">SUM(H14:H19)</f>
        <v>585417</v>
      </c>
      <c r="I13" s="8">
        <f t="shared" si="2"/>
        <v>607589</v>
      </c>
      <c r="J13" s="8">
        <f t="shared" si="2"/>
        <v>622082</v>
      </c>
      <c r="K13" s="8">
        <f t="shared" si="2"/>
        <v>632990</v>
      </c>
      <c r="L13" s="8">
        <f t="shared" si="2"/>
        <v>652334</v>
      </c>
      <c r="M13" s="8">
        <f t="shared" si="2"/>
        <v>608029</v>
      </c>
      <c r="N13" s="8">
        <f t="shared" si="2"/>
        <v>577699</v>
      </c>
      <c r="O13" s="8">
        <f t="shared" si="2"/>
        <v>552852</v>
      </c>
      <c r="P13" s="8">
        <f t="shared" si="2"/>
        <v>530380</v>
      </c>
      <c r="Q13" s="8">
        <f t="shared" si="2"/>
        <v>506170</v>
      </c>
      <c r="R13" s="8">
        <f t="shared" si="2"/>
        <v>486170</v>
      </c>
    </row>
    <row r="14" spans="1:18" x14ac:dyDescent="0.2">
      <c r="F14" s="2" t="s">
        <v>76</v>
      </c>
      <c r="G14" s="10">
        <v>174568</v>
      </c>
      <c r="H14" s="10">
        <v>174568</v>
      </c>
      <c r="I14" s="10">
        <v>174568</v>
      </c>
      <c r="J14" s="10">
        <v>174568</v>
      </c>
      <c r="K14" s="10">
        <v>174568</v>
      </c>
      <c r="L14" s="10">
        <v>174568</v>
      </c>
      <c r="M14" s="10">
        <v>174568</v>
      </c>
      <c r="N14" s="10">
        <v>174568</v>
      </c>
      <c r="O14" s="10">
        <v>174568</v>
      </c>
      <c r="P14" s="10">
        <v>174568</v>
      </c>
      <c r="Q14" s="10">
        <v>174568</v>
      </c>
      <c r="R14" s="10">
        <v>174568</v>
      </c>
    </row>
    <row r="15" spans="1:18" x14ac:dyDescent="0.2">
      <c r="F15" s="2" t="s">
        <v>12</v>
      </c>
      <c r="G15" s="10">
        <v>38669</v>
      </c>
      <c r="H15" s="10">
        <v>43059</v>
      </c>
      <c r="I15" s="10">
        <v>43900</v>
      </c>
      <c r="J15" s="10">
        <v>49231</v>
      </c>
      <c r="K15" s="10">
        <v>48841</v>
      </c>
      <c r="L15" s="10">
        <v>52000</v>
      </c>
      <c r="M15" s="10">
        <v>40000</v>
      </c>
      <c r="N15" s="10">
        <v>32000</v>
      </c>
      <c r="O15" s="10">
        <v>24000</v>
      </c>
      <c r="P15" s="10">
        <v>24000</v>
      </c>
      <c r="Q15" s="10">
        <v>24000</v>
      </c>
      <c r="R15" s="10">
        <v>24000</v>
      </c>
    </row>
    <row r="16" spans="1:18" x14ac:dyDescent="0.2">
      <c r="F16" s="2" t="s">
        <v>44</v>
      </c>
      <c r="G16" s="10">
        <v>109400</v>
      </c>
      <c r="H16" s="10">
        <v>107400</v>
      </c>
      <c r="I16" s="10">
        <v>113299</v>
      </c>
      <c r="J16" s="10">
        <v>112022</v>
      </c>
      <c r="K16" s="10">
        <v>112022</v>
      </c>
      <c r="L16" s="10">
        <v>122022</v>
      </c>
      <c r="M16" s="10">
        <v>108022</v>
      </c>
      <c r="N16" s="10">
        <v>100022</v>
      </c>
      <c r="O16" s="10">
        <v>89123</v>
      </c>
      <c r="P16" s="10">
        <v>82000</v>
      </c>
      <c r="Q16" s="10">
        <v>69790</v>
      </c>
      <c r="R16" s="10">
        <v>55790</v>
      </c>
    </row>
    <row r="17" spans="2:18" x14ac:dyDescent="0.2">
      <c r="F17" s="2" t="s">
        <v>45</v>
      </c>
      <c r="G17" s="10">
        <v>204221</v>
      </c>
      <c r="H17" s="10">
        <v>223839</v>
      </c>
      <c r="I17" s="10">
        <v>239271</v>
      </c>
      <c r="J17" s="10">
        <v>250231</v>
      </c>
      <c r="K17" s="10">
        <v>262029</v>
      </c>
      <c r="L17" s="10">
        <v>268214</v>
      </c>
      <c r="M17" s="10">
        <v>255109</v>
      </c>
      <c r="N17" s="10">
        <v>243109</v>
      </c>
      <c r="O17" s="10">
        <v>237161</v>
      </c>
      <c r="P17" s="10">
        <v>221812</v>
      </c>
      <c r="Q17" s="10">
        <v>209812</v>
      </c>
      <c r="R17" s="10">
        <v>203812</v>
      </c>
    </row>
    <row r="18" spans="2:18" x14ac:dyDescent="0.2">
      <c r="F18" s="2" t="s">
        <v>98</v>
      </c>
      <c r="G18" s="10">
        <v>20600</v>
      </c>
      <c r="H18" s="10">
        <v>20600</v>
      </c>
      <c r="I18" s="10">
        <v>20600</v>
      </c>
      <c r="J18" s="10">
        <v>20600</v>
      </c>
      <c r="K18" s="10">
        <v>20600</v>
      </c>
      <c r="L18" s="10">
        <v>20600</v>
      </c>
      <c r="M18" s="10">
        <v>20600</v>
      </c>
      <c r="N18" s="10">
        <v>20600</v>
      </c>
      <c r="O18" s="10">
        <v>20600</v>
      </c>
      <c r="P18" s="10">
        <v>20600</v>
      </c>
      <c r="Q18" s="10">
        <v>20600</v>
      </c>
      <c r="R18" s="10">
        <v>20600</v>
      </c>
    </row>
    <row r="19" spans="2:18" x14ac:dyDescent="0.2">
      <c r="F19" s="2" t="s">
        <v>99</v>
      </c>
      <c r="G19" s="10">
        <v>8521</v>
      </c>
      <c r="H19" s="10">
        <v>15951</v>
      </c>
      <c r="I19" s="10">
        <v>15951</v>
      </c>
      <c r="J19" s="10">
        <v>15430</v>
      </c>
      <c r="K19" s="10">
        <v>14930</v>
      </c>
      <c r="L19" s="10">
        <v>14930</v>
      </c>
      <c r="M19" s="10">
        <v>9730</v>
      </c>
      <c r="N19" s="10">
        <v>7400</v>
      </c>
      <c r="O19" s="10">
        <v>7400</v>
      </c>
      <c r="P19" s="10">
        <v>7400</v>
      </c>
      <c r="Q19" s="10">
        <v>7400</v>
      </c>
      <c r="R19" s="10">
        <v>7400</v>
      </c>
    </row>
    <row r="20" spans="2:18" x14ac:dyDescent="0.2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ht="15" x14ac:dyDescent="0.25">
      <c r="B21" s="9"/>
      <c r="C21" s="9" t="s">
        <v>88</v>
      </c>
      <c r="F21" s="9"/>
      <c r="G21" s="12">
        <f t="shared" ref="G21:P21" si="3">G23+G32</f>
        <v>4352909</v>
      </c>
      <c r="H21" s="12">
        <f t="shared" si="3"/>
        <v>4311818</v>
      </c>
      <c r="I21" s="12">
        <f t="shared" si="3"/>
        <v>4588285</v>
      </c>
      <c r="J21" s="12">
        <f t="shared" si="3"/>
        <v>4582341.8739999998</v>
      </c>
      <c r="K21" s="12">
        <f t="shared" si="3"/>
        <v>4622443</v>
      </c>
      <c r="L21" s="12">
        <f t="shared" si="3"/>
        <v>4641547.625</v>
      </c>
      <c r="M21" s="12">
        <f t="shared" si="3"/>
        <v>4641689.8739999998</v>
      </c>
      <c r="N21" s="12">
        <f t="shared" si="3"/>
        <v>4693647.9529999997</v>
      </c>
      <c r="O21" s="12">
        <f t="shared" si="3"/>
        <v>4703959</v>
      </c>
      <c r="P21" s="12">
        <f t="shared" si="3"/>
        <v>4773445.5920000002</v>
      </c>
      <c r="Q21" s="12">
        <f>Q23+Q32</f>
        <v>4608500.2379999999</v>
      </c>
      <c r="R21" s="12">
        <f>R23+R32</f>
        <v>4640482</v>
      </c>
    </row>
    <row r="22" spans="2:18" ht="15" x14ac:dyDescent="0.25">
      <c r="B22" s="9"/>
      <c r="C22" s="9"/>
      <c r="F22" s="9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2:18" ht="15" x14ac:dyDescent="0.25">
      <c r="B23" s="9"/>
      <c r="C23" s="9"/>
      <c r="D23" s="9" t="s">
        <v>91</v>
      </c>
      <c r="E23" s="9"/>
      <c r="G23" s="12">
        <f>SUM(G24:G30)</f>
        <v>2023018</v>
      </c>
      <c r="H23" s="12">
        <f t="shared" ref="H23:R23" si="4">SUM(H24:H30)</f>
        <v>1982148</v>
      </c>
      <c r="I23" s="12">
        <f t="shared" si="4"/>
        <v>2022148</v>
      </c>
      <c r="J23" s="12">
        <f t="shared" si="4"/>
        <v>2016499.4350000001</v>
      </c>
      <c r="K23" s="12">
        <f t="shared" si="4"/>
        <v>2056499</v>
      </c>
      <c r="L23" s="12">
        <f t="shared" si="4"/>
        <v>2076499</v>
      </c>
      <c r="M23" s="12">
        <f t="shared" si="4"/>
        <v>2076823.4350000001</v>
      </c>
      <c r="N23" s="12">
        <f t="shared" si="4"/>
        <v>2128143</v>
      </c>
      <c r="O23" s="12">
        <f t="shared" si="4"/>
        <v>2138542</v>
      </c>
      <c r="P23" s="12">
        <f t="shared" si="4"/>
        <v>2208542</v>
      </c>
      <c r="Q23" s="12">
        <f>SUM(Q24:Q30)</f>
        <v>2043615.2380000001</v>
      </c>
      <c r="R23" s="12">
        <f t="shared" si="4"/>
        <v>2070655</v>
      </c>
    </row>
    <row r="24" spans="2:18" x14ac:dyDescent="0.2">
      <c r="F24" s="2" t="s">
        <v>22</v>
      </c>
      <c r="G24" s="10">
        <v>94891</v>
      </c>
      <c r="H24" s="10">
        <v>94891</v>
      </c>
      <c r="I24" s="10">
        <v>94891</v>
      </c>
      <c r="J24" s="10">
        <v>94891</v>
      </c>
      <c r="K24" s="10">
        <v>94891</v>
      </c>
      <c r="L24" s="10">
        <v>94891</v>
      </c>
      <c r="M24" s="10">
        <v>114891</v>
      </c>
      <c r="N24" s="10">
        <v>134891</v>
      </c>
      <c r="O24" s="10">
        <v>134891</v>
      </c>
      <c r="P24" s="10">
        <v>154891</v>
      </c>
      <c r="Q24" s="10">
        <v>154891</v>
      </c>
      <c r="R24" s="10">
        <v>181932</v>
      </c>
    </row>
    <row r="25" spans="2:18" x14ac:dyDescent="0.2">
      <c r="F25" s="2" t="s">
        <v>14</v>
      </c>
      <c r="G25" s="10">
        <v>261511</v>
      </c>
      <c r="H25" s="10">
        <v>261511</v>
      </c>
      <c r="I25" s="10">
        <v>261511</v>
      </c>
      <c r="J25" s="10">
        <v>261511</v>
      </c>
      <c r="K25" s="10">
        <v>261511</v>
      </c>
      <c r="L25" s="10">
        <v>261511</v>
      </c>
      <c r="M25" s="10">
        <v>261511</v>
      </c>
      <c r="N25" s="10">
        <v>261511</v>
      </c>
      <c r="O25" s="10">
        <v>261511</v>
      </c>
      <c r="P25" s="10">
        <v>291511</v>
      </c>
      <c r="Q25" s="10">
        <v>291511</v>
      </c>
      <c r="R25" s="10">
        <v>291511</v>
      </c>
    </row>
    <row r="26" spans="2:18" x14ac:dyDescent="0.2">
      <c r="F26" s="2" t="s">
        <v>15</v>
      </c>
      <c r="G26" s="10">
        <v>584320</v>
      </c>
      <c r="H26" s="10">
        <v>614320</v>
      </c>
      <c r="I26" s="10">
        <v>634320</v>
      </c>
      <c r="J26" s="10">
        <v>608671</v>
      </c>
      <c r="K26" s="10">
        <v>628671</v>
      </c>
      <c r="L26" s="10">
        <v>628671</v>
      </c>
      <c r="M26" s="10">
        <v>608995</v>
      </c>
      <c r="N26" s="10">
        <v>600315</v>
      </c>
      <c r="O26" s="10">
        <v>610714</v>
      </c>
      <c r="P26" s="10">
        <v>630714</v>
      </c>
      <c r="Q26" s="10">
        <v>433515</v>
      </c>
      <c r="R26" s="10">
        <v>433515</v>
      </c>
    </row>
    <row r="27" spans="2:18" x14ac:dyDescent="0.2">
      <c r="F27" s="2" t="s">
        <v>20</v>
      </c>
      <c r="G27" s="10">
        <v>478157</v>
      </c>
      <c r="H27" s="10">
        <v>407287</v>
      </c>
      <c r="I27" s="10">
        <v>427287</v>
      </c>
      <c r="J27" s="10">
        <v>447287.435</v>
      </c>
      <c r="K27" s="10">
        <v>467287</v>
      </c>
      <c r="L27" s="10">
        <v>467287</v>
      </c>
      <c r="M27" s="10">
        <v>467287.435</v>
      </c>
      <c r="N27" s="10">
        <v>487287</v>
      </c>
      <c r="O27" s="10">
        <v>487287</v>
      </c>
      <c r="P27" s="10">
        <v>487287</v>
      </c>
      <c r="Q27" s="10">
        <v>507287.435</v>
      </c>
      <c r="R27" s="10">
        <v>507287</v>
      </c>
    </row>
    <row r="28" spans="2:18" x14ac:dyDescent="0.2">
      <c r="F28" s="2" t="s">
        <v>46</v>
      </c>
      <c r="G28" s="10">
        <v>368060</v>
      </c>
      <c r="H28" s="10">
        <v>368060</v>
      </c>
      <c r="I28" s="10">
        <v>368060</v>
      </c>
      <c r="J28" s="10">
        <v>368060</v>
      </c>
      <c r="K28" s="10">
        <v>368060</v>
      </c>
      <c r="L28" s="10">
        <v>388060</v>
      </c>
      <c r="M28" s="10">
        <v>388060</v>
      </c>
      <c r="N28" s="10">
        <v>408060</v>
      </c>
      <c r="O28" s="10">
        <v>408060</v>
      </c>
      <c r="P28" s="10">
        <v>408060</v>
      </c>
      <c r="Q28" s="10">
        <v>420331.39199999999</v>
      </c>
      <c r="R28" s="10">
        <v>420331</v>
      </c>
    </row>
    <row r="29" spans="2:18" x14ac:dyDescent="0.2">
      <c r="F29" s="2" t="s">
        <v>47</v>
      </c>
      <c r="G29" s="10">
        <v>235982</v>
      </c>
      <c r="H29" s="10">
        <v>235982</v>
      </c>
      <c r="I29" s="10">
        <v>235982</v>
      </c>
      <c r="J29" s="10">
        <v>235982</v>
      </c>
      <c r="K29" s="10">
        <v>235982</v>
      </c>
      <c r="L29" s="10">
        <v>235982</v>
      </c>
      <c r="M29" s="10">
        <v>235982</v>
      </c>
      <c r="N29" s="10">
        <v>235982</v>
      </c>
      <c r="O29" s="10">
        <v>235982</v>
      </c>
      <c r="P29" s="10">
        <v>235982</v>
      </c>
      <c r="Q29" s="10">
        <v>235982.41099999999</v>
      </c>
      <c r="R29" s="10">
        <v>235982</v>
      </c>
    </row>
    <row r="30" spans="2:18" x14ac:dyDescent="0.2">
      <c r="F30" s="2" t="s">
        <v>53</v>
      </c>
      <c r="G30" s="10">
        <v>97</v>
      </c>
      <c r="H30" s="10">
        <v>97</v>
      </c>
      <c r="I30" s="10">
        <v>97</v>
      </c>
      <c r="J30" s="10">
        <v>97</v>
      </c>
      <c r="K30" s="10">
        <v>97</v>
      </c>
      <c r="L30" s="10">
        <v>97</v>
      </c>
      <c r="M30" s="10">
        <v>97</v>
      </c>
      <c r="N30" s="10">
        <v>97</v>
      </c>
      <c r="O30" s="10">
        <v>97</v>
      </c>
      <c r="P30" s="10">
        <v>97</v>
      </c>
      <c r="Q30" s="10">
        <v>97</v>
      </c>
      <c r="R30" s="10">
        <v>97</v>
      </c>
    </row>
    <row r="31" spans="2:18" x14ac:dyDescent="0.2"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ht="15" x14ac:dyDescent="0.25">
      <c r="B32" s="9"/>
      <c r="D32" s="9" t="s">
        <v>92</v>
      </c>
      <c r="E32" s="9"/>
      <c r="G32" s="8">
        <f>G34+G42+G48+G50+G52+G55</f>
        <v>2329891</v>
      </c>
      <c r="H32" s="8">
        <f t="shared" ref="H32:R32" si="5">H34+H42+H48+H50+H52+H55</f>
        <v>2329670</v>
      </c>
      <c r="I32" s="8">
        <f t="shared" si="5"/>
        <v>2566137</v>
      </c>
      <c r="J32" s="8">
        <f t="shared" si="5"/>
        <v>2565842.4390000002</v>
      </c>
      <c r="K32" s="8">
        <f t="shared" si="5"/>
        <v>2565944</v>
      </c>
      <c r="L32" s="8">
        <f t="shared" si="5"/>
        <v>2565048.625</v>
      </c>
      <c r="M32" s="8">
        <f t="shared" si="5"/>
        <v>2564866.4390000002</v>
      </c>
      <c r="N32" s="8">
        <f t="shared" si="5"/>
        <v>2565504.9530000002</v>
      </c>
      <c r="O32" s="8">
        <f t="shared" si="5"/>
        <v>2565417</v>
      </c>
      <c r="P32" s="8">
        <f t="shared" si="5"/>
        <v>2564903.5920000002</v>
      </c>
      <c r="Q32" s="8">
        <f t="shared" si="5"/>
        <v>2564885</v>
      </c>
      <c r="R32" s="8">
        <f t="shared" si="5"/>
        <v>2569827</v>
      </c>
    </row>
    <row r="33" spans="1:18" ht="15" x14ac:dyDescent="0.25">
      <c r="B33" s="9"/>
      <c r="D33" s="9"/>
      <c r="E33" s="9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5" x14ac:dyDescent="0.25">
      <c r="B34" s="9"/>
      <c r="C34" s="9"/>
      <c r="E34" s="9" t="s">
        <v>34</v>
      </c>
      <c r="G34" s="12">
        <v>1335537</v>
      </c>
      <c r="H34" s="12">
        <v>1335537</v>
      </c>
      <c r="I34" s="12">
        <v>1571454</v>
      </c>
      <c r="J34" s="12">
        <v>1571454</v>
      </c>
      <c r="K34" s="12">
        <v>1571454</v>
      </c>
      <c r="L34" s="12">
        <v>1571454</v>
      </c>
      <c r="M34" s="12">
        <v>1571454</v>
      </c>
      <c r="N34" s="12">
        <v>1571454</v>
      </c>
      <c r="O34" s="12">
        <v>1571454</v>
      </c>
      <c r="P34" s="12">
        <v>1571454</v>
      </c>
      <c r="Q34" s="12">
        <v>1571454</v>
      </c>
      <c r="R34" s="12">
        <v>1571454</v>
      </c>
    </row>
    <row r="35" spans="1:18" x14ac:dyDescent="0.2">
      <c r="F35" s="2" t="s">
        <v>68</v>
      </c>
      <c r="G35" s="10">
        <v>303696</v>
      </c>
      <c r="H35" s="10">
        <v>303696</v>
      </c>
      <c r="I35" s="10">
        <v>303696</v>
      </c>
      <c r="J35" s="10">
        <v>303696</v>
      </c>
      <c r="K35" s="10">
        <v>303696</v>
      </c>
      <c r="L35" s="10">
        <v>303696</v>
      </c>
      <c r="M35" s="10">
        <v>303696</v>
      </c>
      <c r="N35" s="10">
        <v>303696</v>
      </c>
      <c r="O35" s="10">
        <v>303696</v>
      </c>
      <c r="P35" s="10">
        <v>303696</v>
      </c>
      <c r="Q35" s="10">
        <v>303696</v>
      </c>
      <c r="R35" s="10">
        <v>303696</v>
      </c>
    </row>
    <row r="36" spans="1:18" x14ac:dyDescent="0.2">
      <c r="F36" s="2" t="s">
        <v>27</v>
      </c>
      <c r="G36" s="10">
        <v>255359</v>
      </c>
      <c r="H36" s="10">
        <v>255359</v>
      </c>
      <c r="I36" s="10">
        <v>491276</v>
      </c>
      <c r="J36" s="10">
        <v>491276</v>
      </c>
      <c r="K36" s="10">
        <v>491276</v>
      </c>
      <c r="L36" s="10">
        <v>491276</v>
      </c>
      <c r="M36" s="10">
        <v>491276</v>
      </c>
      <c r="N36" s="10">
        <v>491276</v>
      </c>
      <c r="O36" s="10">
        <v>491276</v>
      </c>
      <c r="P36" s="10">
        <v>491276</v>
      </c>
      <c r="Q36" s="10">
        <v>491276</v>
      </c>
      <c r="R36" s="10">
        <v>491276</v>
      </c>
    </row>
    <row r="37" spans="1:18" x14ac:dyDescent="0.2">
      <c r="F37" s="2" t="s">
        <v>67</v>
      </c>
      <c r="G37" s="10">
        <v>368863</v>
      </c>
      <c r="H37" s="10">
        <v>368863</v>
      </c>
      <c r="I37" s="10">
        <v>368863</v>
      </c>
      <c r="J37" s="10">
        <v>368863</v>
      </c>
      <c r="K37" s="10">
        <v>368863</v>
      </c>
      <c r="L37" s="10">
        <v>368863</v>
      </c>
      <c r="M37" s="10">
        <v>368863</v>
      </c>
      <c r="N37" s="10">
        <v>368863</v>
      </c>
      <c r="O37" s="10">
        <v>368863</v>
      </c>
      <c r="P37" s="10">
        <v>368863</v>
      </c>
      <c r="Q37" s="10">
        <v>368863</v>
      </c>
      <c r="R37" s="10">
        <v>368863</v>
      </c>
    </row>
    <row r="38" spans="1:18" x14ac:dyDescent="0.2">
      <c r="F38" s="2" t="s">
        <v>66</v>
      </c>
      <c r="G38" s="10">
        <v>95805</v>
      </c>
      <c r="H38" s="10">
        <v>95805</v>
      </c>
      <c r="I38" s="10">
        <v>95805</v>
      </c>
      <c r="J38" s="10">
        <v>95805</v>
      </c>
      <c r="K38" s="10">
        <v>95805</v>
      </c>
      <c r="L38" s="10">
        <v>95805</v>
      </c>
      <c r="M38" s="10">
        <v>95805</v>
      </c>
      <c r="N38" s="10">
        <v>95805</v>
      </c>
      <c r="O38" s="10">
        <v>95805</v>
      </c>
      <c r="P38" s="10">
        <v>95805</v>
      </c>
      <c r="Q38" s="10">
        <v>95805</v>
      </c>
      <c r="R38" s="10">
        <v>95805</v>
      </c>
    </row>
    <row r="39" spans="1:18" x14ac:dyDescent="0.2">
      <c r="F39" s="2" t="s">
        <v>72</v>
      </c>
      <c r="G39" s="10">
        <v>132682</v>
      </c>
      <c r="H39" s="10">
        <v>132682</v>
      </c>
      <c r="I39" s="10">
        <v>132682</v>
      </c>
      <c r="J39" s="10">
        <v>132682</v>
      </c>
      <c r="K39" s="10">
        <v>132682</v>
      </c>
      <c r="L39" s="10">
        <v>132682</v>
      </c>
      <c r="M39" s="10">
        <v>132682</v>
      </c>
      <c r="N39" s="10">
        <v>132682</v>
      </c>
      <c r="O39" s="10">
        <v>132682</v>
      </c>
      <c r="P39" s="10">
        <v>132682</v>
      </c>
      <c r="Q39" s="10">
        <v>132682</v>
      </c>
      <c r="R39" s="10">
        <v>132682</v>
      </c>
    </row>
    <row r="40" spans="1:18" x14ac:dyDescent="0.2">
      <c r="F40" s="2" t="s">
        <v>73</v>
      </c>
      <c r="G40" s="10">
        <v>179132</v>
      </c>
      <c r="H40" s="10">
        <v>179132</v>
      </c>
      <c r="I40" s="10">
        <v>179132</v>
      </c>
      <c r="J40" s="10">
        <v>179132</v>
      </c>
      <c r="K40" s="10">
        <v>179132</v>
      </c>
      <c r="L40" s="10">
        <v>179132</v>
      </c>
      <c r="M40" s="10">
        <v>179132</v>
      </c>
      <c r="N40" s="10">
        <v>179132</v>
      </c>
      <c r="O40" s="10">
        <v>179132</v>
      </c>
      <c r="P40" s="10">
        <v>179132</v>
      </c>
      <c r="Q40" s="10">
        <v>179132</v>
      </c>
      <c r="R40" s="10">
        <v>179132</v>
      </c>
    </row>
    <row r="41" spans="1:18" x14ac:dyDescent="0.2"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5" x14ac:dyDescent="0.25">
      <c r="C42" s="13"/>
      <c r="D42" s="9"/>
      <c r="E42" s="9" t="s">
        <v>93</v>
      </c>
      <c r="G42" s="12">
        <f>SUM(G43:G46)</f>
        <v>909298</v>
      </c>
      <c r="H42" s="12">
        <f t="shared" ref="H42:R42" si="6">SUM(H43:H46)</f>
        <v>909298</v>
      </c>
      <c r="I42" s="12">
        <f t="shared" si="6"/>
        <v>909298</v>
      </c>
      <c r="J42" s="12">
        <f t="shared" si="6"/>
        <v>909298.43900000001</v>
      </c>
      <c r="K42" s="12">
        <f t="shared" si="6"/>
        <v>909298</v>
      </c>
      <c r="L42" s="12">
        <f t="shared" si="6"/>
        <v>909298</v>
      </c>
      <c r="M42" s="12">
        <f t="shared" si="6"/>
        <v>909298.43900000001</v>
      </c>
      <c r="N42" s="12">
        <f t="shared" si="6"/>
        <v>909298.59199999995</v>
      </c>
      <c r="O42" s="12">
        <f t="shared" si="6"/>
        <v>909298</v>
      </c>
      <c r="P42" s="12">
        <f t="shared" si="6"/>
        <v>909298.59199999995</v>
      </c>
      <c r="Q42" s="12">
        <f t="shared" si="6"/>
        <v>909298</v>
      </c>
      <c r="R42" s="12">
        <f t="shared" si="6"/>
        <v>909298</v>
      </c>
    </row>
    <row r="43" spans="1:18" ht="15" x14ac:dyDescent="0.25">
      <c r="A43" s="9"/>
      <c r="B43" s="9"/>
      <c r="C43" s="9"/>
      <c r="F43" s="2" t="s">
        <v>62</v>
      </c>
      <c r="G43" s="10">
        <v>289778</v>
      </c>
      <c r="H43" s="10">
        <v>289778</v>
      </c>
      <c r="I43" s="10">
        <v>289778</v>
      </c>
      <c r="J43" s="10">
        <v>289778.43900000001</v>
      </c>
      <c r="K43" s="10">
        <v>289778</v>
      </c>
      <c r="L43" s="10">
        <v>289778</v>
      </c>
      <c r="M43" s="10">
        <v>289778.43900000001</v>
      </c>
      <c r="N43" s="10">
        <v>289778.43900000001</v>
      </c>
      <c r="O43" s="10">
        <v>289778</v>
      </c>
      <c r="P43" s="10">
        <v>289778.43900000001</v>
      </c>
      <c r="Q43" s="10">
        <v>289778</v>
      </c>
      <c r="R43" s="10">
        <v>289778</v>
      </c>
    </row>
    <row r="44" spans="1:18" ht="15" x14ac:dyDescent="0.25">
      <c r="A44" s="9"/>
      <c r="B44" s="9"/>
      <c r="C44" s="9"/>
      <c r="F44" s="2" t="s">
        <v>69</v>
      </c>
      <c r="G44" s="10">
        <v>57908</v>
      </c>
      <c r="H44" s="10">
        <v>57908</v>
      </c>
      <c r="I44" s="10">
        <v>57908</v>
      </c>
      <c r="J44" s="10">
        <v>57908</v>
      </c>
      <c r="K44" s="10">
        <v>57908</v>
      </c>
      <c r="L44" s="10">
        <v>57908</v>
      </c>
      <c r="M44" s="10">
        <v>57908</v>
      </c>
      <c r="N44" s="10">
        <v>57908</v>
      </c>
      <c r="O44" s="10">
        <v>57908</v>
      </c>
      <c r="P44" s="10">
        <v>57908</v>
      </c>
      <c r="Q44" s="10">
        <v>57908</v>
      </c>
      <c r="R44" s="10">
        <v>57908</v>
      </c>
    </row>
    <row r="45" spans="1:18" ht="15" x14ac:dyDescent="0.25">
      <c r="A45" s="9"/>
      <c r="B45" s="9"/>
      <c r="C45" s="9"/>
      <c r="F45" s="2" t="s">
        <v>16</v>
      </c>
      <c r="G45" s="10">
        <v>255837</v>
      </c>
      <c r="H45" s="10">
        <v>255837</v>
      </c>
      <c r="I45" s="10">
        <v>255837</v>
      </c>
      <c r="J45" s="10">
        <v>255837</v>
      </c>
      <c r="K45" s="10">
        <v>255837</v>
      </c>
      <c r="L45" s="10">
        <v>255837</v>
      </c>
      <c r="M45" s="10">
        <v>255837</v>
      </c>
      <c r="N45" s="10">
        <v>255837.15299999999</v>
      </c>
      <c r="O45" s="10">
        <v>255837</v>
      </c>
      <c r="P45" s="10">
        <v>255837.15299999999</v>
      </c>
      <c r="Q45" s="10">
        <v>255837</v>
      </c>
      <c r="R45" s="10">
        <v>255837</v>
      </c>
    </row>
    <row r="46" spans="1:18" ht="15" x14ac:dyDescent="0.25">
      <c r="A46" s="9"/>
      <c r="B46" s="9"/>
      <c r="C46" s="9"/>
      <c r="F46" s="2" t="s">
        <v>19</v>
      </c>
      <c r="G46" s="10">
        <v>305775</v>
      </c>
      <c r="H46" s="10">
        <v>305775</v>
      </c>
      <c r="I46" s="10">
        <v>305775</v>
      </c>
      <c r="J46" s="10">
        <v>305775</v>
      </c>
      <c r="K46" s="10">
        <v>305775</v>
      </c>
      <c r="L46" s="10">
        <v>305775</v>
      </c>
      <c r="M46" s="10">
        <v>305775</v>
      </c>
      <c r="N46" s="10">
        <v>305775</v>
      </c>
      <c r="O46" s="10">
        <v>305775</v>
      </c>
      <c r="P46" s="10">
        <v>305775</v>
      </c>
      <c r="Q46" s="10">
        <v>305775</v>
      </c>
      <c r="R46" s="10">
        <v>305775</v>
      </c>
    </row>
    <row r="47" spans="1:18" ht="15" x14ac:dyDescent="0.25">
      <c r="A47" s="9"/>
      <c r="B47" s="9"/>
      <c r="C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5" x14ac:dyDescent="0.25">
      <c r="A48" s="9"/>
      <c r="B48" s="9"/>
      <c r="D48" s="9"/>
      <c r="E48" s="9" t="s">
        <v>94</v>
      </c>
      <c r="F48" s="9"/>
      <c r="G48" s="14">
        <v>50000</v>
      </c>
      <c r="H48" s="14">
        <v>50000</v>
      </c>
      <c r="I48" s="14">
        <v>50000</v>
      </c>
      <c r="J48" s="14">
        <v>50000</v>
      </c>
      <c r="K48" s="14">
        <v>50000</v>
      </c>
      <c r="L48" s="14">
        <v>50000</v>
      </c>
      <c r="M48" s="14">
        <v>50000</v>
      </c>
      <c r="N48" s="14">
        <v>50000</v>
      </c>
      <c r="O48" s="14">
        <v>50000</v>
      </c>
      <c r="P48" s="14">
        <v>50000</v>
      </c>
      <c r="Q48" s="14">
        <v>50000</v>
      </c>
      <c r="R48" s="14">
        <v>50000</v>
      </c>
    </row>
    <row r="49" spans="1:18" ht="15" x14ac:dyDescent="0.25">
      <c r="A49" s="9"/>
      <c r="B49" s="9"/>
      <c r="C49" s="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5" x14ac:dyDescent="0.25">
      <c r="A50" s="9"/>
      <c r="B50" s="9"/>
      <c r="D50" s="9"/>
      <c r="E50" s="9" t="s">
        <v>95</v>
      </c>
      <c r="F50" s="9"/>
      <c r="G50" s="14">
        <v>8975</v>
      </c>
      <c r="H50" s="14">
        <v>8950</v>
      </c>
      <c r="I50" s="14">
        <v>9071</v>
      </c>
      <c r="J50" s="14">
        <v>9041</v>
      </c>
      <c r="K50" s="14">
        <v>9081</v>
      </c>
      <c r="L50" s="14">
        <v>8679.625</v>
      </c>
      <c r="M50" s="14">
        <v>8682</v>
      </c>
      <c r="N50" s="14">
        <v>8687.3610000000008</v>
      </c>
      <c r="O50" s="14">
        <v>8767</v>
      </c>
      <c r="P50" s="14">
        <v>8766</v>
      </c>
      <c r="Q50" s="14">
        <v>8754</v>
      </c>
      <c r="R50" s="14">
        <v>8713</v>
      </c>
    </row>
    <row r="51" spans="1:18" ht="15" x14ac:dyDescent="0.25">
      <c r="A51" s="9"/>
      <c r="B51" s="9"/>
      <c r="C51" s="9"/>
      <c r="D51" s="9"/>
      <c r="E51" s="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15" x14ac:dyDescent="0.25">
      <c r="A52" s="9"/>
      <c r="B52" s="9"/>
      <c r="C52" s="13" t="s">
        <v>84</v>
      </c>
      <c r="D52" s="9"/>
      <c r="E52" s="9" t="s">
        <v>96</v>
      </c>
      <c r="G52" s="15">
        <v>26081</v>
      </c>
      <c r="H52" s="15">
        <v>25885</v>
      </c>
      <c r="I52" s="15">
        <v>26314</v>
      </c>
      <c r="J52" s="15">
        <v>26049</v>
      </c>
      <c r="K52" s="15">
        <v>26111</v>
      </c>
      <c r="L52" s="15">
        <v>25617</v>
      </c>
      <c r="M52" s="15">
        <v>25432</v>
      </c>
      <c r="N52" s="15">
        <v>26065</v>
      </c>
      <c r="O52" s="15">
        <v>25898</v>
      </c>
      <c r="P52" s="15">
        <v>25385</v>
      </c>
      <c r="Q52" s="15">
        <v>25379</v>
      </c>
      <c r="R52" s="15">
        <v>25401</v>
      </c>
    </row>
    <row r="53" spans="1:18" ht="15" x14ac:dyDescent="0.25">
      <c r="A53" s="9"/>
      <c r="B53" s="9"/>
      <c r="C53" s="13"/>
      <c r="D53" s="9"/>
      <c r="E53" s="9"/>
      <c r="F53" s="2" t="s">
        <v>79</v>
      </c>
      <c r="G53" s="10">
        <v>26081</v>
      </c>
      <c r="H53" s="10">
        <v>25885</v>
      </c>
      <c r="I53" s="10">
        <v>26314</v>
      </c>
      <c r="J53" s="10">
        <v>26049</v>
      </c>
      <c r="K53" s="10">
        <v>26111</v>
      </c>
      <c r="L53" s="10">
        <v>25617</v>
      </c>
      <c r="M53" s="10">
        <v>25432.5</v>
      </c>
      <c r="N53" s="10">
        <v>26065</v>
      </c>
      <c r="O53" s="10">
        <v>25898</v>
      </c>
      <c r="P53" s="10">
        <v>25385</v>
      </c>
      <c r="Q53" s="10">
        <v>25379</v>
      </c>
      <c r="R53" s="10">
        <v>25401</v>
      </c>
    </row>
    <row r="54" spans="1:18" ht="15" x14ac:dyDescent="0.25">
      <c r="A54" s="9"/>
      <c r="B54" s="9"/>
      <c r="C54" s="13"/>
      <c r="D54" s="9"/>
      <c r="E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5" x14ac:dyDescent="0.25">
      <c r="A55" s="9"/>
      <c r="B55" s="9"/>
      <c r="C55" s="13" t="s">
        <v>84</v>
      </c>
      <c r="D55" s="9"/>
      <c r="E55" s="9" t="s">
        <v>101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4961</v>
      </c>
    </row>
    <row r="56" spans="1:18" ht="15" x14ac:dyDescent="0.25">
      <c r="A56" s="9"/>
      <c r="B56" s="9"/>
      <c r="C56" s="13"/>
      <c r="D56" s="9"/>
      <c r="E56" s="9"/>
      <c r="F56" s="2" t="s">
        <v>102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4961</v>
      </c>
    </row>
    <row r="57" spans="1:18" ht="15" x14ac:dyDescent="0.25">
      <c r="A57" s="9"/>
      <c r="B57" s="9"/>
      <c r="C57" s="13"/>
      <c r="D57" s="9"/>
      <c r="E57" s="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5" x14ac:dyDescent="0.25">
      <c r="A58" s="9" t="s">
        <v>49</v>
      </c>
      <c r="B58" s="9"/>
      <c r="C58" s="9"/>
      <c r="D58" s="9"/>
      <c r="E58" s="9"/>
      <c r="F58" s="9"/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</row>
    <row r="59" spans="1:18" x14ac:dyDescent="0.2">
      <c r="G59" s="16"/>
    </row>
    <row r="60" spans="1:18" x14ac:dyDescent="0.2">
      <c r="G60" s="16"/>
    </row>
    <row r="61" spans="1:18" x14ac:dyDescent="0.2">
      <c r="G61" s="16"/>
    </row>
    <row r="62" spans="1:18" x14ac:dyDescent="0.2">
      <c r="A62" s="17"/>
      <c r="B62" s="18" t="s">
        <v>21</v>
      </c>
      <c r="C62" s="18"/>
      <c r="D62" s="18"/>
      <c r="E62" s="18"/>
      <c r="F62" s="18"/>
      <c r="G62" s="18"/>
    </row>
    <row r="63" spans="1:18" x14ac:dyDescent="0.2">
      <c r="B63" s="19"/>
      <c r="C63" s="19"/>
      <c r="D63" s="20"/>
      <c r="E63" s="20"/>
      <c r="G63" s="20"/>
    </row>
    <row r="64" spans="1:18" x14ac:dyDescent="0.2">
      <c r="B64" s="79"/>
      <c r="C64" s="79"/>
      <c r="D64" s="79"/>
      <c r="E64" s="79"/>
      <c r="F64" s="79"/>
    </row>
    <row r="65" spans="1:6" x14ac:dyDescent="0.2">
      <c r="A65" s="18"/>
      <c r="B65" s="18"/>
      <c r="C65" s="18"/>
    </row>
    <row r="66" spans="1:6" x14ac:dyDescent="0.2">
      <c r="A66" s="20"/>
      <c r="B66" s="18"/>
      <c r="C66" s="18"/>
    </row>
    <row r="68" spans="1:6" x14ac:dyDescent="0.2">
      <c r="F68" s="21" t="s">
        <v>71</v>
      </c>
    </row>
  </sheetData>
  <mergeCells count="17">
    <mergeCell ref="B64:F64"/>
    <mergeCell ref="J6:J7"/>
    <mergeCell ref="K6:K7"/>
    <mergeCell ref="L6:L7"/>
    <mergeCell ref="M6:M7"/>
    <mergeCell ref="I6:I7"/>
    <mergeCell ref="A1:R1"/>
    <mergeCell ref="A2:R2"/>
    <mergeCell ref="A3:R3"/>
    <mergeCell ref="A6:F7"/>
    <mergeCell ref="G6:G7"/>
    <mergeCell ref="H6:H7"/>
    <mergeCell ref="P6:P7"/>
    <mergeCell ref="Q6:Q7"/>
    <mergeCell ref="R6:R7"/>
    <mergeCell ref="N6:N7"/>
    <mergeCell ref="O6:O7"/>
  </mergeCells>
  <printOptions horizontalCentered="1"/>
  <pageMargins left="0.25" right="0.25" top="0.5" bottom="0.5" header="0.3" footer="0.3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1"/>
  <sheetViews>
    <sheetView zoomScaleNormal="100" workbookViewId="0">
      <pane xSplit="6" ySplit="7" topLeftCell="P8" activePane="bottomRight" state="frozen"/>
      <selection activeCell="B1" sqref="B1"/>
      <selection pane="topRight" activeCell="F1" sqref="F1"/>
      <selection pane="bottomLeft" activeCell="B8" sqref="B8"/>
      <selection pane="bottomRight" activeCell="A2" sqref="A2:R2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5" width="2" style="2" customWidth="1"/>
    <col min="6" max="6" width="37.7109375" style="2" customWidth="1"/>
    <col min="7" max="12" width="12.7109375" style="2" customWidth="1"/>
    <col min="13" max="13" width="12.7109375" style="58" customWidth="1"/>
    <col min="14" max="18" width="12.7109375" style="2" customWidth="1"/>
    <col min="19" max="16384" width="9.140625" style="2"/>
  </cols>
  <sheetData>
    <row r="1" spans="1:18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5" x14ac:dyDescent="0.2">
      <c r="A2" s="83" t="s">
        <v>182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6" customHeight="1" x14ac:dyDescent="0.2"/>
    <row r="5" spans="1:18" ht="6" customHeight="1" x14ac:dyDescent="0.2"/>
    <row r="6" spans="1:18" s="3" customFormat="1" x14ac:dyDescent="0.2">
      <c r="A6" s="80" t="s">
        <v>17</v>
      </c>
      <c r="B6" s="80"/>
      <c r="C6" s="80"/>
      <c r="D6" s="80"/>
      <c r="E6" s="80"/>
      <c r="F6" s="80"/>
      <c r="G6" s="80" t="s">
        <v>0</v>
      </c>
      <c r="H6" s="80" t="s">
        <v>1</v>
      </c>
      <c r="I6" s="80" t="s">
        <v>2</v>
      </c>
      <c r="J6" s="80" t="s">
        <v>3</v>
      </c>
      <c r="K6" s="80" t="s">
        <v>4</v>
      </c>
      <c r="L6" s="80" t="s">
        <v>80</v>
      </c>
      <c r="M6" s="80" t="s">
        <v>5</v>
      </c>
      <c r="N6" s="80" t="s">
        <v>6</v>
      </c>
      <c r="O6" s="80" t="s">
        <v>81</v>
      </c>
      <c r="P6" s="80" t="s">
        <v>7</v>
      </c>
      <c r="Q6" s="80" t="s">
        <v>8</v>
      </c>
      <c r="R6" s="80" t="s">
        <v>9</v>
      </c>
    </row>
    <row r="7" spans="1:18" ht="10.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 ht="15" thickTop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M8" s="2"/>
    </row>
    <row r="9" spans="1:18" ht="14.25" customHeight="1" x14ac:dyDescent="0.25">
      <c r="A9" s="5" t="s">
        <v>97</v>
      </c>
      <c r="B9" s="5"/>
      <c r="C9" s="5"/>
      <c r="D9" s="5"/>
      <c r="E9" s="5"/>
      <c r="F9" s="5"/>
      <c r="G9" s="8">
        <f>G11+G53</f>
        <v>4437837</v>
      </c>
      <c r="H9" s="8">
        <f t="shared" ref="H9:R9" si="0">H11+H53</f>
        <v>4428915</v>
      </c>
      <c r="I9" s="8">
        <f t="shared" si="0"/>
        <v>4464827</v>
      </c>
      <c r="J9" s="8">
        <f t="shared" si="0"/>
        <v>4497906</v>
      </c>
      <c r="K9" s="8">
        <f t="shared" si="0"/>
        <v>4423389</v>
      </c>
      <c r="L9" s="8">
        <f t="shared" si="0"/>
        <v>4578134</v>
      </c>
      <c r="M9" s="8">
        <f t="shared" si="0"/>
        <v>4599585</v>
      </c>
      <c r="N9" s="8">
        <f t="shared" si="0"/>
        <v>4571977</v>
      </c>
      <c r="O9" s="8">
        <f t="shared" si="0"/>
        <v>4586826</v>
      </c>
      <c r="P9" s="8">
        <f t="shared" si="0"/>
        <v>4619274</v>
      </c>
      <c r="Q9" s="8">
        <f t="shared" si="0"/>
        <v>4707037</v>
      </c>
      <c r="R9" s="8">
        <f t="shared" si="0"/>
        <v>4775910</v>
      </c>
    </row>
    <row r="10" spans="1:18" ht="15" x14ac:dyDescent="0.25">
      <c r="A10" s="1"/>
      <c r="B10" s="1"/>
      <c r="C10" s="1"/>
      <c r="D10" s="1"/>
      <c r="E10" s="1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5" x14ac:dyDescent="0.25">
      <c r="B11" s="5" t="s">
        <v>89</v>
      </c>
      <c r="C11" s="5"/>
      <c r="D11" s="5"/>
      <c r="E11" s="5"/>
      <c r="F11" s="5"/>
      <c r="G11" s="8">
        <f>G13+G19</f>
        <v>4429837</v>
      </c>
      <c r="H11" s="8">
        <f t="shared" ref="H11:R11" si="1">H13+H19</f>
        <v>4428915</v>
      </c>
      <c r="I11" s="8">
        <f t="shared" si="1"/>
        <v>4464827</v>
      </c>
      <c r="J11" s="8">
        <f t="shared" si="1"/>
        <v>4497906</v>
      </c>
      <c r="K11" s="8">
        <f t="shared" si="1"/>
        <v>4423389</v>
      </c>
      <c r="L11" s="8">
        <f t="shared" si="1"/>
        <v>4578134</v>
      </c>
      <c r="M11" s="8">
        <f t="shared" si="1"/>
        <v>4599585</v>
      </c>
      <c r="N11" s="8">
        <f t="shared" si="1"/>
        <v>4571977</v>
      </c>
      <c r="O11" s="8">
        <f t="shared" si="1"/>
        <v>4586826</v>
      </c>
      <c r="P11" s="8">
        <f t="shared" si="1"/>
        <v>4619274</v>
      </c>
      <c r="Q11" s="8">
        <f t="shared" si="1"/>
        <v>4707037</v>
      </c>
      <c r="R11" s="8">
        <f t="shared" si="1"/>
        <v>4775910</v>
      </c>
    </row>
    <row r="12" spans="1:18" ht="15" x14ac:dyDescent="0.25">
      <c r="B12" s="5"/>
      <c r="C12" s="5"/>
      <c r="D12" s="5"/>
      <c r="E12" s="5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" x14ac:dyDescent="0.25">
      <c r="B13" s="9"/>
      <c r="C13" s="9" t="s">
        <v>90</v>
      </c>
      <c r="F13" s="9"/>
      <c r="G13" s="8">
        <f>SUM(G14:G17)</f>
        <v>327159</v>
      </c>
      <c r="H13" s="8">
        <f t="shared" ref="H13:R13" si="2">SUM(H14:H17)</f>
        <v>316837</v>
      </c>
      <c r="I13" s="8">
        <f t="shared" si="2"/>
        <v>332373</v>
      </c>
      <c r="J13" s="8">
        <f t="shared" si="2"/>
        <v>333418</v>
      </c>
      <c r="K13" s="8">
        <f t="shared" si="2"/>
        <v>359858</v>
      </c>
      <c r="L13" s="8">
        <f t="shared" si="2"/>
        <v>380949</v>
      </c>
      <c r="M13" s="8">
        <f t="shared" si="2"/>
        <v>402273</v>
      </c>
      <c r="N13" s="8">
        <f t="shared" si="2"/>
        <v>430469</v>
      </c>
      <c r="O13" s="8">
        <f t="shared" si="2"/>
        <v>439186</v>
      </c>
      <c r="P13" s="8">
        <f t="shared" si="2"/>
        <v>461738</v>
      </c>
      <c r="Q13" s="8">
        <f t="shared" si="2"/>
        <v>481240</v>
      </c>
      <c r="R13" s="8">
        <f t="shared" si="2"/>
        <v>494306</v>
      </c>
    </row>
    <row r="14" spans="1:18" x14ac:dyDescent="0.2">
      <c r="F14" s="2" t="s">
        <v>76</v>
      </c>
      <c r="G14" s="10">
        <v>174568</v>
      </c>
      <c r="H14" s="10">
        <v>174568</v>
      </c>
      <c r="I14" s="10">
        <v>174568</v>
      </c>
      <c r="J14" s="10">
        <v>174568</v>
      </c>
      <c r="K14" s="10">
        <v>174568</v>
      </c>
      <c r="L14" s="10">
        <v>174568</v>
      </c>
      <c r="M14" s="10">
        <v>174568</v>
      </c>
      <c r="N14" s="10">
        <v>174568</v>
      </c>
      <c r="O14" s="10">
        <v>174568</v>
      </c>
      <c r="P14" s="10">
        <v>174568</v>
      </c>
      <c r="Q14" s="10">
        <v>174568</v>
      </c>
      <c r="R14" s="10">
        <v>174568</v>
      </c>
    </row>
    <row r="15" spans="1:18" x14ac:dyDescent="0.2">
      <c r="F15" s="2" t="s">
        <v>12</v>
      </c>
      <c r="G15" s="10">
        <v>26000</v>
      </c>
      <c r="H15" s="10">
        <v>25394</v>
      </c>
      <c r="I15" s="10">
        <v>42167</v>
      </c>
      <c r="J15" s="10">
        <v>51432</v>
      </c>
      <c r="K15" s="10">
        <v>60038</v>
      </c>
      <c r="L15" s="10">
        <v>56850</v>
      </c>
      <c r="M15" s="10">
        <v>54585</v>
      </c>
      <c r="N15" s="10">
        <v>49585</v>
      </c>
      <c r="O15" s="10">
        <v>42470</v>
      </c>
      <c r="P15" s="10">
        <v>34470</v>
      </c>
      <c r="Q15" s="10">
        <v>30470</v>
      </c>
      <c r="R15" s="10">
        <v>36000</v>
      </c>
    </row>
    <row r="16" spans="1:18" x14ac:dyDescent="0.2">
      <c r="F16" s="2" t="s">
        <v>44</v>
      </c>
      <c r="G16" s="10">
        <v>46615</v>
      </c>
      <c r="H16" s="10">
        <v>41804</v>
      </c>
      <c r="I16" s="10">
        <v>38903</v>
      </c>
      <c r="J16" s="10">
        <v>34468</v>
      </c>
      <c r="K16" s="10">
        <v>48100</v>
      </c>
      <c r="L16" s="10">
        <v>62564</v>
      </c>
      <c r="M16" s="10">
        <v>73028</v>
      </c>
      <c r="N16" s="10">
        <v>88224</v>
      </c>
      <c r="O16" s="10">
        <v>96125</v>
      </c>
      <c r="P16" s="10">
        <v>107328</v>
      </c>
      <c r="Q16" s="10">
        <v>111328</v>
      </c>
      <c r="R16" s="10">
        <v>106864</v>
      </c>
    </row>
    <row r="17" spans="2:19" x14ac:dyDescent="0.2">
      <c r="F17" s="2" t="s">
        <v>45</v>
      </c>
      <c r="G17" s="10">
        <v>79976</v>
      </c>
      <c r="H17" s="10">
        <v>75071</v>
      </c>
      <c r="I17" s="10">
        <v>76735</v>
      </c>
      <c r="J17" s="10">
        <v>72950</v>
      </c>
      <c r="K17" s="10">
        <v>77152</v>
      </c>
      <c r="L17" s="10">
        <v>86967</v>
      </c>
      <c r="M17" s="10">
        <v>100092</v>
      </c>
      <c r="N17" s="10">
        <v>118092</v>
      </c>
      <c r="O17" s="10">
        <v>126023</v>
      </c>
      <c r="P17" s="10">
        <v>145372</v>
      </c>
      <c r="Q17" s="10">
        <v>164874</v>
      </c>
      <c r="R17" s="10">
        <v>176874</v>
      </c>
    </row>
    <row r="18" spans="2:19" ht="6" customHeight="1" x14ac:dyDescent="0.2"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2:19" ht="15" x14ac:dyDescent="0.25">
      <c r="B19" s="9"/>
      <c r="C19" s="9" t="s">
        <v>88</v>
      </c>
      <c r="F19" s="9"/>
      <c r="G19" s="12">
        <f>G21+G30</f>
        <v>4102678</v>
      </c>
      <c r="H19" s="12">
        <f t="shared" ref="H19:R19" si="3">H21+H30</f>
        <v>4112078</v>
      </c>
      <c r="I19" s="12">
        <f t="shared" si="3"/>
        <v>4132454</v>
      </c>
      <c r="J19" s="12">
        <f t="shared" si="3"/>
        <v>4164488</v>
      </c>
      <c r="K19" s="12">
        <f t="shared" si="3"/>
        <v>4063531</v>
      </c>
      <c r="L19" s="12">
        <f t="shared" si="3"/>
        <v>4197185</v>
      </c>
      <c r="M19" s="12">
        <f t="shared" si="3"/>
        <v>4197312</v>
      </c>
      <c r="N19" s="12">
        <f t="shared" si="3"/>
        <v>4141508</v>
      </c>
      <c r="O19" s="12">
        <f t="shared" si="3"/>
        <v>4147640</v>
      </c>
      <c r="P19" s="12">
        <f t="shared" si="3"/>
        <v>4157536</v>
      </c>
      <c r="Q19" s="12">
        <f t="shared" si="3"/>
        <v>4225797</v>
      </c>
      <c r="R19" s="12">
        <f t="shared" si="3"/>
        <v>4281604</v>
      </c>
      <c r="S19" s="10"/>
    </row>
    <row r="20" spans="2:19" ht="15" x14ac:dyDescent="0.25">
      <c r="B20" s="9"/>
      <c r="C20" s="9"/>
      <c r="F20" s="9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2:19" ht="15" x14ac:dyDescent="0.25">
      <c r="B21" s="9"/>
      <c r="C21" s="9"/>
      <c r="D21" s="9" t="s">
        <v>91</v>
      </c>
      <c r="E21" s="9"/>
      <c r="G21" s="12">
        <f>SUM(G22:G28)</f>
        <v>1896748</v>
      </c>
      <c r="H21" s="12">
        <f t="shared" ref="H21:R21" si="4">SUM(H22:H28)</f>
        <v>1905601</v>
      </c>
      <c r="I21" s="12">
        <f t="shared" si="4"/>
        <v>1925630</v>
      </c>
      <c r="J21" s="12">
        <f t="shared" si="4"/>
        <v>1957822</v>
      </c>
      <c r="K21" s="12">
        <f t="shared" si="4"/>
        <v>1856292</v>
      </c>
      <c r="L21" s="12">
        <f t="shared" si="4"/>
        <v>1868024</v>
      </c>
      <c r="M21" s="12">
        <f t="shared" si="4"/>
        <v>1868024</v>
      </c>
      <c r="N21" s="12">
        <f t="shared" si="4"/>
        <v>1811937</v>
      </c>
      <c r="O21" s="12">
        <f t="shared" si="4"/>
        <v>1817667</v>
      </c>
      <c r="P21" s="12">
        <f t="shared" si="4"/>
        <v>1827407</v>
      </c>
      <c r="Q21" s="12">
        <f t="shared" si="4"/>
        <v>1895911</v>
      </c>
      <c r="R21" s="12">
        <f t="shared" si="4"/>
        <v>1951521</v>
      </c>
    </row>
    <row r="22" spans="2:19" x14ac:dyDescent="0.2">
      <c r="F22" s="2" t="s">
        <v>22</v>
      </c>
      <c r="G22" s="10">
        <v>59891</v>
      </c>
      <c r="H22" s="10">
        <v>59891</v>
      </c>
      <c r="I22" s="10">
        <v>59891</v>
      </c>
      <c r="J22" s="10">
        <v>69891</v>
      </c>
      <c r="K22" s="10">
        <v>79891</v>
      </c>
      <c r="L22" s="10">
        <v>79891</v>
      </c>
      <c r="M22" s="10">
        <v>79891</v>
      </c>
      <c r="N22" s="10">
        <v>94891</v>
      </c>
      <c r="O22" s="10">
        <v>94891</v>
      </c>
      <c r="P22" s="10">
        <v>94891</v>
      </c>
      <c r="Q22" s="10">
        <v>94891</v>
      </c>
      <c r="R22" s="10">
        <v>94891</v>
      </c>
    </row>
    <row r="23" spans="2:19" x14ac:dyDescent="0.2">
      <c r="F23" s="2" t="s">
        <v>14</v>
      </c>
      <c r="G23" s="10">
        <v>315257</v>
      </c>
      <c r="H23" s="10">
        <v>315257</v>
      </c>
      <c r="I23" s="10">
        <v>327296</v>
      </c>
      <c r="J23" s="10">
        <v>327296</v>
      </c>
      <c r="K23" s="10">
        <v>206771</v>
      </c>
      <c r="L23" s="10">
        <v>206771</v>
      </c>
      <c r="M23" s="10">
        <v>206771</v>
      </c>
      <c r="N23" s="10">
        <v>221771</v>
      </c>
      <c r="O23" s="10">
        <v>221771</v>
      </c>
      <c r="P23" s="10">
        <v>231511</v>
      </c>
      <c r="Q23" s="10">
        <v>261511</v>
      </c>
      <c r="R23" s="10">
        <v>261511</v>
      </c>
    </row>
    <row r="24" spans="2:19" x14ac:dyDescent="0.2">
      <c r="F24" s="2" t="s">
        <v>15</v>
      </c>
      <c r="G24" s="10">
        <v>596744</v>
      </c>
      <c r="H24" s="10">
        <v>596744</v>
      </c>
      <c r="I24" s="10">
        <v>596744</v>
      </c>
      <c r="J24" s="10">
        <v>604676</v>
      </c>
      <c r="K24" s="10">
        <v>609591</v>
      </c>
      <c r="L24" s="10">
        <v>617203</v>
      </c>
      <c r="M24" s="10">
        <v>617203</v>
      </c>
      <c r="N24" s="10">
        <v>531116</v>
      </c>
      <c r="O24" s="10">
        <v>536846</v>
      </c>
      <c r="P24" s="10">
        <v>536846</v>
      </c>
      <c r="Q24" s="10">
        <v>566846</v>
      </c>
      <c r="R24" s="10">
        <v>584320</v>
      </c>
    </row>
    <row r="25" spans="2:19" x14ac:dyDescent="0.2">
      <c r="F25" s="2" t="s">
        <v>20</v>
      </c>
      <c r="G25" s="10">
        <v>369447</v>
      </c>
      <c r="H25" s="10">
        <v>369447</v>
      </c>
      <c r="I25" s="10">
        <v>377437</v>
      </c>
      <c r="J25" s="10">
        <v>387437</v>
      </c>
      <c r="K25" s="10">
        <v>391517</v>
      </c>
      <c r="L25" s="10">
        <v>391517</v>
      </c>
      <c r="M25" s="10">
        <v>391517</v>
      </c>
      <c r="N25" s="10">
        <v>391517</v>
      </c>
      <c r="O25" s="10">
        <v>391517</v>
      </c>
      <c r="P25" s="10">
        <v>391517</v>
      </c>
      <c r="Q25" s="10">
        <v>400021</v>
      </c>
      <c r="R25" s="10">
        <v>438157</v>
      </c>
    </row>
    <row r="26" spans="2:19" x14ac:dyDescent="0.2">
      <c r="F26" s="2" t="s">
        <v>46</v>
      </c>
      <c r="G26" s="10">
        <v>319330</v>
      </c>
      <c r="H26" s="10">
        <v>328183</v>
      </c>
      <c r="I26" s="10">
        <v>328183</v>
      </c>
      <c r="J26" s="10">
        <v>332443</v>
      </c>
      <c r="K26" s="10">
        <v>332443</v>
      </c>
      <c r="L26" s="10">
        <v>336563</v>
      </c>
      <c r="M26" s="10">
        <v>336563</v>
      </c>
      <c r="N26" s="10">
        <v>336563</v>
      </c>
      <c r="O26" s="10">
        <v>336563</v>
      </c>
      <c r="P26" s="10">
        <v>336563</v>
      </c>
      <c r="Q26" s="10">
        <v>336563</v>
      </c>
      <c r="R26" s="10">
        <v>336563</v>
      </c>
    </row>
    <row r="27" spans="2:19" x14ac:dyDescent="0.2">
      <c r="F27" s="2" t="s">
        <v>47</v>
      </c>
      <c r="G27" s="10">
        <v>235982</v>
      </c>
      <c r="H27" s="10">
        <v>235982</v>
      </c>
      <c r="I27" s="10">
        <v>235982</v>
      </c>
      <c r="J27" s="10">
        <v>235982</v>
      </c>
      <c r="K27" s="10">
        <v>235982</v>
      </c>
      <c r="L27" s="10">
        <v>235982</v>
      </c>
      <c r="M27" s="10">
        <v>235982</v>
      </c>
      <c r="N27" s="10">
        <v>235982</v>
      </c>
      <c r="O27" s="10">
        <v>235982</v>
      </c>
      <c r="P27" s="10">
        <v>235982</v>
      </c>
      <c r="Q27" s="10">
        <v>235982</v>
      </c>
      <c r="R27" s="10">
        <v>235982</v>
      </c>
    </row>
    <row r="28" spans="2:19" x14ac:dyDescent="0.2">
      <c r="F28" s="2" t="s">
        <v>53</v>
      </c>
      <c r="G28" s="10">
        <v>97</v>
      </c>
      <c r="H28" s="10">
        <v>97</v>
      </c>
      <c r="I28" s="10">
        <v>97</v>
      </c>
      <c r="J28" s="10">
        <v>97</v>
      </c>
      <c r="K28" s="10">
        <v>97</v>
      </c>
      <c r="L28" s="10">
        <v>97</v>
      </c>
      <c r="M28" s="10">
        <v>97</v>
      </c>
      <c r="N28" s="10">
        <v>97</v>
      </c>
      <c r="O28" s="10">
        <v>97</v>
      </c>
      <c r="P28" s="10">
        <v>97</v>
      </c>
      <c r="Q28" s="10">
        <v>97</v>
      </c>
      <c r="R28" s="10">
        <v>97</v>
      </c>
    </row>
    <row r="29" spans="2:19" ht="7.5" customHeight="1" x14ac:dyDescent="0.2"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2:19" ht="15" x14ac:dyDescent="0.25">
      <c r="B30" s="9"/>
      <c r="D30" s="9" t="s">
        <v>92</v>
      </c>
      <c r="E30" s="9"/>
      <c r="G30" s="8">
        <f t="shared" ref="G30:R30" si="5">G32+G40+G46+G48+G50</f>
        <v>2205930</v>
      </c>
      <c r="H30" s="8">
        <f t="shared" si="5"/>
        <v>2206477</v>
      </c>
      <c r="I30" s="8">
        <f t="shared" si="5"/>
        <v>2206824</v>
      </c>
      <c r="J30" s="8">
        <f t="shared" si="5"/>
        <v>2206666</v>
      </c>
      <c r="K30" s="8">
        <f t="shared" si="5"/>
        <v>2207239</v>
      </c>
      <c r="L30" s="8">
        <f t="shared" si="5"/>
        <v>2329161</v>
      </c>
      <c r="M30" s="8">
        <f t="shared" si="5"/>
        <v>2329288</v>
      </c>
      <c r="N30" s="8">
        <f t="shared" si="5"/>
        <v>2329571</v>
      </c>
      <c r="O30" s="8">
        <f t="shared" si="5"/>
        <v>2329973</v>
      </c>
      <c r="P30" s="8">
        <f t="shared" si="5"/>
        <v>2330129</v>
      </c>
      <c r="Q30" s="8">
        <f t="shared" si="5"/>
        <v>2329886</v>
      </c>
      <c r="R30" s="8">
        <f t="shared" si="5"/>
        <v>2330083</v>
      </c>
    </row>
    <row r="31" spans="2:19" ht="6" customHeight="1" x14ac:dyDescent="0.25">
      <c r="B31" s="9"/>
      <c r="D31" s="9"/>
      <c r="E31" s="9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9" ht="15" x14ac:dyDescent="0.25">
      <c r="B32" s="9"/>
      <c r="C32" s="9"/>
      <c r="E32" s="9" t="s">
        <v>34</v>
      </c>
      <c r="G32" s="12">
        <f>SUM(G33:G38)</f>
        <v>1213771</v>
      </c>
      <c r="H32" s="12">
        <f t="shared" ref="H32:R32" si="6">SUM(H33:H38)</f>
        <v>1213771</v>
      </c>
      <c r="I32" s="12">
        <f t="shared" si="6"/>
        <v>1213771</v>
      </c>
      <c r="J32" s="12">
        <f t="shared" si="6"/>
        <v>1213771</v>
      </c>
      <c r="K32" s="12">
        <f t="shared" si="6"/>
        <v>1213771</v>
      </c>
      <c r="L32" s="12">
        <f t="shared" si="6"/>
        <v>1335536</v>
      </c>
      <c r="M32" s="12">
        <f t="shared" si="6"/>
        <v>1335537</v>
      </c>
      <c r="N32" s="12">
        <f t="shared" si="6"/>
        <v>1335537</v>
      </c>
      <c r="O32" s="12">
        <f t="shared" si="6"/>
        <v>1335537</v>
      </c>
      <c r="P32" s="12">
        <f t="shared" si="6"/>
        <v>1335537</v>
      </c>
      <c r="Q32" s="12">
        <f t="shared" si="6"/>
        <v>1335537</v>
      </c>
      <c r="R32" s="12">
        <f t="shared" si="6"/>
        <v>1335537</v>
      </c>
    </row>
    <row r="33" spans="1:18" x14ac:dyDescent="0.2">
      <c r="F33" s="2" t="s">
        <v>68</v>
      </c>
      <c r="G33" s="10">
        <v>181931</v>
      </c>
      <c r="H33" s="10">
        <v>181931</v>
      </c>
      <c r="I33" s="10">
        <v>181931</v>
      </c>
      <c r="J33" s="10">
        <v>181931</v>
      </c>
      <c r="K33" s="10">
        <v>181931</v>
      </c>
      <c r="L33" s="10">
        <v>303696</v>
      </c>
      <c r="M33" s="10">
        <v>303696</v>
      </c>
      <c r="N33" s="10">
        <v>303696</v>
      </c>
      <c r="O33" s="10">
        <v>303696</v>
      </c>
      <c r="P33" s="10">
        <v>303696</v>
      </c>
      <c r="Q33" s="10">
        <v>303696</v>
      </c>
      <c r="R33" s="10">
        <v>303696</v>
      </c>
    </row>
    <row r="34" spans="1:18" x14ac:dyDescent="0.2">
      <c r="F34" s="2" t="s">
        <v>27</v>
      </c>
      <c r="G34" s="10">
        <v>255359</v>
      </c>
      <c r="H34" s="10">
        <v>255359</v>
      </c>
      <c r="I34" s="10">
        <v>255359</v>
      </c>
      <c r="J34" s="10">
        <v>255359</v>
      </c>
      <c r="K34" s="10">
        <v>255359</v>
      </c>
      <c r="L34" s="10">
        <v>255359</v>
      </c>
      <c r="M34" s="10">
        <v>255359</v>
      </c>
      <c r="N34" s="10">
        <v>255359</v>
      </c>
      <c r="O34" s="10">
        <v>255359</v>
      </c>
      <c r="P34" s="10">
        <v>255359</v>
      </c>
      <c r="Q34" s="10">
        <v>255359</v>
      </c>
      <c r="R34" s="10">
        <v>255359</v>
      </c>
    </row>
    <row r="35" spans="1:18" x14ac:dyDescent="0.2">
      <c r="F35" s="2" t="s">
        <v>67</v>
      </c>
      <c r="G35" s="10">
        <v>368862</v>
      </c>
      <c r="H35" s="10">
        <v>368862</v>
      </c>
      <c r="I35" s="10">
        <v>368862</v>
      </c>
      <c r="J35" s="10">
        <v>368862</v>
      </c>
      <c r="K35" s="10">
        <v>368862</v>
      </c>
      <c r="L35" s="10">
        <v>368862</v>
      </c>
      <c r="M35" s="10">
        <v>368863</v>
      </c>
      <c r="N35" s="10">
        <v>368863</v>
      </c>
      <c r="O35" s="10">
        <v>368863</v>
      </c>
      <c r="P35" s="10">
        <v>368863</v>
      </c>
      <c r="Q35" s="10">
        <v>368863</v>
      </c>
      <c r="R35" s="10">
        <v>368863</v>
      </c>
    </row>
    <row r="36" spans="1:18" x14ac:dyDescent="0.2">
      <c r="F36" s="2" t="s">
        <v>66</v>
      </c>
      <c r="G36" s="10">
        <v>95805</v>
      </c>
      <c r="H36" s="10">
        <v>95805</v>
      </c>
      <c r="I36" s="10">
        <v>95805</v>
      </c>
      <c r="J36" s="10">
        <v>95805</v>
      </c>
      <c r="K36" s="10">
        <v>95805</v>
      </c>
      <c r="L36" s="10">
        <v>95805</v>
      </c>
      <c r="M36" s="10">
        <v>95805</v>
      </c>
      <c r="N36" s="10">
        <v>95805</v>
      </c>
      <c r="O36" s="10">
        <v>95805</v>
      </c>
      <c r="P36" s="10">
        <v>95805</v>
      </c>
      <c r="Q36" s="10">
        <v>95805</v>
      </c>
      <c r="R36" s="10">
        <v>95805</v>
      </c>
    </row>
    <row r="37" spans="1:18" x14ac:dyDescent="0.2">
      <c r="F37" s="2" t="s">
        <v>72</v>
      </c>
      <c r="G37" s="10">
        <v>132682</v>
      </c>
      <c r="H37" s="10">
        <v>132682</v>
      </c>
      <c r="I37" s="10">
        <v>132682</v>
      </c>
      <c r="J37" s="10">
        <v>132682</v>
      </c>
      <c r="K37" s="10">
        <v>132682</v>
      </c>
      <c r="L37" s="10">
        <v>132682</v>
      </c>
      <c r="M37" s="10">
        <v>132682</v>
      </c>
      <c r="N37" s="10">
        <v>132682</v>
      </c>
      <c r="O37" s="10">
        <v>132682</v>
      </c>
      <c r="P37" s="10">
        <v>132682</v>
      </c>
      <c r="Q37" s="10">
        <v>132682</v>
      </c>
      <c r="R37" s="10">
        <v>132682</v>
      </c>
    </row>
    <row r="38" spans="1:18" x14ac:dyDescent="0.2">
      <c r="F38" s="2" t="s">
        <v>73</v>
      </c>
      <c r="G38" s="10">
        <v>179132</v>
      </c>
      <c r="H38" s="10">
        <v>179132</v>
      </c>
      <c r="I38" s="10">
        <v>179132</v>
      </c>
      <c r="J38" s="10">
        <v>179132</v>
      </c>
      <c r="K38" s="10">
        <v>179132</v>
      </c>
      <c r="L38" s="10">
        <v>179132</v>
      </c>
      <c r="M38" s="10">
        <v>179132</v>
      </c>
      <c r="N38" s="10">
        <v>179132</v>
      </c>
      <c r="O38" s="10">
        <v>179132</v>
      </c>
      <c r="P38" s="10">
        <v>179132</v>
      </c>
      <c r="Q38" s="10">
        <v>179132</v>
      </c>
      <c r="R38" s="10">
        <v>179132</v>
      </c>
    </row>
    <row r="39" spans="1:18" ht="6.75" customHeight="1" x14ac:dyDescent="0.2"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4.25" customHeight="1" x14ac:dyDescent="0.25">
      <c r="C40" s="13"/>
      <c r="D40" s="9"/>
      <c r="E40" s="9" t="s">
        <v>93</v>
      </c>
      <c r="G40" s="12">
        <v>909298</v>
      </c>
      <c r="H40" s="12">
        <v>909298</v>
      </c>
      <c r="I40" s="12">
        <v>909298</v>
      </c>
      <c r="J40" s="12">
        <v>909298</v>
      </c>
      <c r="K40" s="12">
        <v>909298</v>
      </c>
      <c r="L40" s="12">
        <v>909298</v>
      </c>
      <c r="M40" s="12">
        <v>909298</v>
      </c>
      <c r="N40" s="12">
        <v>909298</v>
      </c>
      <c r="O40" s="12">
        <v>909298</v>
      </c>
      <c r="P40" s="12">
        <v>909298</v>
      </c>
      <c r="Q40" s="12">
        <v>909298</v>
      </c>
      <c r="R40" s="12">
        <v>909298</v>
      </c>
    </row>
    <row r="41" spans="1:18" ht="15" x14ac:dyDescent="0.25">
      <c r="A41" s="9"/>
      <c r="B41" s="9"/>
      <c r="C41" s="9"/>
      <c r="F41" s="2" t="s">
        <v>62</v>
      </c>
      <c r="G41" s="10">
        <v>289778</v>
      </c>
      <c r="H41" s="10">
        <v>289778</v>
      </c>
      <c r="I41" s="10">
        <v>289778</v>
      </c>
      <c r="J41" s="10">
        <v>289778</v>
      </c>
      <c r="K41" s="10">
        <v>289778</v>
      </c>
      <c r="L41" s="10">
        <v>289778</v>
      </c>
      <c r="M41" s="10">
        <v>289778</v>
      </c>
      <c r="N41" s="10">
        <v>289778</v>
      </c>
      <c r="O41" s="10">
        <v>289778</v>
      </c>
      <c r="P41" s="10">
        <v>289778</v>
      </c>
      <c r="Q41" s="10">
        <v>289778</v>
      </c>
      <c r="R41" s="10">
        <v>289778</v>
      </c>
    </row>
    <row r="42" spans="1:18" ht="15" x14ac:dyDescent="0.25">
      <c r="A42" s="9"/>
      <c r="B42" s="9"/>
      <c r="C42" s="9"/>
      <c r="F42" s="2" t="s">
        <v>69</v>
      </c>
      <c r="G42" s="10">
        <v>57908</v>
      </c>
      <c r="H42" s="10">
        <v>57908</v>
      </c>
      <c r="I42" s="10">
        <v>57908</v>
      </c>
      <c r="J42" s="10">
        <v>57908</v>
      </c>
      <c r="K42" s="10">
        <v>57908</v>
      </c>
      <c r="L42" s="10">
        <v>57908</v>
      </c>
      <c r="M42" s="10">
        <v>57908</v>
      </c>
      <c r="N42" s="10">
        <v>57908</v>
      </c>
      <c r="O42" s="10">
        <v>57908</v>
      </c>
      <c r="P42" s="10">
        <v>57908</v>
      </c>
      <c r="Q42" s="10">
        <v>57908</v>
      </c>
      <c r="R42" s="10">
        <v>57908</v>
      </c>
    </row>
    <row r="43" spans="1:18" ht="15" x14ac:dyDescent="0.25">
      <c r="A43" s="9"/>
      <c r="B43" s="9"/>
      <c r="C43" s="9"/>
      <c r="F43" s="2" t="s">
        <v>16</v>
      </c>
      <c r="G43" s="10">
        <v>255837</v>
      </c>
      <c r="H43" s="10">
        <v>255837</v>
      </c>
      <c r="I43" s="10">
        <v>255837</v>
      </c>
      <c r="J43" s="10">
        <v>255837</v>
      </c>
      <c r="K43" s="10">
        <v>255837</v>
      </c>
      <c r="L43" s="10">
        <v>255837</v>
      </c>
      <c r="M43" s="10">
        <v>255837</v>
      </c>
      <c r="N43" s="10">
        <v>255837</v>
      </c>
      <c r="O43" s="10">
        <v>255837</v>
      </c>
      <c r="P43" s="10">
        <v>255837</v>
      </c>
      <c r="Q43" s="10">
        <v>255837</v>
      </c>
      <c r="R43" s="10">
        <v>255837</v>
      </c>
    </row>
    <row r="44" spans="1:18" ht="15" x14ac:dyDescent="0.25">
      <c r="A44" s="9"/>
      <c r="B44" s="9"/>
      <c r="C44" s="9"/>
      <c r="F44" s="2" t="s">
        <v>19</v>
      </c>
      <c r="G44" s="10">
        <v>305775</v>
      </c>
      <c r="H44" s="10">
        <v>305775</v>
      </c>
      <c r="I44" s="10">
        <v>305775</v>
      </c>
      <c r="J44" s="10">
        <v>305775</v>
      </c>
      <c r="K44" s="10">
        <v>305775</v>
      </c>
      <c r="L44" s="10">
        <v>305775</v>
      </c>
      <c r="M44" s="10">
        <v>305775</v>
      </c>
      <c r="N44" s="10">
        <v>305775</v>
      </c>
      <c r="O44" s="10">
        <v>305775</v>
      </c>
      <c r="P44" s="10">
        <v>305775</v>
      </c>
      <c r="Q44" s="10">
        <v>305775</v>
      </c>
      <c r="R44" s="10">
        <v>305775</v>
      </c>
    </row>
    <row r="45" spans="1:18" ht="6.75" customHeight="1" x14ac:dyDescent="0.25">
      <c r="A45" s="9"/>
      <c r="B45" s="9"/>
      <c r="C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15" x14ac:dyDescent="0.25">
      <c r="A46" s="9"/>
      <c r="B46" s="9"/>
      <c r="D46" s="9"/>
      <c r="E46" s="9" t="s">
        <v>94</v>
      </c>
      <c r="F46" s="9"/>
      <c r="G46" s="14">
        <v>50000</v>
      </c>
      <c r="H46" s="14">
        <v>50000</v>
      </c>
      <c r="I46" s="14">
        <v>50000</v>
      </c>
      <c r="J46" s="14">
        <v>50000</v>
      </c>
      <c r="K46" s="14">
        <v>50000</v>
      </c>
      <c r="L46" s="14">
        <v>50000</v>
      </c>
      <c r="M46" s="14">
        <v>50000</v>
      </c>
      <c r="N46" s="14">
        <v>50000</v>
      </c>
      <c r="O46" s="14">
        <v>50000</v>
      </c>
      <c r="P46" s="14">
        <v>50000</v>
      </c>
      <c r="Q46" s="14">
        <v>50000</v>
      </c>
      <c r="R46" s="14">
        <v>50000</v>
      </c>
    </row>
    <row r="47" spans="1:18" ht="5.25" customHeight="1" x14ac:dyDescent="0.25">
      <c r="A47" s="9"/>
      <c r="B47" s="9"/>
      <c r="C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5" x14ac:dyDescent="0.25">
      <c r="A48" s="9"/>
      <c r="B48" s="9"/>
      <c r="D48" s="9"/>
      <c r="E48" s="9" t="s">
        <v>95</v>
      </c>
      <c r="F48" s="9"/>
      <c r="G48" s="14">
        <v>7190</v>
      </c>
      <c r="H48" s="14">
        <v>7373</v>
      </c>
      <c r="I48" s="14">
        <v>7630</v>
      </c>
      <c r="J48" s="14">
        <v>7730</v>
      </c>
      <c r="K48" s="14">
        <v>7893</v>
      </c>
      <c r="L48" s="14">
        <v>7625</v>
      </c>
      <c r="M48" s="14">
        <v>7873</v>
      </c>
      <c r="N48" s="14">
        <v>7998</v>
      </c>
      <c r="O48" s="14">
        <v>8087</v>
      </c>
      <c r="P48" s="14">
        <v>8531</v>
      </c>
      <c r="Q48" s="14">
        <v>8857</v>
      </c>
      <c r="R48" s="14">
        <v>8966</v>
      </c>
    </row>
    <row r="49" spans="1:18" ht="6" customHeight="1" x14ac:dyDescent="0.25">
      <c r="A49" s="9"/>
      <c r="B49" s="9"/>
      <c r="C49" s="9"/>
      <c r="D49" s="9"/>
      <c r="E49" s="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5" x14ac:dyDescent="0.25">
      <c r="A50" s="9"/>
      <c r="B50" s="9"/>
      <c r="C50" s="13" t="s">
        <v>84</v>
      </c>
      <c r="D50" s="9"/>
      <c r="E50" s="9" t="s">
        <v>96</v>
      </c>
      <c r="G50" s="15">
        <v>25671</v>
      </c>
      <c r="H50" s="15">
        <v>26035</v>
      </c>
      <c r="I50" s="15">
        <v>26125</v>
      </c>
      <c r="J50" s="15">
        <v>25867</v>
      </c>
      <c r="K50" s="15">
        <v>26277</v>
      </c>
      <c r="L50" s="15">
        <v>26702</v>
      </c>
      <c r="M50" s="15">
        <v>26580</v>
      </c>
      <c r="N50" s="15">
        <v>26738</v>
      </c>
      <c r="O50" s="15">
        <v>27051</v>
      </c>
      <c r="P50" s="15">
        <v>26763</v>
      </c>
      <c r="Q50" s="15">
        <v>26194</v>
      </c>
      <c r="R50" s="15">
        <v>26282</v>
      </c>
    </row>
    <row r="51" spans="1:18" ht="15" customHeight="1" x14ac:dyDescent="0.25">
      <c r="A51" s="9"/>
      <c r="B51" s="9"/>
      <c r="C51" s="13"/>
      <c r="D51" s="9"/>
      <c r="E51" s="9"/>
      <c r="F51" s="2" t="s">
        <v>79</v>
      </c>
      <c r="G51" s="10">
        <v>25671</v>
      </c>
      <c r="H51" s="10">
        <v>26035</v>
      </c>
      <c r="I51" s="10">
        <v>26125</v>
      </c>
      <c r="J51" s="10">
        <v>25867</v>
      </c>
      <c r="K51" s="10">
        <v>26277</v>
      </c>
      <c r="L51" s="10">
        <v>26702</v>
      </c>
      <c r="M51" s="10">
        <v>26580</v>
      </c>
      <c r="N51" s="10">
        <v>26738</v>
      </c>
      <c r="O51" s="10">
        <v>27051</v>
      </c>
      <c r="P51" s="10">
        <v>26763</v>
      </c>
      <c r="Q51" s="10">
        <v>26194</v>
      </c>
      <c r="R51" s="10">
        <v>26282</v>
      </c>
    </row>
    <row r="52" spans="1:18" ht="8.25" customHeight="1" x14ac:dyDescent="0.25">
      <c r="A52" s="9"/>
      <c r="B52" s="9"/>
      <c r="C52" s="13"/>
      <c r="D52" s="9"/>
      <c r="E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15" x14ac:dyDescent="0.25">
      <c r="A53" s="9" t="s">
        <v>49</v>
      </c>
      <c r="B53" s="9"/>
      <c r="C53" s="9"/>
      <c r="D53" s="9"/>
      <c r="E53" s="9"/>
      <c r="F53" s="9"/>
      <c r="G53" s="14">
        <v>8000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</row>
    <row r="54" spans="1:18" x14ac:dyDescent="0.2">
      <c r="G54" s="16"/>
      <c r="H54" s="16"/>
    </row>
    <row r="55" spans="1:18" x14ac:dyDescent="0.2">
      <c r="G55" s="16"/>
      <c r="H55" s="16"/>
    </row>
    <row r="56" spans="1:18" x14ac:dyDescent="0.2">
      <c r="G56" s="16"/>
      <c r="H56" s="16"/>
    </row>
    <row r="57" spans="1:18" x14ac:dyDescent="0.2">
      <c r="A57" s="17"/>
      <c r="B57" s="18" t="s">
        <v>21</v>
      </c>
      <c r="C57" s="18"/>
      <c r="D57" s="18"/>
      <c r="E57" s="18"/>
      <c r="F57" s="18"/>
      <c r="G57" s="18"/>
      <c r="H57" s="18"/>
    </row>
    <row r="58" spans="1:18" x14ac:dyDescent="0.2">
      <c r="A58" s="18"/>
      <c r="B58" s="18"/>
      <c r="C58" s="18"/>
    </row>
    <row r="59" spans="1:18" x14ac:dyDescent="0.2">
      <c r="A59" s="20"/>
      <c r="B59" s="18"/>
      <c r="C59" s="18"/>
    </row>
    <row r="61" spans="1:18" x14ac:dyDescent="0.2">
      <c r="F61" s="21" t="s">
        <v>71</v>
      </c>
    </row>
  </sheetData>
  <mergeCells count="16">
    <mergeCell ref="A1:R1"/>
    <mergeCell ref="A2:R2"/>
    <mergeCell ref="A3:R3"/>
    <mergeCell ref="R6:R7"/>
    <mergeCell ref="A6:F7"/>
    <mergeCell ref="G6:G7"/>
    <mergeCell ref="H6:H7"/>
    <mergeCell ref="Q6:Q7"/>
    <mergeCell ref="P6:P7"/>
    <mergeCell ref="N6:N7"/>
    <mergeCell ref="O6:O7"/>
    <mergeCell ref="J6:J7"/>
    <mergeCell ref="K6:K7"/>
    <mergeCell ref="L6:L7"/>
    <mergeCell ref="M6:M7"/>
    <mergeCell ref="I6:I7"/>
  </mergeCells>
  <printOptions horizontalCentered="1"/>
  <pageMargins left="0" right="0" top="0.75" bottom="0.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2"/>
  <sheetViews>
    <sheetView zoomScaleNormal="100" workbookViewId="0">
      <pane xSplit="5" ySplit="7" topLeftCell="F8" activePane="bottomRight" state="frozen"/>
      <selection activeCell="B1" sqref="B1"/>
      <selection pane="topRight" activeCell="F1" sqref="F1"/>
      <selection pane="bottomLeft" activeCell="B8" sqref="B8"/>
      <selection pane="bottomRight" activeCell="A2" sqref="A2:Q2"/>
    </sheetView>
  </sheetViews>
  <sheetFormatPr defaultColWidth="9.140625" defaultRowHeight="14.25" x14ac:dyDescent="0.2"/>
  <cols>
    <col min="1" max="1" width="1.140625" style="2" customWidth="1"/>
    <col min="2" max="3" width="1.85546875" style="2" customWidth="1"/>
    <col min="4" max="4" width="0.85546875" style="2" customWidth="1"/>
    <col min="5" max="5" width="35.42578125" style="2" customWidth="1"/>
    <col min="6" max="13" width="11.42578125" style="2" customWidth="1"/>
    <col min="14" max="15" width="11.42578125" style="58" customWidth="1"/>
    <col min="16" max="17" width="11.42578125" style="2" customWidth="1"/>
    <col min="18" max="18" width="10.42578125" style="2" customWidth="1"/>
    <col min="19" max="19" width="9.140625" style="2"/>
    <col min="20" max="20" width="19.140625" style="2" bestFit="1" customWidth="1"/>
    <col min="21" max="16384" width="9.140625" style="2"/>
  </cols>
  <sheetData>
    <row r="1" spans="1:20" ht="15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20" ht="15" x14ac:dyDescent="0.2">
      <c r="A2" s="83" t="s">
        <v>183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20" x14ac:dyDescent="0.2">
      <c r="A3" s="84" t="s">
        <v>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0" ht="6" customHeight="1" x14ac:dyDescent="0.2"/>
    <row r="5" spans="1:20" ht="6" customHeight="1" x14ac:dyDescent="0.2"/>
    <row r="6" spans="1:20" x14ac:dyDescent="0.2">
      <c r="A6" s="80" t="s">
        <v>17</v>
      </c>
      <c r="B6" s="80"/>
      <c r="C6" s="80"/>
      <c r="D6" s="80"/>
      <c r="E6" s="80"/>
      <c r="F6" s="80" t="s">
        <v>0</v>
      </c>
      <c r="G6" s="80" t="s">
        <v>1</v>
      </c>
      <c r="H6" s="80" t="s">
        <v>2</v>
      </c>
      <c r="I6" s="80" t="s">
        <v>3</v>
      </c>
      <c r="J6" s="80" t="s">
        <v>4</v>
      </c>
      <c r="K6" s="80" t="s">
        <v>80</v>
      </c>
      <c r="L6" s="80" t="s">
        <v>5</v>
      </c>
      <c r="M6" s="80" t="s">
        <v>6</v>
      </c>
      <c r="N6" s="80" t="s">
        <v>10</v>
      </c>
      <c r="O6" s="80" t="s">
        <v>7</v>
      </c>
      <c r="P6" s="80" t="s">
        <v>8</v>
      </c>
      <c r="Q6" s="80" t="s">
        <v>9</v>
      </c>
    </row>
    <row r="7" spans="1:20" ht="10.5" customHeight="1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6"/>
    </row>
    <row r="8" spans="1:20" ht="7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20" ht="14.25" customHeight="1" x14ac:dyDescent="0.25">
      <c r="A9" s="5" t="s">
        <v>97</v>
      </c>
      <c r="B9" s="5"/>
      <c r="C9" s="5"/>
      <c r="D9" s="5"/>
      <c r="E9" s="5"/>
      <c r="F9" s="42">
        <f>F11+F54</f>
        <v>3979237</v>
      </c>
      <c r="G9" s="42">
        <f t="shared" ref="G9:Q9" si="0">G11+G54</f>
        <v>4011170</v>
      </c>
      <c r="H9" s="42">
        <f t="shared" si="0"/>
        <v>3993466</v>
      </c>
      <c r="I9" s="42">
        <f t="shared" si="0"/>
        <v>4167109</v>
      </c>
      <c r="J9" s="42">
        <f t="shared" si="0"/>
        <v>4144343</v>
      </c>
      <c r="K9" s="42">
        <f t="shared" si="0"/>
        <v>4193406</v>
      </c>
      <c r="L9" s="42">
        <f t="shared" si="0"/>
        <v>4153389</v>
      </c>
      <c r="M9" s="42">
        <f t="shared" si="0"/>
        <v>4158731</v>
      </c>
      <c r="N9" s="42">
        <f t="shared" si="0"/>
        <v>4195527.8</v>
      </c>
      <c r="O9" s="42">
        <f t="shared" si="0"/>
        <v>4223104</v>
      </c>
      <c r="P9" s="42">
        <f t="shared" si="0"/>
        <v>4215248</v>
      </c>
      <c r="Q9" s="42">
        <f t="shared" si="0"/>
        <v>4448310</v>
      </c>
      <c r="R9" s="16"/>
    </row>
    <row r="10" spans="1:20" ht="15" x14ac:dyDescent="0.25">
      <c r="A10" s="1"/>
      <c r="B10" s="1"/>
      <c r="C10" s="1"/>
      <c r="D10" s="1"/>
      <c r="E10" s="1"/>
      <c r="F10" s="15"/>
      <c r="G10" s="15"/>
      <c r="H10" s="15"/>
      <c r="I10" s="15"/>
      <c r="J10" s="15"/>
      <c r="K10" s="15"/>
      <c r="L10" s="7"/>
      <c r="M10" s="7"/>
      <c r="N10" s="7"/>
      <c r="O10" s="7"/>
      <c r="P10" s="7"/>
      <c r="Q10" s="7"/>
    </row>
    <row r="11" spans="1:20" ht="15" x14ac:dyDescent="0.25">
      <c r="B11" s="5" t="s">
        <v>51</v>
      </c>
      <c r="C11" s="5"/>
      <c r="D11" s="5"/>
      <c r="E11" s="5"/>
      <c r="F11" s="42">
        <f>F12+F28</f>
        <v>3952559</v>
      </c>
      <c r="G11" s="42">
        <f t="shared" ref="G11:Q11" si="1">G12+G28</f>
        <v>3984492</v>
      </c>
      <c r="H11" s="42">
        <f t="shared" si="1"/>
        <v>3966788</v>
      </c>
      <c r="I11" s="42">
        <f t="shared" si="1"/>
        <v>4159109</v>
      </c>
      <c r="J11" s="42">
        <f t="shared" si="1"/>
        <v>4136343</v>
      </c>
      <c r="K11" s="42">
        <f t="shared" si="1"/>
        <v>4185406</v>
      </c>
      <c r="L11" s="42">
        <f t="shared" si="1"/>
        <v>4145389</v>
      </c>
      <c r="M11" s="42">
        <f t="shared" si="1"/>
        <v>4150731</v>
      </c>
      <c r="N11" s="42">
        <f t="shared" si="1"/>
        <v>4187527.8</v>
      </c>
      <c r="O11" s="42">
        <f t="shared" si="1"/>
        <v>4215104</v>
      </c>
      <c r="P11" s="42">
        <f t="shared" si="1"/>
        <v>4207248</v>
      </c>
      <c r="Q11" s="42">
        <f t="shared" si="1"/>
        <v>4440310</v>
      </c>
      <c r="R11" s="58"/>
      <c r="T11" s="58"/>
    </row>
    <row r="12" spans="1:20" ht="15" x14ac:dyDescent="0.25">
      <c r="B12" s="5"/>
      <c r="C12" s="5" t="s">
        <v>24</v>
      </c>
      <c r="D12" s="5"/>
      <c r="E12" s="5" t="s">
        <v>55</v>
      </c>
      <c r="F12" s="42">
        <f t="shared" ref="F12:Q12" si="2">F13+F19</f>
        <v>2159524</v>
      </c>
      <c r="G12" s="42">
        <f t="shared" si="2"/>
        <v>2191186</v>
      </c>
      <c r="H12" s="42">
        <f t="shared" si="2"/>
        <v>2173496</v>
      </c>
      <c r="I12" s="42">
        <f t="shared" si="2"/>
        <v>2184032</v>
      </c>
      <c r="J12" s="42">
        <f t="shared" si="2"/>
        <v>2161297</v>
      </c>
      <c r="K12" s="42">
        <f t="shared" si="2"/>
        <v>2210265</v>
      </c>
      <c r="L12" s="42">
        <f t="shared" si="2"/>
        <v>2170251</v>
      </c>
      <c r="M12" s="42">
        <f t="shared" si="2"/>
        <v>2200776</v>
      </c>
      <c r="N12" s="42">
        <f t="shared" si="2"/>
        <v>2237776.9</v>
      </c>
      <c r="O12" s="42">
        <f t="shared" si="2"/>
        <v>2264607</v>
      </c>
      <c r="P12" s="42">
        <f t="shared" si="2"/>
        <v>2257218</v>
      </c>
      <c r="Q12" s="42">
        <f t="shared" si="2"/>
        <v>2235218</v>
      </c>
      <c r="T12" s="58"/>
    </row>
    <row r="13" spans="1:20" ht="15" x14ac:dyDescent="0.25">
      <c r="B13" s="9"/>
      <c r="C13" s="9"/>
      <c r="D13" s="9" t="s">
        <v>52</v>
      </c>
      <c r="E13" s="9"/>
      <c r="F13" s="42">
        <f t="shared" ref="F13:Q13" si="3">SUM(F14:F17)</f>
        <v>277026</v>
      </c>
      <c r="G13" s="42">
        <f t="shared" si="3"/>
        <v>278688</v>
      </c>
      <c r="H13" s="42">
        <f t="shared" si="3"/>
        <v>286118</v>
      </c>
      <c r="I13" s="42">
        <f t="shared" si="3"/>
        <v>299568</v>
      </c>
      <c r="J13" s="42">
        <f t="shared" si="3"/>
        <v>302873</v>
      </c>
      <c r="K13" s="42">
        <f t="shared" si="3"/>
        <v>317815</v>
      </c>
      <c r="L13" s="42">
        <f t="shared" si="3"/>
        <v>315843</v>
      </c>
      <c r="M13" s="42">
        <f t="shared" si="3"/>
        <v>332908</v>
      </c>
      <c r="N13" s="42">
        <f t="shared" si="3"/>
        <v>339908.3</v>
      </c>
      <c r="O13" s="42">
        <f t="shared" si="3"/>
        <v>345871</v>
      </c>
      <c r="P13" s="42">
        <f t="shared" si="3"/>
        <v>336369</v>
      </c>
      <c r="Q13" s="42">
        <f t="shared" si="3"/>
        <v>314369</v>
      </c>
      <c r="R13" s="16"/>
      <c r="T13" s="58"/>
    </row>
    <row r="14" spans="1:20" x14ac:dyDescent="0.2">
      <c r="E14" s="2" t="s">
        <v>76</v>
      </c>
      <c r="F14" s="43">
        <v>174568</v>
      </c>
      <c r="G14" s="43">
        <v>174568</v>
      </c>
      <c r="H14" s="43">
        <v>174568</v>
      </c>
      <c r="I14" s="43">
        <v>174568</v>
      </c>
      <c r="J14" s="43">
        <v>174568</v>
      </c>
      <c r="K14" s="43">
        <v>174568</v>
      </c>
      <c r="L14" s="43">
        <v>174568</v>
      </c>
      <c r="M14" s="43">
        <v>174568</v>
      </c>
      <c r="N14" s="43">
        <v>174568.3</v>
      </c>
      <c r="O14" s="43">
        <v>174568</v>
      </c>
      <c r="P14" s="10">
        <v>174568</v>
      </c>
      <c r="Q14" s="10">
        <v>174568</v>
      </c>
      <c r="T14" s="58"/>
    </row>
    <row r="15" spans="1:20" x14ac:dyDescent="0.2">
      <c r="E15" s="2" t="s">
        <v>12</v>
      </c>
      <c r="F15" s="43">
        <v>19700</v>
      </c>
      <c r="G15" s="43">
        <v>21995</v>
      </c>
      <c r="H15" s="43">
        <v>25995</v>
      </c>
      <c r="I15" s="43">
        <v>34295</v>
      </c>
      <c r="J15" s="43">
        <v>30000</v>
      </c>
      <c r="K15" s="43">
        <v>36000</v>
      </c>
      <c r="L15" s="43">
        <v>34127</v>
      </c>
      <c r="M15" s="43">
        <v>40127</v>
      </c>
      <c r="N15" s="10">
        <v>40127</v>
      </c>
      <c r="O15" s="10">
        <v>42000</v>
      </c>
      <c r="P15" s="10">
        <v>32000</v>
      </c>
      <c r="Q15" s="10">
        <v>20000</v>
      </c>
      <c r="T15" s="58"/>
    </row>
    <row r="16" spans="1:20" x14ac:dyDescent="0.2">
      <c r="E16" s="2" t="s">
        <v>44</v>
      </c>
      <c r="F16" s="43">
        <v>29668</v>
      </c>
      <c r="G16" s="43">
        <v>31173</v>
      </c>
      <c r="H16" s="43">
        <v>32603</v>
      </c>
      <c r="I16" s="43">
        <v>36603</v>
      </c>
      <c r="J16" s="43">
        <v>42203</v>
      </c>
      <c r="K16" s="43">
        <v>49145</v>
      </c>
      <c r="L16" s="43">
        <v>49066</v>
      </c>
      <c r="M16" s="43">
        <v>54131</v>
      </c>
      <c r="N16" s="10">
        <v>59131</v>
      </c>
      <c r="O16" s="10">
        <v>59131</v>
      </c>
      <c r="P16" s="10">
        <v>55131</v>
      </c>
      <c r="Q16" s="10">
        <v>45131</v>
      </c>
      <c r="T16" s="58"/>
    </row>
    <row r="17" spans="1:20" x14ac:dyDescent="0.2">
      <c r="E17" s="2" t="s">
        <v>45</v>
      </c>
      <c r="F17" s="43">
        <v>53090</v>
      </c>
      <c r="G17" s="43">
        <v>50952</v>
      </c>
      <c r="H17" s="43">
        <v>52952</v>
      </c>
      <c r="I17" s="43">
        <v>54102</v>
      </c>
      <c r="J17" s="43">
        <v>56102</v>
      </c>
      <c r="K17" s="43">
        <v>58102</v>
      </c>
      <c r="L17" s="43">
        <v>58082</v>
      </c>
      <c r="M17" s="43">
        <v>64082</v>
      </c>
      <c r="N17" s="10">
        <v>66082</v>
      </c>
      <c r="O17" s="10">
        <v>70172</v>
      </c>
      <c r="P17" s="10">
        <v>74670</v>
      </c>
      <c r="Q17" s="10">
        <v>74670</v>
      </c>
      <c r="T17" s="58"/>
    </row>
    <row r="18" spans="1:20" ht="6" customHeight="1" x14ac:dyDescent="0.2">
      <c r="F18" s="43"/>
      <c r="G18" s="43"/>
      <c r="H18" s="43"/>
      <c r="I18" s="43"/>
      <c r="J18" s="43"/>
      <c r="K18" s="43"/>
      <c r="L18" s="43"/>
      <c r="M18" s="43"/>
      <c r="N18" s="10"/>
      <c r="O18" s="10"/>
      <c r="P18" s="10"/>
      <c r="Q18" s="10"/>
      <c r="T18" s="58"/>
    </row>
    <row r="19" spans="1:20" ht="15" x14ac:dyDescent="0.25">
      <c r="B19" s="9"/>
      <c r="C19" s="9"/>
      <c r="D19" s="9" t="s">
        <v>50</v>
      </c>
      <c r="E19" s="9"/>
      <c r="F19" s="42">
        <f t="shared" ref="F19:Q19" si="4">SUM(F20:F26)</f>
        <v>1882498</v>
      </c>
      <c r="G19" s="42">
        <f t="shared" si="4"/>
        <v>1912498</v>
      </c>
      <c r="H19" s="42">
        <f t="shared" si="4"/>
        <v>1887378</v>
      </c>
      <c r="I19" s="42">
        <f t="shared" si="4"/>
        <v>1884464</v>
      </c>
      <c r="J19" s="42">
        <f t="shared" si="4"/>
        <v>1858424</v>
      </c>
      <c r="K19" s="42">
        <f t="shared" si="4"/>
        <v>1892450</v>
      </c>
      <c r="L19" s="42">
        <f t="shared" si="4"/>
        <v>1854408</v>
      </c>
      <c r="M19" s="42">
        <f t="shared" si="4"/>
        <v>1867868</v>
      </c>
      <c r="N19" s="42">
        <f t="shared" si="4"/>
        <v>1897868.5999999999</v>
      </c>
      <c r="O19" s="42">
        <f t="shared" si="4"/>
        <v>1918736</v>
      </c>
      <c r="P19" s="42">
        <f t="shared" si="4"/>
        <v>1920849</v>
      </c>
      <c r="Q19" s="42">
        <f t="shared" si="4"/>
        <v>1920849</v>
      </c>
      <c r="R19" s="10"/>
      <c r="T19" s="58"/>
    </row>
    <row r="20" spans="1:20" x14ac:dyDescent="0.2">
      <c r="E20" s="2" t="s">
        <v>22</v>
      </c>
      <c r="F20" s="43">
        <v>65764</v>
      </c>
      <c r="G20" s="43">
        <v>80764</v>
      </c>
      <c r="H20" s="43">
        <v>95764</v>
      </c>
      <c r="I20" s="43">
        <v>95764</v>
      </c>
      <c r="J20" s="43">
        <v>45000</v>
      </c>
      <c r="K20" s="43">
        <v>45000</v>
      </c>
      <c r="L20" s="43">
        <v>45000</v>
      </c>
      <c r="M20" s="43">
        <v>45000</v>
      </c>
      <c r="N20" s="10">
        <v>45000</v>
      </c>
      <c r="O20" s="10">
        <v>45000</v>
      </c>
      <c r="P20" s="10">
        <v>45000</v>
      </c>
      <c r="Q20" s="10">
        <v>45000</v>
      </c>
      <c r="T20" s="58"/>
    </row>
    <row r="21" spans="1:20" x14ac:dyDescent="0.2">
      <c r="E21" s="2" t="s">
        <v>14</v>
      </c>
      <c r="F21" s="43">
        <v>316399</v>
      </c>
      <c r="G21" s="43">
        <v>331399</v>
      </c>
      <c r="H21" s="43">
        <v>346399</v>
      </c>
      <c r="I21" s="43">
        <v>346399</v>
      </c>
      <c r="J21" s="43">
        <v>346399</v>
      </c>
      <c r="K21" s="43">
        <v>346399</v>
      </c>
      <c r="L21" s="43">
        <v>308357</v>
      </c>
      <c r="M21" s="43">
        <v>308357</v>
      </c>
      <c r="N21" s="10">
        <v>308356.7</v>
      </c>
      <c r="O21" s="10">
        <v>323357</v>
      </c>
      <c r="P21" s="10">
        <v>315257</v>
      </c>
      <c r="Q21" s="10">
        <v>315257</v>
      </c>
      <c r="T21" s="58"/>
    </row>
    <row r="22" spans="1:20" x14ac:dyDescent="0.2">
      <c r="E22" s="2" t="s">
        <v>15</v>
      </c>
      <c r="F22" s="43">
        <v>605899</v>
      </c>
      <c r="G22" s="43">
        <v>605899</v>
      </c>
      <c r="H22" s="43">
        <v>550779</v>
      </c>
      <c r="I22" s="43">
        <v>556850</v>
      </c>
      <c r="J22" s="43">
        <v>556850</v>
      </c>
      <c r="K22" s="43">
        <v>560876</v>
      </c>
      <c r="L22" s="43">
        <v>560876</v>
      </c>
      <c r="M22" s="43">
        <v>575876</v>
      </c>
      <c r="N22" s="10">
        <v>590876</v>
      </c>
      <c r="O22" s="10">
        <v>596744</v>
      </c>
      <c r="P22" s="10">
        <v>596744</v>
      </c>
      <c r="Q22" s="10">
        <v>596744</v>
      </c>
      <c r="T22" s="58"/>
    </row>
    <row r="23" spans="1:20" x14ac:dyDescent="0.2">
      <c r="E23" s="2" t="s">
        <v>20</v>
      </c>
      <c r="F23" s="43">
        <v>360032</v>
      </c>
      <c r="G23" s="43">
        <v>360032</v>
      </c>
      <c r="H23" s="43">
        <v>360032</v>
      </c>
      <c r="I23" s="43">
        <v>360032</v>
      </c>
      <c r="J23" s="43">
        <v>369756</v>
      </c>
      <c r="K23" s="43">
        <v>384756</v>
      </c>
      <c r="L23" s="43">
        <v>384756</v>
      </c>
      <c r="M23" s="43">
        <v>383216</v>
      </c>
      <c r="N23" s="10">
        <v>398216.2</v>
      </c>
      <c r="O23" s="10">
        <v>398216</v>
      </c>
      <c r="P23" s="10">
        <v>408429</v>
      </c>
      <c r="Q23" s="10">
        <v>408429</v>
      </c>
      <c r="T23" s="58"/>
    </row>
    <row r="24" spans="1:20" x14ac:dyDescent="0.2">
      <c r="E24" s="2" t="s">
        <v>46</v>
      </c>
      <c r="F24" s="43">
        <v>298325</v>
      </c>
      <c r="G24" s="43">
        <v>298325</v>
      </c>
      <c r="H24" s="43">
        <v>298325</v>
      </c>
      <c r="I24" s="43">
        <v>289340</v>
      </c>
      <c r="J24" s="43">
        <v>304340</v>
      </c>
      <c r="K24" s="43">
        <v>319340</v>
      </c>
      <c r="L24" s="43">
        <v>319340</v>
      </c>
      <c r="M24" s="43">
        <v>319340</v>
      </c>
      <c r="N24" s="10">
        <v>319340.3</v>
      </c>
      <c r="O24" s="10">
        <v>319340</v>
      </c>
      <c r="P24" s="10">
        <v>319340</v>
      </c>
      <c r="Q24" s="10">
        <v>319340</v>
      </c>
      <c r="T24" s="58"/>
    </row>
    <row r="25" spans="1:20" x14ac:dyDescent="0.2">
      <c r="E25" s="2" t="s">
        <v>47</v>
      </c>
      <c r="F25" s="43">
        <v>235982</v>
      </c>
      <c r="G25" s="43">
        <v>235982</v>
      </c>
      <c r="H25" s="43">
        <v>235982</v>
      </c>
      <c r="I25" s="43">
        <v>235982</v>
      </c>
      <c r="J25" s="43">
        <v>235982</v>
      </c>
      <c r="K25" s="43">
        <v>235982</v>
      </c>
      <c r="L25" s="43">
        <v>235982</v>
      </c>
      <c r="M25" s="43">
        <v>235982</v>
      </c>
      <c r="N25" s="10">
        <v>235982.4</v>
      </c>
      <c r="O25" s="10">
        <v>235982</v>
      </c>
      <c r="P25" s="10">
        <v>235982</v>
      </c>
      <c r="Q25" s="10">
        <v>235982</v>
      </c>
      <c r="T25" s="58"/>
    </row>
    <row r="26" spans="1:20" x14ac:dyDescent="0.2">
      <c r="E26" s="2" t="s">
        <v>53</v>
      </c>
      <c r="F26" s="43">
        <v>97</v>
      </c>
      <c r="G26" s="43">
        <v>97</v>
      </c>
      <c r="H26" s="43">
        <v>97</v>
      </c>
      <c r="I26" s="43">
        <v>97</v>
      </c>
      <c r="J26" s="43">
        <v>97</v>
      </c>
      <c r="K26" s="43">
        <v>97</v>
      </c>
      <c r="L26" s="43">
        <v>97</v>
      </c>
      <c r="M26" s="43">
        <v>97</v>
      </c>
      <c r="N26" s="10">
        <v>97</v>
      </c>
      <c r="O26" s="10">
        <v>97</v>
      </c>
      <c r="P26" s="10">
        <v>97</v>
      </c>
      <c r="Q26" s="10">
        <v>97</v>
      </c>
      <c r="T26" s="58"/>
    </row>
    <row r="27" spans="1:20" ht="7.5" customHeight="1" x14ac:dyDescent="0.2">
      <c r="N27" s="10"/>
      <c r="O27" s="10"/>
      <c r="P27" s="10"/>
      <c r="Q27" s="10"/>
      <c r="T27" s="58"/>
    </row>
    <row r="28" spans="1:20" ht="15" x14ac:dyDescent="0.25">
      <c r="B28" s="9"/>
      <c r="C28" s="9" t="s">
        <v>147</v>
      </c>
      <c r="D28" s="9"/>
      <c r="E28" s="9"/>
      <c r="F28" s="42">
        <f t="shared" ref="F28:Q28" si="5">F29+F41+F47+F49+F51</f>
        <v>1793035</v>
      </c>
      <c r="G28" s="42">
        <f t="shared" si="5"/>
        <v>1793306</v>
      </c>
      <c r="H28" s="42">
        <f t="shared" si="5"/>
        <v>1793292</v>
      </c>
      <c r="I28" s="42">
        <f t="shared" si="5"/>
        <v>1975077</v>
      </c>
      <c r="J28" s="42">
        <f t="shared" si="5"/>
        <v>1975046</v>
      </c>
      <c r="K28" s="42">
        <f t="shared" si="5"/>
        <v>1975141</v>
      </c>
      <c r="L28" s="42">
        <f t="shared" si="5"/>
        <v>1975138</v>
      </c>
      <c r="M28" s="42">
        <f t="shared" si="5"/>
        <v>1949955</v>
      </c>
      <c r="N28" s="42">
        <f t="shared" si="5"/>
        <v>1949750.9</v>
      </c>
      <c r="O28" s="42">
        <f t="shared" si="5"/>
        <v>1950497</v>
      </c>
      <c r="P28" s="42">
        <f t="shared" si="5"/>
        <v>1950030</v>
      </c>
      <c r="Q28" s="42">
        <f t="shared" si="5"/>
        <v>2205092</v>
      </c>
      <c r="T28" s="58"/>
    </row>
    <row r="29" spans="1:20" ht="15" x14ac:dyDescent="0.25">
      <c r="B29" s="9"/>
      <c r="C29" s="9"/>
      <c r="D29" s="9" t="s">
        <v>148</v>
      </c>
      <c r="E29" s="9"/>
      <c r="F29" s="42">
        <f t="shared" ref="F29:Q29" si="6">F30+F34</f>
        <v>801983</v>
      </c>
      <c r="G29" s="42">
        <f t="shared" si="6"/>
        <v>801983</v>
      </c>
      <c r="H29" s="42">
        <f t="shared" si="6"/>
        <v>801983</v>
      </c>
      <c r="I29" s="42">
        <f t="shared" si="6"/>
        <v>983914</v>
      </c>
      <c r="J29" s="42">
        <f t="shared" si="6"/>
        <v>983914</v>
      </c>
      <c r="K29" s="42">
        <f t="shared" si="6"/>
        <v>983914</v>
      </c>
      <c r="L29" s="42">
        <f t="shared" si="6"/>
        <v>983914</v>
      </c>
      <c r="M29" s="42">
        <f t="shared" si="6"/>
        <v>958412</v>
      </c>
      <c r="N29" s="42">
        <f t="shared" si="6"/>
        <v>958411.6</v>
      </c>
      <c r="O29" s="42">
        <f t="shared" si="6"/>
        <v>958412</v>
      </c>
      <c r="P29" s="42">
        <f t="shared" si="6"/>
        <v>958412</v>
      </c>
      <c r="Q29" s="42">
        <f t="shared" si="6"/>
        <v>1213771</v>
      </c>
      <c r="T29" s="58"/>
    </row>
    <row r="30" spans="1:20" ht="12.75" customHeight="1" x14ac:dyDescent="0.25">
      <c r="A30" s="9"/>
      <c r="B30" s="9"/>
      <c r="C30" s="9"/>
      <c r="D30" s="9"/>
      <c r="E30" s="5">
        <v>2.1</v>
      </c>
      <c r="F30" s="15">
        <f t="shared" ref="F30:Q30" si="7">SUM(F31:F33)</f>
        <v>100212</v>
      </c>
      <c r="G30" s="15">
        <f t="shared" si="7"/>
        <v>100212</v>
      </c>
      <c r="H30" s="15">
        <f t="shared" si="7"/>
        <v>100212</v>
      </c>
      <c r="I30" s="15">
        <f t="shared" si="7"/>
        <v>100212</v>
      </c>
      <c r="J30" s="15">
        <f t="shared" si="7"/>
        <v>100212</v>
      </c>
      <c r="K30" s="15">
        <f t="shared" si="7"/>
        <v>100212</v>
      </c>
      <c r="L30" s="15">
        <f t="shared" si="7"/>
        <v>100212</v>
      </c>
      <c r="M30" s="15">
        <f t="shared" si="7"/>
        <v>74710</v>
      </c>
      <c r="N30" s="15">
        <f t="shared" si="7"/>
        <v>74710</v>
      </c>
      <c r="O30" s="15">
        <f t="shared" si="7"/>
        <v>74710</v>
      </c>
      <c r="P30" s="15">
        <f t="shared" si="7"/>
        <v>74710</v>
      </c>
      <c r="Q30" s="15">
        <f t="shared" si="7"/>
        <v>330069</v>
      </c>
      <c r="T30" s="58"/>
    </row>
    <row r="31" spans="1:20" x14ac:dyDescent="0.2">
      <c r="E31" s="11" t="s">
        <v>27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59">
        <v>0</v>
      </c>
      <c r="Q31" s="59">
        <v>255359</v>
      </c>
      <c r="T31" s="58"/>
    </row>
    <row r="32" spans="1:20" x14ac:dyDescent="0.2">
      <c r="E32" s="11" t="s">
        <v>58</v>
      </c>
      <c r="F32" s="43">
        <v>25502</v>
      </c>
      <c r="G32" s="43">
        <v>25502</v>
      </c>
      <c r="H32" s="43">
        <v>25502</v>
      </c>
      <c r="I32" s="43">
        <v>25502</v>
      </c>
      <c r="J32" s="43">
        <v>25502</v>
      </c>
      <c r="K32" s="43">
        <v>25502</v>
      </c>
      <c r="L32" s="43">
        <v>25502</v>
      </c>
      <c r="M32" s="43">
        <v>0</v>
      </c>
      <c r="N32" s="43">
        <v>0</v>
      </c>
      <c r="O32" s="43">
        <v>0</v>
      </c>
      <c r="P32" s="59">
        <v>0</v>
      </c>
      <c r="Q32" s="59">
        <v>0</v>
      </c>
      <c r="T32" s="58"/>
    </row>
    <row r="33" spans="1:20" x14ac:dyDescent="0.2">
      <c r="E33" s="11" t="s">
        <v>67</v>
      </c>
      <c r="F33" s="43">
        <v>74710</v>
      </c>
      <c r="G33" s="43">
        <v>74710</v>
      </c>
      <c r="H33" s="43">
        <v>74710</v>
      </c>
      <c r="I33" s="43">
        <v>74710</v>
      </c>
      <c r="J33" s="43">
        <v>74710</v>
      </c>
      <c r="K33" s="43">
        <v>74710</v>
      </c>
      <c r="L33" s="43">
        <v>74710</v>
      </c>
      <c r="M33" s="43">
        <v>74710</v>
      </c>
      <c r="N33" s="10">
        <v>74710</v>
      </c>
      <c r="O33" s="10">
        <v>74710</v>
      </c>
      <c r="P33" s="10">
        <v>74710</v>
      </c>
      <c r="Q33" s="10">
        <v>74710</v>
      </c>
      <c r="T33" s="58"/>
    </row>
    <row r="34" spans="1:20" ht="15" x14ac:dyDescent="0.25">
      <c r="E34" s="5">
        <v>2.2000000000000002</v>
      </c>
      <c r="F34" s="15">
        <f>SUM(F35:F39)</f>
        <v>701771</v>
      </c>
      <c r="G34" s="15">
        <f t="shared" ref="G34:Q34" si="8">SUM(G35:G39)</f>
        <v>701771</v>
      </c>
      <c r="H34" s="15">
        <f t="shared" si="8"/>
        <v>701771</v>
      </c>
      <c r="I34" s="15">
        <f t="shared" si="8"/>
        <v>883702</v>
      </c>
      <c r="J34" s="15">
        <f t="shared" si="8"/>
        <v>883702</v>
      </c>
      <c r="K34" s="15">
        <f t="shared" si="8"/>
        <v>883702</v>
      </c>
      <c r="L34" s="15">
        <f t="shared" si="8"/>
        <v>883702</v>
      </c>
      <c r="M34" s="15">
        <f t="shared" si="8"/>
        <v>883702</v>
      </c>
      <c r="N34" s="15">
        <f t="shared" si="8"/>
        <v>883701.6</v>
      </c>
      <c r="O34" s="15">
        <f t="shared" si="8"/>
        <v>883702</v>
      </c>
      <c r="P34" s="15">
        <f t="shared" si="8"/>
        <v>883702</v>
      </c>
      <c r="Q34" s="15">
        <f t="shared" si="8"/>
        <v>883702</v>
      </c>
      <c r="T34" s="58"/>
    </row>
    <row r="35" spans="1:20" x14ac:dyDescent="0.2">
      <c r="E35" s="11" t="s">
        <v>68</v>
      </c>
      <c r="F35" s="43">
        <v>0</v>
      </c>
      <c r="G35" s="43">
        <v>0</v>
      </c>
      <c r="H35" s="43">
        <v>0</v>
      </c>
      <c r="I35" s="43">
        <v>181931</v>
      </c>
      <c r="J35" s="43">
        <v>181931</v>
      </c>
      <c r="K35" s="43">
        <v>181931</v>
      </c>
      <c r="L35" s="43">
        <v>181931</v>
      </c>
      <c r="M35" s="43">
        <v>181931</v>
      </c>
      <c r="N35" s="10">
        <v>181930.5</v>
      </c>
      <c r="O35" s="10">
        <v>181931</v>
      </c>
      <c r="P35" s="10">
        <v>181931</v>
      </c>
      <c r="Q35" s="10">
        <v>181931</v>
      </c>
      <c r="T35" s="58"/>
    </row>
    <row r="36" spans="1:20" x14ac:dyDescent="0.2">
      <c r="E36" s="11" t="s">
        <v>67</v>
      </c>
      <c r="F36" s="43">
        <v>294152</v>
      </c>
      <c r="G36" s="43">
        <v>294152</v>
      </c>
      <c r="H36" s="43">
        <v>294152</v>
      </c>
      <c r="I36" s="43">
        <v>294152</v>
      </c>
      <c r="J36" s="43">
        <v>294152</v>
      </c>
      <c r="K36" s="43">
        <v>294152</v>
      </c>
      <c r="L36" s="43">
        <v>294152</v>
      </c>
      <c r="M36" s="43">
        <v>294152</v>
      </c>
      <c r="N36" s="10">
        <v>294152.3</v>
      </c>
      <c r="O36" s="10">
        <v>294152</v>
      </c>
      <c r="P36" s="10">
        <v>294152</v>
      </c>
      <c r="Q36" s="10">
        <v>294152</v>
      </c>
      <c r="T36" s="58"/>
    </row>
    <row r="37" spans="1:20" x14ac:dyDescent="0.2">
      <c r="E37" s="11" t="s">
        <v>66</v>
      </c>
      <c r="F37" s="43">
        <v>95805</v>
      </c>
      <c r="G37" s="43">
        <v>95805</v>
      </c>
      <c r="H37" s="43">
        <v>95805</v>
      </c>
      <c r="I37" s="43">
        <v>95805</v>
      </c>
      <c r="J37" s="43">
        <v>95805</v>
      </c>
      <c r="K37" s="43">
        <v>95805</v>
      </c>
      <c r="L37" s="43">
        <v>95805</v>
      </c>
      <c r="M37" s="43">
        <v>95805</v>
      </c>
      <c r="N37" s="10">
        <v>95805.2</v>
      </c>
      <c r="O37" s="10">
        <v>95805</v>
      </c>
      <c r="P37" s="10">
        <v>95805</v>
      </c>
      <c r="Q37" s="10">
        <v>95805</v>
      </c>
    </row>
    <row r="38" spans="1:20" x14ac:dyDescent="0.2">
      <c r="E38" s="11" t="s">
        <v>72</v>
      </c>
      <c r="F38" s="43">
        <v>132682</v>
      </c>
      <c r="G38" s="43">
        <v>132682</v>
      </c>
      <c r="H38" s="43">
        <v>132682</v>
      </c>
      <c r="I38" s="43">
        <v>132682</v>
      </c>
      <c r="J38" s="43">
        <v>132682</v>
      </c>
      <c r="K38" s="43">
        <v>132682</v>
      </c>
      <c r="L38" s="43">
        <v>132682</v>
      </c>
      <c r="M38" s="43">
        <v>132682</v>
      </c>
      <c r="N38" s="10">
        <v>132682</v>
      </c>
      <c r="O38" s="10">
        <v>132682</v>
      </c>
      <c r="P38" s="10">
        <v>132682</v>
      </c>
      <c r="Q38" s="10">
        <v>132682</v>
      </c>
    </row>
    <row r="39" spans="1:20" x14ac:dyDescent="0.2">
      <c r="E39" s="11" t="s">
        <v>73</v>
      </c>
      <c r="F39" s="43">
        <v>179132</v>
      </c>
      <c r="G39" s="43">
        <v>179132</v>
      </c>
      <c r="H39" s="43">
        <v>179132</v>
      </c>
      <c r="I39" s="43">
        <v>179132</v>
      </c>
      <c r="J39" s="43">
        <v>179132</v>
      </c>
      <c r="K39" s="43">
        <v>179132</v>
      </c>
      <c r="L39" s="43">
        <v>179132</v>
      </c>
      <c r="M39" s="43">
        <v>179132</v>
      </c>
      <c r="N39" s="10">
        <v>179131.6</v>
      </c>
      <c r="O39" s="10">
        <v>179132</v>
      </c>
      <c r="P39" s="10">
        <v>179132</v>
      </c>
      <c r="Q39" s="10">
        <v>179132</v>
      </c>
    </row>
    <row r="40" spans="1:20" x14ac:dyDescent="0.2">
      <c r="E40" s="11"/>
      <c r="F40" s="43"/>
      <c r="G40" s="43"/>
      <c r="H40" s="43"/>
      <c r="I40" s="43"/>
      <c r="J40" s="43"/>
      <c r="K40" s="43"/>
      <c r="L40" s="43"/>
      <c r="M40" s="43"/>
      <c r="N40" s="10"/>
      <c r="O40" s="10"/>
      <c r="P40" s="10"/>
      <c r="Q40" s="10"/>
    </row>
    <row r="41" spans="1:20" ht="15" x14ac:dyDescent="0.25">
      <c r="C41" s="13"/>
      <c r="D41" s="9" t="s">
        <v>149</v>
      </c>
      <c r="E41" s="11"/>
      <c r="F41" s="42">
        <f>SUM(F42:F45)</f>
        <v>909298</v>
      </c>
      <c r="G41" s="42">
        <f t="shared" ref="G41:Q41" si="9">SUM(G42:G45)</f>
        <v>909298</v>
      </c>
      <c r="H41" s="42">
        <f t="shared" si="9"/>
        <v>909298</v>
      </c>
      <c r="I41" s="42">
        <f t="shared" si="9"/>
        <v>909298</v>
      </c>
      <c r="J41" s="42">
        <f t="shared" si="9"/>
        <v>909298</v>
      </c>
      <c r="K41" s="42">
        <f t="shared" si="9"/>
        <v>909298</v>
      </c>
      <c r="L41" s="42">
        <f t="shared" si="9"/>
        <v>909298</v>
      </c>
      <c r="M41" s="42">
        <f t="shared" si="9"/>
        <v>909298</v>
      </c>
      <c r="N41" s="42">
        <f t="shared" si="9"/>
        <v>909297.9</v>
      </c>
      <c r="O41" s="42">
        <f t="shared" si="9"/>
        <v>909298</v>
      </c>
      <c r="P41" s="42">
        <f t="shared" si="9"/>
        <v>909298</v>
      </c>
      <c r="Q41" s="42">
        <f t="shared" si="9"/>
        <v>909298</v>
      </c>
    </row>
    <row r="42" spans="1:20" ht="15" x14ac:dyDescent="0.25">
      <c r="A42" s="9"/>
      <c r="B42" s="9"/>
      <c r="C42" s="9"/>
      <c r="E42" s="11" t="s">
        <v>62</v>
      </c>
      <c r="F42" s="43">
        <v>289778</v>
      </c>
      <c r="G42" s="43">
        <v>289778</v>
      </c>
      <c r="H42" s="43">
        <v>289778</v>
      </c>
      <c r="I42" s="43">
        <v>289778</v>
      </c>
      <c r="J42" s="43">
        <v>289778</v>
      </c>
      <c r="K42" s="43">
        <v>289778</v>
      </c>
      <c r="L42" s="43">
        <v>289778</v>
      </c>
      <c r="M42" s="43">
        <v>289778</v>
      </c>
      <c r="N42" s="10">
        <v>289778.40000000002</v>
      </c>
      <c r="O42" s="10">
        <v>289778</v>
      </c>
      <c r="P42" s="10">
        <v>289778</v>
      </c>
      <c r="Q42" s="10">
        <v>289778</v>
      </c>
    </row>
    <row r="43" spans="1:20" ht="15" x14ac:dyDescent="0.25">
      <c r="A43" s="9"/>
      <c r="B43" s="9"/>
      <c r="C43" s="9"/>
      <c r="E43" s="2" t="s">
        <v>69</v>
      </c>
      <c r="F43" s="43">
        <v>57908</v>
      </c>
      <c r="G43" s="43">
        <v>57908</v>
      </c>
      <c r="H43" s="43">
        <v>57908</v>
      </c>
      <c r="I43" s="43">
        <v>57908</v>
      </c>
      <c r="J43" s="43">
        <v>57908</v>
      </c>
      <c r="K43" s="43">
        <v>57908</v>
      </c>
      <c r="L43" s="43">
        <v>57908</v>
      </c>
      <c r="M43" s="43">
        <v>57908</v>
      </c>
      <c r="N43" s="10">
        <v>57908</v>
      </c>
      <c r="O43" s="10">
        <v>57908</v>
      </c>
      <c r="P43" s="10">
        <v>57908</v>
      </c>
      <c r="Q43" s="10">
        <v>57908</v>
      </c>
    </row>
    <row r="44" spans="1:20" ht="15" x14ac:dyDescent="0.25">
      <c r="A44" s="9"/>
      <c r="B44" s="9"/>
      <c r="C44" s="9"/>
      <c r="E44" s="2" t="s">
        <v>16</v>
      </c>
      <c r="F44" s="43">
        <v>255837</v>
      </c>
      <c r="G44" s="43">
        <v>255837</v>
      </c>
      <c r="H44" s="43">
        <v>255837</v>
      </c>
      <c r="I44" s="43">
        <v>255837</v>
      </c>
      <c r="J44" s="43">
        <v>255837</v>
      </c>
      <c r="K44" s="43">
        <v>255837</v>
      </c>
      <c r="L44" s="43">
        <v>255837</v>
      </c>
      <c r="M44" s="43">
        <v>255837</v>
      </c>
      <c r="N44" s="10">
        <v>255837</v>
      </c>
      <c r="O44" s="10">
        <v>255837</v>
      </c>
      <c r="P44" s="10">
        <v>255837</v>
      </c>
      <c r="Q44" s="10">
        <v>255837</v>
      </c>
    </row>
    <row r="45" spans="1:20" ht="15" x14ac:dyDescent="0.25">
      <c r="A45" s="9"/>
      <c r="B45" s="9"/>
      <c r="C45" s="9"/>
      <c r="E45" s="11" t="s">
        <v>19</v>
      </c>
      <c r="F45" s="43">
        <v>305775</v>
      </c>
      <c r="G45" s="43">
        <v>305775</v>
      </c>
      <c r="H45" s="43">
        <v>305775</v>
      </c>
      <c r="I45" s="43">
        <v>305775</v>
      </c>
      <c r="J45" s="43">
        <v>305775</v>
      </c>
      <c r="K45" s="43">
        <v>305775</v>
      </c>
      <c r="L45" s="43">
        <v>305775</v>
      </c>
      <c r="M45" s="43">
        <v>305775</v>
      </c>
      <c r="N45" s="10">
        <v>305774.5</v>
      </c>
      <c r="O45" s="10">
        <v>305775</v>
      </c>
      <c r="P45" s="10">
        <v>305775</v>
      </c>
      <c r="Q45" s="10">
        <v>305775</v>
      </c>
    </row>
    <row r="46" spans="1:20" ht="15" x14ac:dyDescent="0.25">
      <c r="A46" s="9"/>
      <c r="B46" s="9"/>
      <c r="C46" s="9"/>
      <c r="F46" s="43"/>
      <c r="G46" s="43"/>
      <c r="H46" s="43"/>
      <c r="I46" s="43"/>
      <c r="J46" s="43"/>
      <c r="K46" s="43"/>
      <c r="L46" s="43"/>
      <c r="M46" s="43"/>
      <c r="N46" s="10"/>
      <c r="O46" s="10"/>
      <c r="P46" s="10"/>
      <c r="Q46" s="10"/>
    </row>
    <row r="47" spans="1:20" ht="15" x14ac:dyDescent="0.25">
      <c r="A47" s="9"/>
      <c r="B47" s="9"/>
      <c r="C47" s="9"/>
      <c r="D47" s="9" t="s">
        <v>150</v>
      </c>
      <c r="E47" s="9"/>
      <c r="F47" s="15">
        <v>50000</v>
      </c>
      <c r="G47" s="15">
        <v>50000</v>
      </c>
      <c r="H47" s="15">
        <v>50000</v>
      </c>
      <c r="I47" s="15">
        <v>50000</v>
      </c>
      <c r="J47" s="15">
        <v>50000</v>
      </c>
      <c r="K47" s="15">
        <v>50000</v>
      </c>
      <c r="L47" s="15">
        <v>50000</v>
      </c>
      <c r="M47" s="15">
        <v>50000</v>
      </c>
      <c r="N47" s="14">
        <v>50000</v>
      </c>
      <c r="O47" s="14">
        <v>50000</v>
      </c>
      <c r="P47" s="14">
        <v>50000</v>
      </c>
      <c r="Q47" s="14">
        <v>50000</v>
      </c>
    </row>
    <row r="48" spans="1:20" ht="15" x14ac:dyDescent="0.25">
      <c r="A48" s="9"/>
      <c r="B48" s="9"/>
      <c r="C48" s="9"/>
      <c r="F48" s="43"/>
      <c r="G48" s="43"/>
      <c r="H48" s="43"/>
      <c r="I48" s="43"/>
      <c r="J48" s="43"/>
      <c r="K48" s="43"/>
      <c r="L48" s="43"/>
      <c r="M48" s="43"/>
      <c r="N48" s="10"/>
      <c r="O48" s="10"/>
      <c r="P48" s="10"/>
      <c r="Q48" s="10"/>
    </row>
    <row r="49" spans="1:17" ht="15" x14ac:dyDescent="0.25">
      <c r="A49" s="9"/>
      <c r="B49" s="9"/>
      <c r="C49" s="9"/>
      <c r="D49" s="9" t="s">
        <v>151</v>
      </c>
      <c r="E49" s="9"/>
      <c r="F49" s="15">
        <v>6875</v>
      </c>
      <c r="G49" s="15">
        <v>6897</v>
      </c>
      <c r="H49" s="15">
        <v>6901</v>
      </c>
      <c r="I49" s="15">
        <v>6915</v>
      </c>
      <c r="J49" s="15">
        <v>6953</v>
      </c>
      <c r="K49" s="15">
        <v>6704</v>
      </c>
      <c r="L49" s="15">
        <v>6675</v>
      </c>
      <c r="M49" s="15">
        <v>6659</v>
      </c>
      <c r="N49" s="14">
        <v>6626.4</v>
      </c>
      <c r="O49" s="14">
        <v>6944</v>
      </c>
      <c r="P49" s="14">
        <v>7147</v>
      </c>
      <c r="Q49" s="14">
        <v>7044</v>
      </c>
    </row>
    <row r="50" spans="1:17" ht="15" x14ac:dyDescent="0.25">
      <c r="A50" s="9"/>
      <c r="B50" s="9"/>
      <c r="C50" s="9"/>
      <c r="D50" s="9"/>
      <c r="F50" s="15"/>
      <c r="G50" s="15"/>
      <c r="H50" s="15"/>
      <c r="I50" s="15"/>
      <c r="J50" s="15"/>
      <c r="K50" s="15"/>
      <c r="L50" s="15"/>
      <c r="M50" s="15"/>
      <c r="N50" s="10"/>
      <c r="O50" s="10"/>
      <c r="P50" s="10"/>
      <c r="Q50" s="10"/>
    </row>
    <row r="51" spans="1:17" ht="15" x14ac:dyDescent="0.25">
      <c r="A51" s="9"/>
      <c r="B51" s="9"/>
      <c r="C51" s="13"/>
      <c r="D51" s="9" t="s">
        <v>74</v>
      </c>
      <c r="E51" s="9"/>
      <c r="F51" s="15">
        <f>F52</f>
        <v>24879</v>
      </c>
      <c r="G51" s="15">
        <f t="shared" ref="G51:Q51" si="10">G52</f>
        <v>25128</v>
      </c>
      <c r="H51" s="15">
        <f t="shared" si="10"/>
        <v>25110</v>
      </c>
      <c r="I51" s="15">
        <f t="shared" si="10"/>
        <v>24950</v>
      </c>
      <c r="J51" s="15">
        <f t="shared" si="10"/>
        <v>24881</v>
      </c>
      <c r="K51" s="15">
        <f t="shared" si="10"/>
        <v>25225</v>
      </c>
      <c r="L51" s="15">
        <f t="shared" si="10"/>
        <v>25251</v>
      </c>
      <c r="M51" s="15">
        <f t="shared" si="10"/>
        <v>25586</v>
      </c>
      <c r="N51" s="15">
        <f t="shared" si="10"/>
        <v>25415</v>
      </c>
      <c r="O51" s="15">
        <f t="shared" si="10"/>
        <v>25843</v>
      </c>
      <c r="P51" s="15">
        <f t="shared" si="10"/>
        <v>25173</v>
      </c>
      <c r="Q51" s="15">
        <f t="shared" si="10"/>
        <v>24979</v>
      </c>
    </row>
    <row r="52" spans="1:17" ht="15" x14ac:dyDescent="0.25">
      <c r="A52" s="9"/>
      <c r="B52" s="9"/>
      <c r="C52" s="13"/>
      <c r="D52" s="9"/>
      <c r="E52" s="2" t="s">
        <v>79</v>
      </c>
      <c r="F52" s="43">
        <v>24879</v>
      </c>
      <c r="G52" s="43">
        <v>25128</v>
      </c>
      <c r="H52" s="43">
        <v>25110</v>
      </c>
      <c r="I52" s="43">
        <v>24950</v>
      </c>
      <c r="J52" s="43">
        <v>24881</v>
      </c>
      <c r="K52" s="43">
        <v>25225</v>
      </c>
      <c r="L52" s="43">
        <v>25251</v>
      </c>
      <c r="M52" s="43">
        <v>25586</v>
      </c>
      <c r="N52" s="10">
        <v>25415</v>
      </c>
      <c r="O52" s="10">
        <v>25843</v>
      </c>
      <c r="P52" s="10">
        <v>25173</v>
      </c>
      <c r="Q52" s="10">
        <v>24979</v>
      </c>
    </row>
    <row r="53" spans="1:17" ht="8.25" customHeight="1" x14ac:dyDescent="0.25">
      <c r="A53" s="9"/>
      <c r="B53" s="9"/>
      <c r="C53" s="13"/>
      <c r="D53" s="9"/>
      <c r="F53" s="43"/>
      <c r="G53" s="43"/>
      <c r="H53" s="43"/>
      <c r="I53" s="43"/>
      <c r="J53" s="43"/>
      <c r="K53" s="43"/>
      <c r="L53" s="43"/>
      <c r="M53" s="43"/>
      <c r="N53" s="10"/>
      <c r="O53" s="10"/>
      <c r="P53" s="10"/>
      <c r="Q53" s="10"/>
    </row>
    <row r="54" spans="1:17" ht="15" x14ac:dyDescent="0.25">
      <c r="A54" s="9" t="s">
        <v>49</v>
      </c>
      <c r="B54" s="9"/>
      <c r="C54" s="9"/>
      <c r="D54" s="9"/>
      <c r="E54" s="9"/>
      <c r="F54" s="15">
        <v>26678</v>
      </c>
      <c r="G54" s="15">
        <v>26678</v>
      </c>
      <c r="H54" s="15">
        <v>26678</v>
      </c>
      <c r="I54" s="15">
        <v>8000</v>
      </c>
      <c r="J54" s="15">
        <v>8000</v>
      </c>
      <c r="K54" s="15">
        <v>8000</v>
      </c>
      <c r="L54" s="15">
        <v>8000</v>
      </c>
      <c r="M54" s="15">
        <v>8000</v>
      </c>
      <c r="N54" s="14">
        <v>8000</v>
      </c>
      <c r="O54" s="14">
        <v>8000</v>
      </c>
      <c r="P54" s="14">
        <v>8000</v>
      </c>
      <c r="Q54" s="14">
        <v>8000</v>
      </c>
    </row>
    <row r="55" spans="1:17" x14ac:dyDescent="0.2">
      <c r="F55" s="16"/>
      <c r="G55" s="16"/>
    </row>
    <row r="56" spans="1:17" x14ac:dyDescent="0.2">
      <c r="F56" s="16"/>
      <c r="G56" s="16"/>
    </row>
    <row r="57" spans="1:17" x14ac:dyDescent="0.2">
      <c r="F57" s="16"/>
      <c r="G57" s="16"/>
    </row>
    <row r="58" spans="1:17" x14ac:dyDescent="0.2">
      <c r="A58" s="17"/>
      <c r="B58" s="18" t="s">
        <v>21</v>
      </c>
      <c r="C58" s="18"/>
      <c r="D58" s="18"/>
      <c r="E58" s="18"/>
      <c r="F58" s="18"/>
      <c r="G58" s="18"/>
    </row>
    <row r="59" spans="1:17" x14ac:dyDescent="0.2">
      <c r="A59" s="18"/>
      <c r="B59" s="18"/>
      <c r="C59" s="18"/>
    </row>
    <row r="60" spans="1:17" x14ac:dyDescent="0.2">
      <c r="A60" s="20"/>
      <c r="B60" s="18"/>
      <c r="C60" s="18"/>
    </row>
    <row r="62" spans="1:17" x14ac:dyDescent="0.2">
      <c r="E62" s="21" t="s">
        <v>71</v>
      </c>
    </row>
  </sheetData>
  <mergeCells count="16">
    <mergeCell ref="A6:E7"/>
    <mergeCell ref="A1:Q1"/>
    <mergeCell ref="A2:Q2"/>
    <mergeCell ref="A3:Q3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" right="0" top="0.5" bottom="0.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17</vt:i4>
      </vt:variant>
    </vt:vector>
  </HeadingPairs>
  <TitlesOfParts>
    <vt:vector size="4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 Arcega</dc:creator>
  <cp:lastModifiedBy>Lara T. Aduna</cp:lastModifiedBy>
  <cp:lastPrinted>2025-06-02T01:54:08Z</cp:lastPrinted>
  <dcterms:created xsi:type="dcterms:W3CDTF">2001-03-16T02:43:12Z</dcterms:created>
  <dcterms:modified xsi:type="dcterms:W3CDTF">2025-07-02T23:51:49Z</dcterms:modified>
</cp:coreProperties>
</file>